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app_mlC\DataTable\"/>
    </mc:Choice>
  </mc:AlternateContent>
  <bookViews>
    <workbookView xWindow="0" yWindow="0" windowWidth="23904" windowHeight="10284" tabRatio="934" activeTab="5"/>
  </bookViews>
  <sheets>
    <sheet name="炮解锁|CannonUnlock" sheetId="10" r:id="rId1"/>
    <sheet name="全局参数|GlobalPar" sheetId="8" r:id="rId2"/>
    <sheet name="爆爆河豚|Hetun" sheetId="48" r:id="rId3"/>
    <sheet name="VIP升级|VIPUp" sheetId="27" r:id="rId4"/>
    <sheet name="房间规则|RoomRules" sheetId="22" r:id="rId5"/>
    <sheet name="用户升级|RoleUp" sheetId="2" r:id="rId6"/>
    <sheet name="鱼属性|FishAttribute" sheetId="1" r:id="rId7"/>
    <sheet name="弹头价值|Dantou" sheetId="45" r:id="rId8"/>
    <sheet name="抽奖|MoonBless" sheetId="31" r:id="rId9"/>
    <sheet name="掉落|Drop" sheetId="25" r:id="rId10"/>
    <sheet name="兑换|Exchange" sheetId="24" r:id="rId11"/>
    <sheet name="签到|SignIn" sheetId="9" r:id="rId12"/>
    <sheet name="三日礼|ThreeDays" sheetId="49" r:id="rId13"/>
    <sheet name="道具|Item" sheetId="26" r:id="rId14"/>
    <sheet name="道具|Item-f" sheetId="34" r:id="rId15"/>
    <sheet name="福卡赛奖励|CompetitionBillReward" sheetId="32" r:id="rId16"/>
    <sheet name="BOSS翻N倍玩法|BossOfNfold" sheetId="30" r:id="rId17"/>
    <sheet name="每日充值|Recharge" sheetId="47" r:id="rId18"/>
    <sheet name="福卡鱼潮S值|BasicsBillValue" sheetId="42" r:id="rId19"/>
    <sheet name="话费赛潜艇|AirBalloon" sheetId="19" r:id="rId20"/>
    <sheet name="新手七天|SevenDay" sheetId="33" r:id="rId21"/>
    <sheet name="潜艇等级|AirBallLv" sheetId="46" r:id="rId22"/>
  </sheets>
  <definedNames>
    <definedName name="_xlnm._FilterDatabase" localSheetId="8" hidden="1">'抽奖|MoonBless'!$CU$4:$DI$4</definedName>
  </definedNames>
  <calcPr calcId="162913"/>
</workbook>
</file>

<file path=xl/calcChain.xml><?xml version="1.0" encoding="utf-8"?>
<calcChain xmlns="http://schemas.openxmlformats.org/spreadsheetml/2006/main">
  <c r="AM10" i="22" l="1"/>
  <c r="AL10" i="22"/>
  <c r="AM9" i="22"/>
  <c r="AL9" i="22"/>
  <c r="AM64" i="1" l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B338" i="8" l="1"/>
  <c r="K32" i="46" l="1"/>
  <c r="K33" i="46" s="1"/>
  <c r="K34" i="46" s="1"/>
  <c r="K35" i="46" s="1"/>
  <c r="K36" i="46" s="1"/>
  <c r="K37" i="46" s="1"/>
  <c r="K38" i="46" s="1"/>
  <c r="K39" i="46" s="1"/>
  <c r="K40" i="46" s="1"/>
  <c r="P31" i="46"/>
  <c r="P32" i="46" s="1"/>
  <c r="P33" i="46" s="1"/>
  <c r="P34" i="46" s="1"/>
  <c r="P35" i="46" s="1"/>
  <c r="P36" i="46" s="1"/>
  <c r="P37" i="46" s="1"/>
  <c r="P38" i="46" s="1"/>
  <c r="P39" i="46" s="1"/>
  <c r="P40" i="46" s="1"/>
  <c r="N31" i="46"/>
  <c r="N32" i="46" s="1"/>
  <c r="N33" i="46" s="1"/>
  <c r="N34" i="46" s="1"/>
  <c r="N35" i="46" s="1"/>
  <c r="N36" i="46" s="1"/>
  <c r="N37" i="46" s="1"/>
  <c r="N38" i="46" s="1"/>
  <c r="N39" i="46" s="1"/>
  <c r="N40" i="46" s="1"/>
  <c r="L31" i="46"/>
  <c r="L32" i="46" s="1"/>
  <c r="L33" i="46" s="1"/>
  <c r="R30" i="46"/>
  <c r="S29" i="46" s="1"/>
  <c r="P30" i="46"/>
  <c r="L30" i="46"/>
  <c r="M30" i="46" s="1"/>
  <c r="P29" i="46"/>
  <c r="N29" i="46"/>
  <c r="L29" i="46"/>
  <c r="M29" i="46" s="1"/>
  <c r="P28" i="46"/>
  <c r="N28" i="46"/>
  <c r="L28" i="46"/>
  <c r="M28" i="46" s="1"/>
  <c r="P27" i="46"/>
  <c r="N27" i="46"/>
  <c r="L27" i="46"/>
  <c r="M27" i="46" s="1"/>
  <c r="R26" i="46"/>
  <c r="S25" i="46" s="1"/>
  <c r="P26" i="46"/>
  <c r="L26" i="46"/>
  <c r="M26" i="46" s="1"/>
  <c r="P25" i="46"/>
  <c r="N25" i="46"/>
  <c r="L25" i="46"/>
  <c r="M25" i="46" s="1"/>
  <c r="P24" i="46"/>
  <c r="N24" i="46"/>
  <c r="L24" i="46"/>
  <c r="M24" i="46" s="1"/>
  <c r="P23" i="46"/>
  <c r="N23" i="46"/>
  <c r="L23" i="46"/>
  <c r="M23" i="46" s="1"/>
  <c r="R22" i="46"/>
  <c r="P22" i="46"/>
  <c r="O22" i="46"/>
  <c r="L22" i="46"/>
  <c r="M22" i="46" s="1"/>
  <c r="S21" i="46"/>
  <c r="U21" i="46" s="1"/>
  <c r="R21" i="46"/>
  <c r="Q21" i="46"/>
  <c r="P21" i="46"/>
  <c r="O21" i="46"/>
  <c r="N21" i="46"/>
  <c r="M21" i="46"/>
  <c r="L21" i="46"/>
  <c r="T14" i="46"/>
  <c r="R12" i="46"/>
  <c r="Q12" i="46"/>
  <c r="Q31" i="46" s="1"/>
  <c r="Q32" i="46" s="1"/>
  <c r="Q33" i="46" s="1"/>
  <c r="Q34" i="46" s="1"/>
  <c r="Q35" i="46" s="1"/>
  <c r="Q36" i="46" s="1"/>
  <c r="Q37" i="46" s="1"/>
  <c r="N12" i="46"/>
  <c r="M12" i="46"/>
  <c r="R11" i="46"/>
  <c r="Q11" i="46"/>
  <c r="Q30" i="46" s="1"/>
  <c r="N11" i="46"/>
  <c r="N30" i="46" s="1"/>
  <c r="M11" i="46"/>
  <c r="R10" i="46"/>
  <c r="Q10" i="46"/>
  <c r="Q29" i="46" s="1"/>
  <c r="N10" i="46"/>
  <c r="M10" i="46"/>
  <c r="R9" i="46"/>
  <c r="S8" i="46" s="1"/>
  <c r="Q9" i="46"/>
  <c r="T15" i="46" s="1"/>
  <c r="N9" i="46"/>
  <c r="M9" i="46"/>
  <c r="R8" i="46"/>
  <c r="S7" i="46" s="1"/>
  <c r="Q8" i="46"/>
  <c r="Q27" i="46" s="1"/>
  <c r="N8" i="46"/>
  <c r="M8" i="46"/>
  <c r="R7" i="46"/>
  <c r="S6" i="46" s="1"/>
  <c r="Q7" i="46"/>
  <c r="Q26" i="46" s="1"/>
  <c r="N7" i="46"/>
  <c r="N26" i="46" s="1"/>
  <c r="M7" i="46"/>
  <c r="R6" i="46"/>
  <c r="S5" i="46" s="1"/>
  <c r="Q6" i="46"/>
  <c r="Q25" i="46" s="1"/>
  <c r="N6" i="46"/>
  <c r="M6" i="46"/>
  <c r="R5" i="46"/>
  <c r="S4" i="46" s="1"/>
  <c r="T4" i="46" s="1"/>
  <c r="Q5" i="46"/>
  <c r="Q24" i="46" s="1"/>
  <c r="N5" i="46"/>
  <c r="M5" i="46"/>
  <c r="R4" i="46"/>
  <c r="S3" i="46" s="1"/>
  <c r="T3" i="46" s="1"/>
  <c r="Q4" i="46"/>
  <c r="Q23" i="46" s="1"/>
  <c r="O4" i="46"/>
  <c r="O23" i="46" s="1"/>
  <c r="N4" i="46"/>
  <c r="M4" i="46"/>
  <c r="H4" i="46"/>
  <c r="R3" i="46"/>
  <c r="Q3" i="46"/>
  <c r="Q22" i="46" s="1"/>
  <c r="N3" i="46"/>
  <c r="N22" i="46" s="1"/>
  <c r="M3" i="46"/>
  <c r="S2" i="46"/>
  <c r="U2" i="46" s="1"/>
  <c r="M2" i="46"/>
  <c r="I2" i="46"/>
  <c r="P27" i="33"/>
  <c r="O27" i="33"/>
  <c r="L27" i="33"/>
  <c r="P26" i="33"/>
  <c r="O26" i="33"/>
  <c r="M26" i="33"/>
  <c r="L26" i="33"/>
  <c r="P25" i="33"/>
  <c r="O25" i="33"/>
  <c r="M25" i="33"/>
  <c r="L25" i="33"/>
  <c r="P24" i="33"/>
  <c r="O24" i="33"/>
  <c r="M24" i="33"/>
  <c r="L24" i="33"/>
  <c r="P23" i="33"/>
  <c r="O23" i="33"/>
  <c r="M23" i="33"/>
  <c r="L23" i="33"/>
  <c r="P22" i="33"/>
  <c r="O22" i="33"/>
  <c r="M22" i="33"/>
  <c r="L22" i="33"/>
  <c r="P21" i="33"/>
  <c r="O21" i="33"/>
  <c r="M21" i="33"/>
  <c r="L21" i="33"/>
  <c r="P20" i="33"/>
  <c r="O20" i="33"/>
  <c r="M20" i="33"/>
  <c r="L20" i="33"/>
  <c r="P19" i="33"/>
  <c r="O19" i="33"/>
  <c r="M19" i="33"/>
  <c r="L19" i="33"/>
  <c r="P18" i="33"/>
  <c r="O18" i="33"/>
  <c r="M18" i="33"/>
  <c r="L18" i="33"/>
  <c r="P17" i="33"/>
  <c r="O17" i="33"/>
  <c r="M17" i="33"/>
  <c r="L17" i="33"/>
  <c r="P16" i="33"/>
  <c r="O16" i="33"/>
  <c r="L16" i="33"/>
  <c r="P15" i="33"/>
  <c r="O15" i="33"/>
  <c r="L15" i="33"/>
  <c r="P14" i="33"/>
  <c r="O14" i="33"/>
  <c r="L14" i="33"/>
  <c r="P13" i="33"/>
  <c r="O13" i="33"/>
  <c r="L13" i="33"/>
  <c r="P12" i="33"/>
  <c r="O12" i="33"/>
  <c r="L12" i="33"/>
  <c r="P11" i="33"/>
  <c r="O11" i="33"/>
  <c r="N11" i="33"/>
  <c r="L11" i="33"/>
  <c r="F11" i="33"/>
  <c r="P10" i="33"/>
  <c r="O10" i="33"/>
  <c r="N10" i="33"/>
  <c r="L10" i="33"/>
  <c r="P9" i="33"/>
  <c r="O9" i="33"/>
  <c r="N9" i="33"/>
  <c r="L9" i="33"/>
  <c r="P8" i="33"/>
  <c r="O8" i="33"/>
  <c r="N8" i="33"/>
  <c r="L8" i="33"/>
  <c r="P7" i="33"/>
  <c r="O7" i="33"/>
  <c r="L7" i="33"/>
  <c r="F7" i="33"/>
  <c r="P6" i="33"/>
  <c r="O6" i="33"/>
  <c r="L6" i="33"/>
  <c r="P5" i="33"/>
  <c r="O5" i="33"/>
  <c r="N5" i="33"/>
  <c r="M5" i="33"/>
  <c r="L5" i="33"/>
  <c r="F5" i="33" s="1"/>
  <c r="P4" i="33"/>
  <c r="O4" i="33"/>
  <c r="N4" i="33"/>
  <c r="M4" i="33"/>
  <c r="L4" i="33"/>
  <c r="G10" i="33" s="1"/>
  <c r="D11" i="19"/>
  <c r="C12" i="19" s="1"/>
  <c r="D12" i="19" s="1"/>
  <c r="D9" i="19"/>
  <c r="C10" i="19" s="1"/>
  <c r="D10" i="19" s="1"/>
  <c r="G7" i="19"/>
  <c r="G8" i="19" s="1"/>
  <c r="D7" i="19"/>
  <c r="C8" i="19" s="1"/>
  <c r="D8" i="19" s="1"/>
  <c r="G6" i="19"/>
  <c r="F6" i="19"/>
  <c r="F7" i="19" s="1"/>
  <c r="F8" i="19" s="1"/>
  <c r="E6" i="19"/>
  <c r="E7" i="19" s="1"/>
  <c r="E8" i="19" s="1"/>
  <c r="D6" i="19"/>
  <c r="H5" i="19"/>
  <c r="H6" i="19" s="1"/>
  <c r="H7" i="19" s="1"/>
  <c r="H8" i="19" s="1"/>
  <c r="D5" i="19"/>
  <c r="C6" i="19" s="1"/>
  <c r="L3" i="19"/>
  <c r="I8" i="42"/>
  <c r="I9" i="42" s="1"/>
  <c r="C8" i="42"/>
  <c r="J9" i="42" s="1"/>
  <c r="M9" i="42" s="1"/>
  <c r="M7" i="42"/>
  <c r="I7" i="42"/>
  <c r="C7" i="42"/>
  <c r="J8" i="42" s="1"/>
  <c r="M8" i="42" s="1"/>
  <c r="J6" i="42"/>
  <c r="M6" i="42" s="1"/>
  <c r="C6" i="42"/>
  <c r="J7" i="42" s="1"/>
  <c r="AA26" i="47"/>
  <c r="Z26" i="47"/>
  <c r="X26" i="47"/>
  <c r="W26" i="47"/>
  <c r="AA25" i="47"/>
  <c r="Z25" i="47"/>
  <c r="X25" i="47"/>
  <c r="W25" i="47"/>
  <c r="AA24" i="47"/>
  <c r="Z24" i="47"/>
  <c r="X24" i="47"/>
  <c r="W24" i="47"/>
  <c r="AA23" i="47"/>
  <c r="Z23" i="47"/>
  <c r="X23" i="47"/>
  <c r="W23" i="47"/>
  <c r="AA22" i="47"/>
  <c r="Z22" i="47"/>
  <c r="X22" i="47"/>
  <c r="W22" i="47"/>
  <c r="AA21" i="47"/>
  <c r="Z21" i="47"/>
  <c r="X21" i="47"/>
  <c r="W21" i="47"/>
  <c r="AA20" i="47"/>
  <c r="Z20" i="47"/>
  <c r="X20" i="47"/>
  <c r="W20" i="47"/>
  <c r="AA19" i="47"/>
  <c r="Z19" i="47"/>
  <c r="X19" i="47"/>
  <c r="W19" i="47"/>
  <c r="AA18" i="47"/>
  <c r="Z18" i="47"/>
  <c r="X18" i="47"/>
  <c r="W18" i="47"/>
  <c r="AA17" i="47"/>
  <c r="Z17" i="47"/>
  <c r="X17" i="47"/>
  <c r="W17" i="47"/>
  <c r="AA16" i="47"/>
  <c r="Z16" i="47"/>
  <c r="W16" i="47"/>
  <c r="AA15" i="47"/>
  <c r="Z15" i="47"/>
  <c r="W15" i="47"/>
  <c r="AA14" i="47"/>
  <c r="Z14" i="47"/>
  <c r="W14" i="47"/>
  <c r="AA13" i="47"/>
  <c r="Z13" i="47"/>
  <c r="W13" i="47"/>
  <c r="AA12" i="47"/>
  <c r="Z12" i="47"/>
  <c r="W12" i="47"/>
  <c r="AA11" i="47"/>
  <c r="Z11" i="47"/>
  <c r="Y11" i="47"/>
  <c r="W11" i="47"/>
  <c r="AA10" i="47"/>
  <c r="Z10" i="47"/>
  <c r="Y10" i="47"/>
  <c r="W10" i="47"/>
  <c r="AA9" i="47"/>
  <c r="Z9" i="47"/>
  <c r="Y9" i="47"/>
  <c r="W9" i="47"/>
  <c r="AA8" i="47"/>
  <c r="Z8" i="47"/>
  <c r="Y8" i="47"/>
  <c r="W8" i="47"/>
  <c r="AA7" i="47"/>
  <c r="Z7" i="47"/>
  <c r="W7" i="47"/>
  <c r="AA6" i="47"/>
  <c r="Z6" i="47"/>
  <c r="W6" i="47"/>
  <c r="AA5" i="47"/>
  <c r="Z5" i="47"/>
  <c r="Y5" i="47"/>
  <c r="X5" i="47"/>
  <c r="W5" i="47"/>
  <c r="H5" i="47" s="1"/>
  <c r="AA4" i="47"/>
  <c r="Z4" i="47"/>
  <c r="Y4" i="47"/>
  <c r="X4" i="47"/>
  <c r="W4" i="47"/>
  <c r="H19" i="30"/>
  <c r="C19" i="30"/>
  <c r="B19" i="30"/>
  <c r="C18" i="30"/>
  <c r="H18" i="30" s="1"/>
  <c r="B18" i="30"/>
  <c r="C17" i="30"/>
  <c r="H17" i="30" s="1"/>
  <c r="B17" i="30"/>
  <c r="C16" i="30"/>
  <c r="H16" i="30" s="1"/>
  <c r="B16" i="30"/>
  <c r="H15" i="30"/>
  <c r="C15" i="30"/>
  <c r="B15" i="30"/>
  <c r="C14" i="30"/>
  <c r="H14" i="30" s="1"/>
  <c r="B14" i="30"/>
  <c r="C13" i="30"/>
  <c r="H13" i="30" s="1"/>
  <c r="B13" i="30"/>
  <c r="C12" i="30"/>
  <c r="H12" i="30" s="1"/>
  <c r="B12" i="30"/>
  <c r="H11" i="30"/>
  <c r="C11" i="30"/>
  <c r="B11" i="30"/>
  <c r="C10" i="30"/>
  <c r="H10" i="30" s="1"/>
  <c r="B10" i="30"/>
  <c r="C9" i="30"/>
  <c r="H9" i="30" s="1"/>
  <c r="B9" i="30"/>
  <c r="C8" i="30"/>
  <c r="H8" i="30" s="1"/>
  <c r="B8" i="30"/>
  <c r="H7" i="30"/>
  <c r="C7" i="30"/>
  <c r="B7" i="30"/>
  <c r="C6" i="30"/>
  <c r="H6" i="30" s="1"/>
  <c r="B6" i="30"/>
  <c r="C5" i="30"/>
  <c r="H5" i="30" s="1"/>
  <c r="B5" i="30"/>
  <c r="C30" i="32"/>
  <c r="P24" i="32"/>
  <c r="N24" i="32"/>
  <c r="P23" i="32"/>
  <c r="N23" i="32"/>
  <c r="C21" i="32"/>
  <c r="P15" i="32"/>
  <c r="N15" i="32"/>
  <c r="P14" i="32"/>
  <c r="N14" i="32"/>
  <c r="C12" i="32"/>
  <c r="P6" i="32"/>
  <c r="N6" i="32"/>
  <c r="P5" i="34"/>
  <c r="O5" i="34"/>
  <c r="N5" i="34"/>
  <c r="M5" i="34"/>
  <c r="L5" i="34"/>
  <c r="K5" i="34"/>
  <c r="J5" i="34"/>
  <c r="I5" i="34"/>
  <c r="H5" i="34"/>
  <c r="G5" i="34"/>
  <c r="F5" i="34"/>
  <c r="E5" i="34"/>
  <c r="F48" i="26"/>
  <c r="W47" i="26"/>
  <c r="F47" i="26"/>
  <c r="W46" i="26"/>
  <c r="F46" i="26"/>
  <c r="W45" i="26"/>
  <c r="F45" i="26"/>
  <c r="W44" i="26"/>
  <c r="F44" i="26"/>
  <c r="F43" i="26"/>
  <c r="E43" i="26"/>
  <c r="F42" i="26"/>
  <c r="E42" i="26"/>
  <c r="F41" i="26"/>
  <c r="E41" i="26"/>
  <c r="F40" i="26"/>
  <c r="E40" i="26"/>
  <c r="F39" i="26"/>
  <c r="F38" i="26"/>
  <c r="F37" i="26"/>
  <c r="F36" i="26"/>
  <c r="F35" i="26"/>
  <c r="F34" i="26"/>
  <c r="F33" i="26"/>
  <c r="E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G16" i="26"/>
  <c r="G15" i="26"/>
  <c r="G14" i="26"/>
  <c r="G13" i="26"/>
  <c r="G12" i="26"/>
  <c r="AC27" i="49"/>
  <c r="AB27" i="49"/>
  <c r="X27" i="49"/>
  <c r="AC26" i="49"/>
  <c r="AB26" i="49"/>
  <c r="Y26" i="49"/>
  <c r="X26" i="49"/>
  <c r="AC25" i="49"/>
  <c r="AB25" i="49"/>
  <c r="Y25" i="49"/>
  <c r="X25" i="49"/>
  <c r="AC24" i="49"/>
  <c r="AB24" i="49"/>
  <c r="Y24" i="49"/>
  <c r="X24" i="49"/>
  <c r="AC23" i="49"/>
  <c r="AB23" i="49"/>
  <c r="Y23" i="49"/>
  <c r="X23" i="49"/>
  <c r="AC22" i="49"/>
  <c r="AB22" i="49"/>
  <c r="Y22" i="49"/>
  <c r="X22" i="49"/>
  <c r="AC21" i="49"/>
  <c r="AB21" i="49"/>
  <c r="Y21" i="49"/>
  <c r="X21" i="49"/>
  <c r="AC20" i="49"/>
  <c r="AB20" i="49"/>
  <c r="Y20" i="49"/>
  <c r="X20" i="49"/>
  <c r="AC19" i="49"/>
  <c r="AB19" i="49"/>
  <c r="Y19" i="49"/>
  <c r="X19" i="49"/>
  <c r="AC18" i="49"/>
  <c r="AB18" i="49"/>
  <c r="Y18" i="49"/>
  <c r="X18" i="49"/>
  <c r="AC17" i="49"/>
  <c r="AB17" i="49"/>
  <c r="Y17" i="49"/>
  <c r="X17" i="49"/>
  <c r="AC16" i="49"/>
  <c r="AB16" i="49"/>
  <c r="X16" i="49"/>
  <c r="AC15" i="49"/>
  <c r="AB15" i="49"/>
  <c r="X15" i="49"/>
  <c r="AC14" i="49"/>
  <c r="AB14" i="49"/>
  <c r="X14" i="49"/>
  <c r="AC13" i="49"/>
  <c r="AB13" i="49"/>
  <c r="X13" i="49"/>
  <c r="AC12" i="49"/>
  <c r="AB12" i="49"/>
  <c r="X12" i="49"/>
  <c r="AC11" i="49"/>
  <c r="AB11" i="49"/>
  <c r="Z11" i="49"/>
  <c r="X11" i="49"/>
  <c r="AC10" i="49"/>
  <c r="AB10" i="49"/>
  <c r="Z10" i="49"/>
  <c r="X10" i="49"/>
  <c r="AC9" i="49"/>
  <c r="AB9" i="49"/>
  <c r="Z9" i="49"/>
  <c r="X9" i="49"/>
  <c r="AC8" i="49"/>
  <c r="AB8" i="49"/>
  <c r="M5" i="49" s="1"/>
  <c r="Z8" i="49"/>
  <c r="X8" i="49"/>
  <c r="AC7" i="49"/>
  <c r="AB7" i="49"/>
  <c r="X7" i="49"/>
  <c r="M7" i="49"/>
  <c r="AC6" i="49"/>
  <c r="AB6" i="49"/>
  <c r="X6" i="49"/>
  <c r="S6" i="49"/>
  <c r="AC5" i="49"/>
  <c r="AB5" i="49"/>
  <c r="Z5" i="49"/>
  <c r="Y5" i="49"/>
  <c r="X5" i="49"/>
  <c r="I7" i="49" s="1"/>
  <c r="S5" i="49"/>
  <c r="I5" i="49"/>
  <c r="AC4" i="49"/>
  <c r="AB4" i="49"/>
  <c r="Z4" i="49"/>
  <c r="Y4" i="49"/>
  <c r="X4" i="49"/>
  <c r="R38" i="9"/>
  <c r="R37" i="9"/>
  <c r="R36" i="9"/>
  <c r="R35" i="9"/>
  <c r="W27" i="9"/>
  <c r="V27" i="9"/>
  <c r="S27" i="9"/>
  <c r="W26" i="9"/>
  <c r="V26" i="9"/>
  <c r="T26" i="9"/>
  <c r="S26" i="9"/>
  <c r="W25" i="9"/>
  <c r="V25" i="9"/>
  <c r="T25" i="9"/>
  <c r="S25" i="9"/>
  <c r="W24" i="9"/>
  <c r="V24" i="9"/>
  <c r="T24" i="9"/>
  <c r="S24" i="9"/>
  <c r="W23" i="9"/>
  <c r="V23" i="9"/>
  <c r="T23" i="9"/>
  <c r="S23" i="9"/>
  <c r="W22" i="9"/>
  <c r="V22" i="9"/>
  <c r="T22" i="9"/>
  <c r="S22" i="9"/>
  <c r="W21" i="9"/>
  <c r="V21" i="9"/>
  <c r="T21" i="9"/>
  <c r="S21" i="9"/>
  <c r="W20" i="9"/>
  <c r="V20" i="9"/>
  <c r="T20" i="9"/>
  <c r="S20" i="9"/>
  <c r="W19" i="9"/>
  <c r="V19" i="9"/>
  <c r="T19" i="9"/>
  <c r="S19" i="9"/>
  <c r="W18" i="9"/>
  <c r="V18" i="9"/>
  <c r="T18" i="9"/>
  <c r="S18" i="9"/>
  <c r="N18" i="9"/>
  <c r="L18" i="9"/>
  <c r="W17" i="9"/>
  <c r="V17" i="9"/>
  <c r="T17" i="9"/>
  <c r="S17" i="9"/>
  <c r="N17" i="9"/>
  <c r="W16" i="9"/>
  <c r="V16" i="9"/>
  <c r="S16" i="9"/>
  <c r="N16" i="9"/>
  <c r="W15" i="9"/>
  <c r="V15" i="9"/>
  <c r="S15" i="9"/>
  <c r="N15" i="9"/>
  <c r="W14" i="9"/>
  <c r="V14" i="9"/>
  <c r="S14" i="9"/>
  <c r="N14" i="9"/>
  <c r="W13" i="9"/>
  <c r="V13" i="9"/>
  <c r="S13" i="9"/>
  <c r="N13" i="9"/>
  <c r="M13" i="9"/>
  <c r="W12" i="9"/>
  <c r="V12" i="9"/>
  <c r="S12" i="9"/>
  <c r="N12" i="9"/>
  <c r="W11" i="9"/>
  <c r="V11" i="9"/>
  <c r="U11" i="9"/>
  <c r="S11" i="9"/>
  <c r="J11" i="9"/>
  <c r="O11" i="9" s="1"/>
  <c r="W10" i="9"/>
  <c r="V10" i="9"/>
  <c r="U10" i="9"/>
  <c r="S10" i="9"/>
  <c r="J10" i="9"/>
  <c r="O10" i="9" s="1"/>
  <c r="W9" i="9"/>
  <c r="V9" i="9"/>
  <c r="U9" i="9"/>
  <c r="S9" i="9"/>
  <c r="J9" i="9"/>
  <c r="O9" i="9" s="1"/>
  <c r="W8" i="9"/>
  <c r="V8" i="9"/>
  <c r="U8" i="9"/>
  <c r="S8" i="9"/>
  <c r="R8" i="9"/>
  <c r="J8" i="9"/>
  <c r="O8" i="9" s="1"/>
  <c r="W7" i="9"/>
  <c r="V7" i="9"/>
  <c r="S7" i="9"/>
  <c r="L17" i="9" s="1"/>
  <c r="R7" i="9"/>
  <c r="O7" i="9"/>
  <c r="J7" i="9"/>
  <c r="W6" i="9"/>
  <c r="V6" i="9"/>
  <c r="S6" i="9"/>
  <c r="R6" i="9"/>
  <c r="J6" i="9"/>
  <c r="O6" i="9" s="1"/>
  <c r="W5" i="9"/>
  <c r="V5" i="9"/>
  <c r="U5" i="9"/>
  <c r="T5" i="9"/>
  <c r="S5" i="9"/>
  <c r="R5" i="9"/>
  <c r="O5" i="9"/>
  <c r="L5" i="9"/>
  <c r="H5" i="9"/>
  <c r="W4" i="9"/>
  <c r="V4" i="9"/>
  <c r="U4" i="9"/>
  <c r="T4" i="9"/>
  <c r="S4" i="9"/>
  <c r="L13" i="9" s="1"/>
  <c r="C13" i="9" s="1"/>
  <c r="Q4" i="9"/>
  <c r="P2" i="9"/>
  <c r="M40" i="24"/>
  <c r="F40" i="24"/>
  <c r="F39" i="24"/>
  <c r="F35" i="24"/>
  <c r="Z34" i="24"/>
  <c r="Y34" i="24"/>
  <c r="V34" i="24"/>
  <c r="F34" i="24"/>
  <c r="Z33" i="24"/>
  <c r="Y33" i="24"/>
  <c r="V33" i="24"/>
  <c r="Z32" i="24"/>
  <c r="Y32" i="24"/>
  <c r="V32" i="24"/>
  <c r="Z31" i="24"/>
  <c r="Y31" i="24"/>
  <c r="V31" i="24"/>
  <c r="Z30" i="24"/>
  <c r="Y30" i="24"/>
  <c r="V30" i="24"/>
  <c r="F30" i="24"/>
  <c r="Z29" i="24"/>
  <c r="Y29" i="24"/>
  <c r="V29" i="24"/>
  <c r="F29" i="24"/>
  <c r="Z28" i="24"/>
  <c r="Y28" i="24"/>
  <c r="V28" i="24"/>
  <c r="F28" i="24"/>
  <c r="Z27" i="24"/>
  <c r="Y27" i="24"/>
  <c r="V27" i="24"/>
  <c r="F27" i="24"/>
  <c r="Z26" i="24"/>
  <c r="Y26" i="24"/>
  <c r="W26" i="24"/>
  <c r="V26" i="24"/>
  <c r="F26" i="24"/>
  <c r="Z25" i="24"/>
  <c r="Y25" i="24"/>
  <c r="W25" i="24"/>
  <c r="V25" i="24"/>
  <c r="F25" i="24"/>
  <c r="Z24" i="24"/>
  <c r="Y24" i="24"/>
  <c r="W24" i="24"/>
  <c r="V24" i="24"/>
  <c r="F24" i="24"/>
  <c r="Z23" i="24"/>
  <c r="Y23" i="24"/>
  <c r="W23" i="24"/>
  <c r="V23" i="24"/>
  <c r="F23" i="24"/>
  <c r="Z22" i="24"/>
  <c r="Y22" i="24"/>
  <c r="W22" i="24"/>
  <c r="V22" i="24"/>
  <c r="F22" i="24"/>
  <c r="Z21" i="24"/>
  <c r="Y21" i="24"/>
  <c r="W21" i="24"/>
  <c r="V21" i="24"/>
  <c r="F21" i="24"/>
  <c r="Z20" i="24"/>
  <c r="Y20" i="24"/>
  <c r="W20" i="24"/>
  <c r="V20" i="24"/>
  <c r="Z19" i="24"/>
  <c r="Y19" i="24"/>
  <c r="W19" i="24"/>
  <c r="V19" i="24"/>
  <c r="Z18" i="24"/>
  <c r="Y18" i="24"/>
  <c r="W18" i="24"/>
  <c r="V18" i="24"/>
  <c r="Z17" i="24"/>
  <c r="Y17" i="24"/>
  <c r="W17" i="24"/>
  <c r="V17" i="24"/>
  <c r="Z16" i="24"/>
  <c r="Y16" i="24"/>
  <c r="V16" i="24"/>
  <c r="Z15" i="24"/>
  <c r="Y15" i="24"/>
  <c r="V15" i="24"/>
  <c r="F15" i="24"/>
  <c r="Z14" i="24"/>
  <c r="Y14" i="24"/>
  <c r="V14" i="24"/>
  <c r="F14" i="24"/>
  <c r="Z13" i="24"/>
  <c r="Y13" i="24"/>
  <c r="V13" i="24"/>
  <c r="F13" i="24"/>
  <c r="Z12" i="24"/>
  <c r="Y12" i="24"/>
  <c r="V12" i="24"/>
  <c r="F12" i="24"/>
  <c r="AM11" i="24"/>
  <c r="Z11" i="24"/>
  <c r="Y11" i="24"/>
  <c r="X11" i="24"/>
  <c r="V11" i="24"/>
  <c r="F11" i="24"/>
  <c r="AM10" i="24"/>
  <c r="Z10" i="24"/>
  <c r="Y10" i="24"/>
  <c r="X10" i="24"/>
  <c r="V10" i="24"/>
  <c r="F10" i="24"/>
  <c r="AM9" i="24"/>
  <c r="Z9" i="24"/>
  <c r="Y9" i="24"/>
  <c r="X9" i="24"/>
  <c r="V9" i="24"/>
  <c r="F9" i="24"/>
  <c r="AM8" i="24"/>
  <c r="Z8" i="24"/>
  <c r="Y8" i="24"/>
  <c r="X8" i="24"/>
  <c r="V8" i="24"/>
  <c r="S14" i="24" s="1"/>
  <c r="L14" i="24" s="1"/>
  <c r="M8" i="24"/>
  <c r="F8" i="24"/>
  <c r="AJ7" i="24"/>
  <c r="Z7" i="24"/>
  <c r="Y7" i="24"/>
  <c r="V7" i="24"/>
  <c r="Q7" i="24"/>
  <c r="F7" i="24"/>
  <c r="AM6" i="24"/>
  <c r="Z6" i="24"/>
  <c r="Y6" i="24"/>
  <c r="V6" i="24"/>
  <c r="F6" i="24"/>
  <c r="Z5" i="24"/>
  <c r="Y5" i="24"/>
  <c r="X5" i="24"/>
  <c r="X12" i="24" s="1"/>
  <c r="W5" i="24"/>
  <c r="W12" i="24" s="1"/>
  <c r="V5" i="24"/>
  <c r="F5" i="24"/>
  <c r="Z4" i="24"/>
  <c r="Y4" i="24"/>
  <c r="X4" i="24"/>
  <c r="W4" i="24"/>
  <c r="V4" i="24"/>
  <c r="S13" i="24" s="1"/>
  <c r="L13" i="24" s="1"/>
  <c r="R88" i="25"/>
  <c r="R87" i="25"/>
  <c r="R86" i="25"/>
  <c r="R85" i="25"/>
  <c r="R84" i="25"/>
  <c r="R83" i="25"/>
  <c r="R82" i="25"/>
  <c r="R81" i="25"/>
  <c r="R80" i="25"/>
  <c r="R79" i="25"/>
  <c r="R78" i="25"/>
  <c r="R77" i="25"/>
  <c r="R76" i="25"/>
  <c r="R75" i="25"/>
  <c r="R74" i="25"/>
  <c r="R63" i="25"/>
  <c r="R62" i="25"/>
  <c r="R61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Q38" i="25"/>
  <c r="Q37" i="25"/>
  <c r="Q36" i="25"/>
  <c r="Q35" i="25"/>
  <c r="Q34" i="25"/>
  <c r="Q33" i="25"/>
  <c r="I33" i="25"/>
  <c r="AE32" i="25"/>
  <c r="AD32" i="25"/>
  <c r="AC32" i="25"/>
  <c r="Z32" i="25"/>
  <c r="Q32" i="25"/>
  <c r="K32" i="25"/>
  <c r="AE31" i="25"/>
  <c r="AD31" i="25"/>
  <c r="AC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I28" i="25"/>
  <c r="Q28" i="25" s="1"/>
  <c r="AE27" i="25"/>
  <c r="AD27" i="25"/>
  <c r="AC27" i="25"/>
  <c r="Z27" i="25"/>
  <c r="K27" i="25"/>
  <c r="Q27" i="25" s="1"/>
  <c r="AE26" i="25"/>
  <c r="AD26" i="25"/>
  <c r="AC26" i="25"/>
  <c r="AA26" i="25"/>
  <c r="Z26" i="25"/>
  <c r="Q26" i="25"/>
  <c r="AE25" i="25"/>
  <c r="AD25" i="25"/>
  <c r="AC25" i="25"/>
  <c r="AA25" i="25"/>
  <c r="Z25" i="25"/>
  <c r="Q25" i="25"/>
  <c r="AE24" i="25"/>
  <c r="AD24" i="25"/>
  <c r="AC24" i="25"/>
  <c r="AA24" i="25"/>
  <c r="Z24" i="25"/>
  <c r="Q24" i="25"/>
  <c r="AE23" i="25"/>
  <c r="AD23" i="25"/>
  <c r="AC23" i="25"/>
  <c r="AA23" i="25"/>
  <c r="Z23" i="25"/>
  <c r="Y23" i="25"/>
  <c r="I23" i="25"/>
  <c r="Q23" i="25" s="1"/>
  <c r="AE22" i="25"/>
  <c r="AD22" i="25"/>
  <c r="AC22" i="25"/>
  <c r="AA22" i="25"/>
  <c r="Z22" i="25"/>
  <c r="Y22" i="25"/>
  <c r="Q22" i="25"/>
  <c r="K22" i="25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A19" i="25"/>
  <c r="Z19" i="25"/>
  <c r="Q19" i="25"/>
  <c r="AE18" i="25"/>
  <c r="AD18" i="25"/>
  <c r="AC18" i="25"/>
  <c r="AA18" i="25"/>
  <c r="Z18" i="25"/>
  <c r="Q18" i="25"/>
  <c r="AE17" i="25"/>
  <c r="AD17" i="25"/>
  <c r="AC17" i="25"/>
  <c r="AA17" i="25"/>
  <c r="Z17" i="25"/>
  <c r="Q17" i="25"/>
  <c r="AE16" i="25"/>
  <c r="AD16" i="25"/>
  <c r="AC16" i="25"/>
  <c r="Z16" i="25"/>
  <c r="Q16" i="25"/>
  <c r="AE15" i="25"/>
  <c r="AD15" i="25"/>
  <c r="AC15" i="25"/>
  <c r="Z15" i="25"/>
  <c r="Q15" i="25"/>
  <c r="G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Z9" i="25"/>
  <c r="Q9" i="25"/>
  <c r="AE8" i="25"/>
  <c r="AD8" i="25"/>
  <c r="AC8" i="25"/>
  <c r="AB8" i="25"/>
  <c r="Z8" i="25"/>
  <c r="Q8" i="25"/>
  <c r="AE7" i="25"/>
  <c r="AD7" i="25"/>
  <c r="AC7" i="25"/>
  <c r="Z7" i="25"/>
  <c r="Q7" i="25"/>
  <c r="AE6" i="25"/>
  <c r="AD6" i="25"/>
  <c r="AC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DB84" i="31"/>
  <c r="CY84" i="31"/>
  <c r="CW84" i="31"/>
  <c r="CV84" i="31"/>
  <c r="CS84" i="31"/>
  <c r="DB83" i="31"/>
  <c r="DA83" i="31"/>
  <c r="CZ83" i="31"/>
  <c r="CY83" i="31"/>
  <c r="CW83" i="31"/>
  <c r="CV83" i="31"/>
  <c r="DB82" i="31"/>
  <c r="CY82" i="31"/>
  <c r="DA82" i="31" s="1"/>
  <c r="CW82" i="31"/>
  <c r="CV82" i="31"/>
  <c r="DB81" i="31"/>
  <c r="CY81" i="31"/>
  <c r="DA81" i="31" s="1"/>
  <c r="CW81" i="31"/>
  <c r="CV81" i="31"/>
  <c r="DB80" i="31"/>
  <c r="DA80" i="31"/>
  <c r="CZ80" i="31"/>
  <c r="CY80" i="31"/>
  <c r="CW80" i="31"/>
  <c r="CV80" i="31"/>
  <c r="DB79" i="31"/>
  <c r="CY79" i="31"/>
  <c r="CW79" i="31"/>
  <c r="CV79" i="31"/>
  <c r="DB78" i="31"/>
  <c r="CZ78" i="31"/>
  <c r="CY78" i="31"/>
  <c r="CW78" i="31"/>
  <c r="CV78" i="31"/>
  <c r="DB77" i="31"/>
  <c r="CY77" i="31"/>
  <c r="CW77" i="31"/>
  <c r="CV77" i="31"/>
  <c r="DB76" i="31"/>
  <c r="CZ76" i="31"/>
  <c r="CY76" i="31"/>
  <c r="CW76" i="31"/>
  <c r="CV76" i="31"/>
  <c r="DB75" i="31"/>
  <c r="DA75" i="31"/>
  <c r="CZ75" i="31"/>
  <c r="CY75" i="31"/>
  <c r="CW75" i="31"/>
  <c r="CV75" i="31"/>
  <c r="CT75" i="31"/>
  <c r="DB74" i="31"/>
  <c r="CZ74" i="31"/>
  <c r="CY74" i="31"/>
  <c r="DA74" i="31" s="1"/>
  <c r="CW74" i="31"/>
  <c r="CV74" i="31"/>
  <c r="CS74" i="31"/>
  <c r="DB73" i="31"/>
  <c r="CY73" i="31"/>
  <c r="CW73" i="31"/>
  <c r="CV73" i="31"/>
  <c r="DB72" i="31"/>
  <c r="CZ72" i="31"/>
  <c r="CY72" i="31"/>
  <c r="CW72" i="31"/>
  <c r="CV72" i="31"/>
  <c r="DB71" i="31"/>
  <c r="CY71" i="31"/>
  <c r="CW71" i="31"/>
  <c r="CV71" i="31"/>
  <c r="DB70" i="31"/>
  <c r="CZ70" i="31"/>
  <c r="CY70" i="31"/>
  <c r="CW70" i="31"/>
  <c r="CV70" i="31"/>
  <c r="DB69" i="31"/>
  <c r="DA69" i="31"/>
  <c r="CZ69" i="31"/>
  <c r="CY69" i="31"/>
  <c r="CW69" i="31"/>
  <c r="CV69" i="31"/>
  <c r="DB68" i="31"/>
  <c r="CY68" i="31"/>
  <c r="DA68" i="31" s="1"/>
  <c r="CW68" i="31"/>
  <c r="CV68" i="31"/>
  <c r="DB67" i="31"/>
  <c r="CZ67" i="31"/>
  <c r="CY67" i="31"/>
  <c r="DA67" i="31" s="1"/>
  <c r="CW67" i="31"/>
  <c r="CV67" i="31"/>
  <c r="DB66" i="31"/>
  <c r="DA66" i="31"/>
  <c r="CZ66" i="31"/>
  <c r="CY66" i="31"/>
  <c r="CW66" i="31"/>
  <c r="CV66" i="31"/>
  <c r="DB65" i="31"/>
  <c r="CY65" i="31"/>
  <c r="CW65" i="31"/>
  <c r="CV65" i="31"/>
  <c r="DB64" i="31"/>
  <c r="CY64" i="31"/>
  <c r="CW64" i="31"/>
  <c r="CV64" i="31"/>
  <c r="CS64" i="31"/>
  <c r="DB63" i="31"/>
  <c r="DA63" i="31"/>
  <c r="CZ63" i="31"/>
  <c r="CY63" i="31"/>
  <c r="CW63" i="31"/>
  <c r="CV63" i="31"/>
  <c r="DB62" i="31"/>
  <c r="CY62" i="31"/>
  <c r="DA62" i="31" s="1"/>
  <c r="CW62" i="31"/>
  <c r="CV62" i="31"/>
  <c r="DB61" i="31"/>
  <c r="CZ61" i="31"/>
  <c r="CY61" i="31"/>
  <c r="DA61" i="31" s="1"/>
  <c r="CW61" i="31"/>
  <c r="CV61" i="31"/>
  <c r="DB60" i="31"/>
  <c r="DA60" i="31"/>
  <c r="CZ60" i="31"/>
  <c r="CY60" i="31"/>
  <c r="CW60" i="31"/>
  <c r="CV60" i="31"/>
  <c r="DB59" i="31"/>
  <c r="CY59" i="31"/>
  <c r="CW59" i="31"/>
  <c r="CV59" i="31"/>
  <c r="DB58" i="31"/>
  <c r="CZ58" i="31"/>
  <c r="CY58" i="31"/>
  <c r="DD58" i="31" s="1"/>
  <c r="CW58" i="31"/>
  <c r="CV58" i="31"/>
  <c r="DB57" i="31"/>
  <c r="CY57" i="31"/>
  <c r="CW57" i="31"/>
  <c r="CV57" i="31"/>
  <c r="DB56" i="31"/>
  <c r="CZ56" i="31"/>
  <c r="CY56" i="31"/>
  <c r="CW56" i="31"/>
  <c r="CV56" i="31"/>
  <c r="DB55" i="31"/>
  <c r="DA55" i="31"/>
  <c r="CZ55" i="31"/>
  <c r="CY55" i="31"/>
  <c r="CW55" i="31"/>
  <c r="CV55" i="31"/>
  <c r="DB54" i="31"/>
  <c r="CZ54" i="31"/>
  <c r="CY54" i="31"/>
  <c r="DA54" i="31" s="1"/>
  <c r="CW54" i="31"/>
  <c r="CV54" i="31"/>
  <c r="CS54" i="31"/>
  <c r="DB53" i="31"/>
  <c r="CY53" i="31"/>
  <c r="CW53" i="31"/>
  <c r="CV53" i="31"/>
  <c r="DB52" i="31"/>
  <c r="CZ52" i="31"/>
  <c r="CY52" i="31"/>
  <c r="DD52" i="31" s="1"/>
  <c r="CW52" i="31"/>
  <c r="CV52" i="31"/>
  <c r="DB51" i="31"/>
  <c r="CY51" i="31"/>
  <c r="CW51" i="31"/>
  <c r="CV51" i="31"/>
  <c r="DB50" i="31"/>
  <c r="CZ50" i="31"/>
  <c r="CY50" i="31"/>
  <c r="CW50" i="31"/>
  <c r="CV50" i="31"/>
  <c r="DB49" i="31"/>
  <c r="DA49" i="31"/>
  <c r="CZ49" i="31"/>
  <c r="CY49" i="31"/>
  <c r="CW49" i="31"/>
  <c r="CV49" i="31"/>
  <c r="DB48" i="31"/>
  <c r="CY48" i="31"/>
  <c r="DA48" i="31" s="1"/>
  <c r="CW48" i="31"/>
  <c r="CV48" i="31"/>
  <c r="DB47" i="31"/>
  <c r="CZ47" i="31"/>
  <c r="CY47" i="31"/>
  <c r="DA47" i="31" s="1"/>
  <c r="CW47" i="31"/>
  <c r="CV47" i="31"/>
  <c r="DB46" i="31"/>
  <c r="DA46" i="31"/>
  <c r="CZ46" i="31"/>
  <c r="CY46" i="31"/>
  <c r="CW46" i="31"/>
  <c r="CV46" i="31"/>
  <c r="DB45" i="31"/>
  <c r="CY45" i="31"/>
  <c r="CW45" i="31"/>
  <c r="CV45" i="31"/>
  <c r="DB44" i="31"/>
  <c r="DA44" i="31"/>
  <c r="CY44" i="31"/>
  <c r="CW44" i="31"/>
  <c r="CV44" i="31"/>
  <c r="CS44" i="31"/>
  <c r="DB43" i="31"/>
  <c r="DA43" i="31"/>
  <c r="CB8" i="31" s="1"/>
  <c r="CZ43" i="31"/>
  <c r="CY43" i="31"/>
  <c r="CW43" i="31"/>
  <c r="CV43" i="31"/>
  <c r="DB42" i="31"/>
  <c r="CY42" i="31"/>
  <c r="CW42" i="31"/>
  <c r="CV42" i="31"/>
  <c r="DB41" i="31"/>
  <c r="CZ41" i="31"/>
  <c r="CY41" i="31"/>
  <c r="DA41" i="31" s="1"/>
  <c r="CW41" i="31"/>
  <c r="CV41" i="31"/>
  <c r="BI8" i="31" s="1"/>
  <c r="DB40" i="31"/>
  <c r="DA40" i="31"/>
  <c r="CZ40" i="31"/>
  <c r="CY40" i="31"/>
  <c r="CW40" i="31"/>
  <c r="CV40" i="31"/>
  <c r="DE39" i="31"/>
  <c r="AT8" i="31" s="1"/>
  <c r="DB39" i="31"/>
  <c r="CY39" i="31"/>
  <c r="CW39" i="31"/>
  <c r="CV39" i="31"/>
  <c r="DB38" i="31"/>
  <c r="CZ38" i="31"/>
  <c r="CY38" i="31"/>
  <c r="DD38" i="31" s="1"/>
  <c r="CW38" i="31"/>
  <c r="CV38" i="31"/>
  <c r="DB37" i="31"/>
  <c r="DA37" i="31"/>
  <c r="CY37" i="31"/>
  <c r="CZ37" i="31" s="1"/>
  <c r="CW37" i="31"/>
  <c r="CV37" i="31"/>
  <c r="DB36" i="31"/>
  <c r="CZ36" i="31"/>
  <c r="CY36" i="31"/>
  <c r="CW36" i="31"/>
  <c r="CV36" i="31"/>
  <c r="DB35" i="31"/>
  <c r="DA35" i="31"/>
  <c r="CZ35" i="31"/>
  <c r="CY35" i="31"/>
  <c r="CW35" i="31"/>
  <c r="CV35" i="31"/>
  <c r="DA34" i="31"/>
  <c r="CZ34" i="31"/>
  <c r="CY34" i="31"/>
  <c r="CW34" i="31"/>
  <c r="CV34" i="31"/>
  <c r="CS34" i="31"/>
  <c r="DE33" i="31"/>
  <c r="CD7" i="31" s="1"/>
  <c r="DA33" i="31"/>
  <c r="CY33" i="31"/>
  <c r="CW33" i="31"/>
  <c r="CV33" i="31"/>
  <c r="DA32" i="31"/>
  <c r="CZ32" i="31"/>
  <c r="CY32" i="31"/>
  <c r="CW32" i="31"/>
  <c r="CV32" i="31"/>
  <c r="CY31" i="31"/>
  <c r="CW31" i="31"/>
  <c r="CV31" i="31"/>
  <c r="CZ30" i="31"/>
  <c r="CY30" i="31"/>
  <c r="CW30" i="31"/>
  <c r="CV30" i="31"/>
  <c r="DA29" i="31"/>
  <c r="CZ29" i="31"/>
  <c r="CY29" i="31"/>
  <c r="CW29" i="31"/>
  <c r="CV29" i="31"/>
  <c r="DB28" i="31"/>
  <c r="DA28" i="31"/>
  <c r="CZ28" i="31"/>
  <c r="CY28" i="31"/>
  <c r="CW28" i="31"/>
  <c r="CV28" i="31"/>
  <c r="DB27" i="31"/>
  <c r="DA27" i="31"/>
  <c r="CY27" i="31"/>
  <c r="CZ27" i="31" s="1"/>
  <c r="CW27" i="31"/>
  <c r="CV27" i="31"/>
  <c r="DP26" i="31"/>
  <c r="DB26" i="31"/>
  <c r="DA26" i="31"/>
  <c r="CZ26" i="31"/>
  <c r="CY26" i="31"/>
  <c r="CW26" i="31"/>
  <c r="CV26" i="31"/>
  <c r="DW25" i="31"/>
  <c r="DP25" i="31"/>
  <c r="DD25" i="31"/>
  <c r="DB25" i="31"/>
  <c r="DA25" i="31"/>
  <c r="CZ25" i="31"/>
  <c r="CY25" i="31"/>
  <c r="CW25" i="31"/>
  <c r="CV25" i="31"/>
  <c r="CT25" i="31"/>
  <c r="DP24" i="31"/>
  <c r="DB24" i="31"/>
  <c r="CY24" i="31"/>
  <c r="CZ24" i="31" s="1"/>
  <c r="CW24" i="31"/>
  <c r="CV24" i="31"/>
  <c r="CS24" i="31"/>
  <c r="DP23" i="31"/>
  <c r="DB23" i="31"/>
  <c r="CY23" i="31"/>
  <c r="CZ23" i="31" s="1"/>
  <c r="CW23" i="31"/>
  <c r="CV23" i="31"/>
  <c r="DP22" i="31"/>
  <c r="DB22" i="31"/>
  <c r="DA22" i="31"/>
  <c r="CZ22" i="31"/>
  <c r="CY22" i="31"/>
  <c r="CW22" i="31"/>
  <c r="CV22" i="31"/>
  <c r="DP21" i="31"/>
  <c r="DB21" i="31"/>
  <c r="CZ21" i="31"/>
  <c r="CY21" i="31"/>
  <c r="DD21" i="31" s="1"/>
  <c r="CW21" i="31"/>
  <c r="CV21" i="31"/>
  <c r="DP20" i="31"/>
  <c r="DB20" i="31"/>
  <c r="BA6" i="31" s="1"/>
  <c r="DA20" i="31"/>
  <c r="CZ20" i="31"/>
  <c r="CY20" i="31"/>
  <c r="CW20" i="31"/>
  <c r="CV20" i="31"/>
  <c r="DP19" i="31"/>
  <c r="DD19" i="31"/>
  <c r="DB19" i="31"/>
  <c r="CY19" i="31"/>
  <c r="DA19" i="31" s="1"/>
  <c r="CW19" i="31"/>
  <c r="CV19" i="31"/>
  <c r="DP18" i="31"/>
  <c r="DB18" i="31"/>
  <c r="DA18" i="31"/>
  <c r="CZ18" i="31"/>
  <c r="CY18" i="31"/>
  <c r="CW18" i="31"/>
  <c r="AH6" i="31" s="1"/>
  <c r="CV18" i="31"/>
  <c r="DP17" i="31"/>
  <c r="DB17" i="31"/>
  <c r="CZ17" i="31"/>
  <c r="CY17" i="31"/>
  <c r="DD17" i="31" s="1"/>
  <c r="CW17" i="31"/>
  <c r="CV17" i="31"/>
  <c r="DB16" i="31"/>
  <c r="DA16" i="31"/>
  <c r="CZ16" i="31"/>
  <c r="CY16" i="31"/>
  <c r="DD16" i="31" s="1"/>
  <c r="CW16" i="31"/>
  <c r="CV16" i="31"/>
  <c r="DB15" i="31"/>
  <c r="DA15" i="31"/>
  <c r="CZ15" i="31"/>
  <c r="CY15" i="31"/>
  <c r="CW15" i="31"/>
  <c r="G6" i="31" s="1"/>
  <c r="CV15" i="31"/>
  <c r="DA14" i="31"/>
  <c r="CZ14" i="31"/>
  <c r="CY14" i="31"/>
  <c r="CW14" i="31"/>
  <c r="CV14" i="31"/>
  <c r="CS14" i="31"/>
  <c r="DE13" i="31"/>
  <c r="CD5" i="31" s="1"/>
  <c r="CY13" i="31"/>
  <c r="DA13" i="31" s="1"/>
  <c r="CW13" i="31"/>
  <c r="CV13" i="31"/>
  <c r="DT12" i="31"/>
  <c r="CY12" i="31"/>
  <c r="CW12" i="31"/>
  <c r="CV12" i="31"/>
  <c r="CQ12" i="31"/>
  <c r="CP12" i="31"/>
  <c r="CO12" i="31"/>
  <c r="CJ12" i="31"/>
  <c r="CH12" i="31"/>
  <c r="CG12" i="31"/>
  <c r="CF12" i="31"/>
  <c r="CE12" i="31"/>
  <c r="CB12" i="31"/>
  <c r="CA12" i="31"/>
  <c r="BY12" i="31"/>
  <c r="BX12" i="31"/>
  <c r="BW12" i="31"/>
  <c r="BV12" i="31"/>
  <c r="BR12" i="31"/>
  <c r="BP12" i="31"/>
  <c r="BO12" i="31"/>
  <c r="BN12" i="31"/>
  <c r="BM12" i="31"/>
  <c r="BI12" i="31"/>
  <c r="BG12" i="31"/>
  <c r="BF12" i="31"/>
  <c r="BE12" i="31"/>
  <c r="BD12" i="31"/>
  <c r="BA12" i="31"/>
  <c r="AZ12" i="31"/>
  <c r="AX12" i="31"/>
  <c r="AW12" i="31"/>
  <c r="AV12" i="31"/>
  <c r="AU12" i="31"/>
  <c r="AQ12" i="31"/>
  <c r="AO12" i="31"/>
  <c r="AN12" i="31"/>
  <c r="AM12" i="31"/>
  <c r="AL12" i="31"/>
  <c r="AH12" i="31"/>
  <c r="AF12" i="31"/>
  <c r="AE12" i="31"/>
  <c r="AD12" i="31"/>
  <c r="AC12" i="31"/>
  <c r="Y12" i="31"/>
  <c r="W12" i="31"/>
  <c r="V12" i="31"/>
  <c r="U12" i="31"/>
  <c r="T12" i="31"/>
  <c r="P12" i="31"/>
  <c r="N12" i="31"/>
  <c r="M12" i="31"/>
  <c r="L12" i="31"/>
  <c r="H12" i="31"/>
  <c r="G12" i="31"/>
  <c r="DO11" i="31"/>
  <c r="DA11" i="31"/>
  <c r="CZ11" i="31"/>
  <c r="CY11" i="31"/>
  <c r="CW11" i="31"/>
  <c r="CV11" i="31"/>
  <c r="CQ11" i="31"/>
  <c r="CP11" i="31"/>
  <c r="CO11" i="31"/>
  <c r="CK11" i="31"/>
  <c r="CJ11" i="31"/>
  <c r="CH11" i="31"/>
  <c r="CG11" i="31"/>
  <c r="CF11" i="31"/>
  <c r="CE11" i="31"/>
  <c r="CA11" i="31"/>
  <c r="BY11" i="31"/>
  <c r="BX11" i="31"/>
  <c r="BW11" i="31"/>
  <c r="BV11" i="31"/>
  <c r="BR11" i="31"/>
  <c r="BP11" i="31"/>
  <c r="BO11" i="31"/>
  <c r="BN11" i="31"/>
  <c r="BM11" i="31"/>
  <c r="BI11" i="31"/>
  <c r="BG11" i="31"/>
  <c r="BF11" i="31"/>
  <c r="BE11" i="31"/>
  <c r="BD11" i="31"/>
  <c r="AZ11" i="31"/>
  <c r="AX11" i="31"/>
  <c r="AW11" i="31"/>
  <c r="AV11" i="31"/>
  <c r="AU11" i="31"/>
  <c r="AR11" i="31"/>
  <c r="AQ11" i="31"/>
  <c r="AO11" i="31"/>
  <c r="AN11" i="31"/>
  <c r="AM11" i="31"/>
  <c r="AL11" i="31"/>
  <c r="AH11" i="31"/>
  <c r="AF11" i="31"/>
  <c r="AE11" i="31"/>
  <c r="AD11" i="31"/>
  <c r="AC11" i="31"/>
  <c r="Z11" i="31"/>
  <c r="Y11" i="31"/>
  <c r="W11" i="31"/>
  <c r="V11" i="31"/>
  <c r="U11" i="31"/>
  <c r="T11" i="31"/>
  <c r="Q11" i="31"/>
  <c r="P11" i="31"/>
  <c r="N11" i="31"/>
  <c r="M11" i="31"/>
  <c r="L11" i="31"/>
  <c r="G11" i="31"/>
  <c r="E11" i="31"/>
  <c r="CT65" i="31" s="1"/>
  <c r="DO10" i="31"/>
  <c r="DB10" i="31"/>
  <c r="CY10" i="31"/>
  <c r="CW10" i="31"/>
  <c r="CV10" i="31"/>
  <c r="CQ10" i="31"/>
  <c r="CP10" i="31"/>
  <c r="CO10" i="31"/>
  <c r="CJ10" i="31"/>
  <c r="CH10" i="31"/>
  <c r="CG10" i="31"/>
  <c r="CF10" i="31"/>
  <c r="CE10" i="31"/>
  <c r="CB10" i="31"/>
  <c r="CA10" i="31"/>
  <c r="BY10" i="31"/>
  <c r="BX10" i="31"/>
  <c r="BW10" i="31"/>
  <c r="BV10" i="31"/>
  <c r="BR10" i="31"/>
  <c r="BP10" i="31"/>
  <c r="BO10" i="31"/>
  <c r="BN10" i="31"/>
  <c r="BM10" i="31"/>
  <c r="BJ10" i="31"/>
  <c r="BI10" i="31"/>
  <c r="BG10" i="31"/>
  <c r="BF10" i="31"/>
  <c r="BE10" i="31"/>
  <c r="BD10" i="31"/>
  <c r="BA10" i="31"/>
  <c r="AZ10" i="31"/>
  <c r="AX10" i="31"/>
  <c r="AW10" i="31"/>
  <c r="AV10" i="31"/>
  <c r="AU10" i="31"/>
  <c r="AQ10" i="31"/>
  <c r="AO10" i="31"/>
  <c r="AN10" i="31"/>
  <c r="AM10" i="31"/>
  <c r="AL10" i="31"/>
  <c r="AH10" i="31"/>
  <c r="AF10" i="31"/>
  <c r="AE10" i="31"/>
  <c r="AD10" i="31"/>
  <c r="AC10" i="31"/>
  <c r="Y10" i="31"/>
  <c r="W10" i="31"/>
  <c r="V10" i="31"/>
  <c r="U10" i="31"/>
  <c r="T10" i="31"/>
  <c r="P10" i="31"/>
  <c r="N10" i="31"/>
  <c r="M10" i="31"/>
  <c r="L10" i="31"/>
  <c r="K10" i="31"/>
  <c r="H10" i="31"/>
  <c r="G10" i="31"/>
  <c r="E10" i="31"/>
  <c r="CT55" i="31" s="1"/>
  <c r="DO9" i="31"/>
  <c r="DB9" i="31"/>
  <c r="DA9" i="31"/>
  <c r="AR5" i="31" s="1"/>
  <c r="CZ9" i="31"/>
  <c r="CY9" i="31"/>
  <c r="DD9" i="31" s="1"/>
  <c r="CW9" i="31"/>
  <c r="CV9" i="31"/>
  <c r="CQ9" i="31"/>
  <c r="CP9" i="31"/>
  <c r="CO9" i="31"/>
  <c r="CK9" i="31"/>
  <c r="CJ9" i="31"/>
  <c r="CH9" i="31"/>
  <c r="CG9" i="31"/>
  <c r="CF9" i="31"/>
  <c r="CE9" i="31"/>
  <c r="CA9" i="31"/>
  <c r="BY9" i="31"/>
  <c r="BX9" i="31"/>
  <c r="BW9" i="31"/>
  <c r="BV9" i="31"/>
  <c r="BR9" i="31"/>
  <c r="BP9" i="31"/>
  <c r="BO9" i="31"/>
  <c r="BN9" i="31"/>
  <c r="BM9" i="31"/>
  <c r="BI9" i="31"/>
  <c r="BG9" i="31"/>
  <c r="BF9" i="31"/>
  <c r="BE9" i="31"/>
  <c r="BD9" i="31"/>
  <c r="AZ9" i="31"/>
  <c r="AX9" i="31"/>
  <c r="AW9" i="31"/>
  <c r="AV9" i="31"/>
  <c r="AU9" i="31"/>
  <c r="AR9" i="31"/>
  <c r="AQ9" i="31"/>
  <c r="AO9" i="31"/>
  <c r="AN9" i="31"/>
  <c r="AM9" i="31"/>
  <c r="AL9" i="31"/>
  <c r="AH9" i="31"/>
  <c r="AF9" i="31"/>
  <c r="AE9" i="31"/>
  <c r="AD9" i="31"/>
  <c r="AC9" i="31"/>
  <c r="Z9" i="31"/>
  <c r="Y9" i="31"/>
  <c r="W9" i="31"/>
  <c r="V9" i="31"/>
  <c r="U9" i="31"/>
  <c r="T9" i="31"/>
  <c r="Q9" i="31"/>
  <c r="P9" i="31"/>
  <c r="N9" i="31"/>
  <c r="M9" i="31"/>
  <c r="L9" i="31"/>
  <c r="K9" i="31"/>
  <c r="G9" i="31"/>
  <c r="E9" i="31"/>
  <c r="CT45" i="31" s="1"/>
  <c r="DO8" i="31"/>
  <c r="DE8" i="31"/>
  <c r="DB8" i="31"/>
  <c r="DA8" i="31"/>
  <c r="CZ8" i="31"/>
  <c r="CY8" i="31"/>
  <c r="CW8" i="31"/>
  <c r="CV8" i="31"/>
  <c r="CQ8" i="31"/>
  <c r="CP8" i="31"/>
  <c r="CO8" i="31"/>
  <c r="CJ8" i="31"/>
  <c r="CH8" i="31"/>
  <c r="CG8" i="31"/>
  <c r="CF8" i="31"/>
  <c r="CE8" i="31"/>
  <c r="CA8" i="31"/>
  <c r="BY8" i="31"/>
  <c r="BX8" i="31"/>
  <c r="BW8" i="31"/>
  <c r="BV8" i="31"/>
  <c r="BR8" i="31"/>
  <c r="BP8" i="31"/>
  <c r="BO8" i="31"/>
  <c r="BN8" i="31"/>
  <c r="BM8" i="31"/>
  <c r="BJ8" i="31"/>
  <c r="BG8" i="31"/>
  <c r="BF8" i="31"/>
  <c r="BE8" i="31"/>
  <c r="BD8" i="31"/>
  <c r="BA8" i="31"/>
  <c r="AZ8" i="31"/>
  <c r="AX8" i="31"/>
  <c r="AW8" i="31"/>
  <c r="AV8" i="31"/>
  <c r="AU8" i="31"/>
  <c r="AQ8" i="31"/>
  <c r="AO8" i="31"/>
  <c r="AN8" i="31"/>
  <c r="AM8" i="31"/>
  <c r="AL8" i="31"/>
  <c r="AH8" i="31"/>
  <c r="AF8" i="31"/>
  <c r="AE8" i="31"/>
  <c r="AD8" i="31"/>
  <c r="AC8" i="31"/>
  <c r="Z8" i="31"/>
  <c r="Y8" i="31"/>
  <c r="W8" i="31"/>
  <c r="V8" i="31"/>
  <c r="U8" i="31"/>
  <c r="T8" i="31"/>
  <c r="P8" i="31"/>
  <c r="N8" i="31"/>
  <c r="M8" i="31"/>
  <c r="L8" i="31"/>
  <c r="K8" i="31"/>
  <c r="H8" i="31"/>
  <c r="G8" i="31"/>
  <c r="E8" i="31"/>
  <c r="CT35" i="31" s="1"/>
  <c r="DP7" i="31"/>
  <c r="DO7" i="31"/>
  <c r="DL7" i="31"/>
  <c r="DE7" i="31"/>
  <c r="DB7" i="31"/>
  <c r="CY7" i="31"/>
  <c r="CW7" i="31"/>
  <c r="CV7" i="31"/>
  <c r="CQ7" i="31"/>
  <c r="CP7" i="31"/>
  <c r="CO7" i="31"/>
  <c r="CK7" i="31"/>
  <c r="CJ7" i="31"/>
  <c r="CH7" i="31"/>
  <c r="CG7" i="31"/>
  <c r="CF7" i="31"/>
  <c r="CE7" i="31"/>
  <c r="CA7" i="31"/>
  <c r="BY7" i="31"/>
  <c r="BX7" i="31"/>
  <c r="BW7" i="31"/>
  <c r="BV7" i="31"/>
  <c r="BS7" i="31"/>
  <c r="BR7" i="31"/>
  <c r="BP7" i="31"/>
  <c r="BO7" i="31"/>
  <c r="BN7" i="31"/>
  <c r="BM7" i="31"/>
  <c r="BI7" i="31"/>
  <c r="BG7" i="31"/>
  <c r="BF7" i="31"/>
  <c r="BE7" i="31"/>
  <c r="BD7" i="31"/>
  <c r="AZ7" i="31"/>
  <c r="AX7" i="31"/>
  <c r="AW7" i="31"/>
  <c r="AV7" i="31"/>
  <c r="AU7" i="31"/>
  <c r="AQ7" i="31"/>
  <c r="AO7" i="31"/>
  <c r="AN7" i="31"/>
  <c r="AM7" i="31"/>
  <c r="AL7" i="31"/>
  <c r="AI7" i="31"/>
  <c r="AH7" i="31"/>
  <c r="AF7" i="31"/>
  <c r="AE7" i="31"/>
  <c r="AD7" i="31"/>
  <c r="AC7" i="31"/>
  <c r="Z7" i="31"/>
  <c r="Y7" i="31"/>
  <c r="W7" i="31"/>
  <c r="V7" i="31"/>
  <c r="U7" i="31"/>
  <c r="T7" i="31"/>
  <c r="Q7" i="31"/>
  <c r="P7" i="31"/>
  <c r="N7" i="31"/>
  <c r="M7" i="31"/>
  <c r="L7" i="31"/>
  <c r="K7" i="31"/>
  <c r="G7" i="31"/>
  <c r="E7" i="31"/>
  <c r="DP6" i="31"/>
  <c r="DL6" i="31"/>
  <c r="DE6" i="31"/>
  <c r="DB6" i="31"/>
  <c r="DA6" i="31"/>
  <c r="CZ6" i="31"/>
  <c r="Q5" i="31" s="1"/>
  <c r="CY6" i="31"/>
  <c r="DD6" i="31" s="1"/>
  <c r="DC6" i="31" s="1"/>
  <c r="R5" i="31" s="1"/>
  <c r="CW6" i="31"/>
  <c r="CV6" i="31"/>
  <c r="P5" i="31" s="1"/>
  <c r="CQ6" i="31"/>
  <c r="CP6" i="31"/>
  <c r="CO6" i="31"/>
  <c r="CJ6" i="31"/>
  <c r="CH6" i="31"/>
  <c r="CG6" i="31"/>
  <c r="CF6" i="31"/>
  <c r="CE6" i="31"/>
  <c r="CA6" i="31"/>
  <c r="BY6" i="31"/>
  <c r="BX6" i="31"/>
  <c r="BW6" i="31"/>
  <c r="BV6" i="31"/>
  <c r="BS6" i="31"/>
  <c r="BR6" i="31"/>
  <c r="BP6" i="31"/>
  <c r="BO6" i="31"/>
  <c r="BN6" i="31"/>
  <c r="BM6" i="31"/>
  <c r="BI6" i="31"/>
  <c r="BG6" i="31"/>
  <c r="BF6" i="31"/>
  <c r="BE6" i="31"/>
  <c r="BD6" i="31"/>
  <c r="AZ6" i="31"/>
  <c r="AX6" i="31"/>
  <c r="AW6" i="31"/>
  <c r="AV6" i="31"/>
  <c r="AU6" i="31"/>
  <c r="AQ6" i="31"/>
  <c r="AO6" i="31"/>
  <c r="AN6" i="31"/>
  <c r="AM6" i="31"/>
  <c r="AL6" i="31"/>
  <c r="AI6" i="31"/>
  <c r="AF6" i="31"/>
  <c r="AE6" i="31"/>
  <c r="AD6" i="31"/>
  <c r="AC6" i="31"/>
  <c r="Y6" i="31"/>
  <c r="W6" i="31"/>
  <c r="V6" i="31"/>
  <c r="U6" i="31"/>
  <c r="T6" i="31"/>
  <c r="Q6" i="31"/>
  <c r="P6" i="31"/>
  <c r="N6" i="31"/>
  <c r="M6" i="31"/>
  <c r="L6" i="31"/>
  <c r="K6" i="31"/>
  <c r="H6" i="31"/>
  <c r="E6" i="31"/>
  <c r="CT15" i="31" s="1"/>
  <c r="DL5" i="31"/>
  <c r="DK5" i="31"/>
  <c r="DE5" i="31"/>
  <c r="J5" i="31" s="1"/>
  <c r="DD5" i="31"/>
  <c r="DC5" i="31" s="1"/>
  <c r="I5" i="31" s="1"/>
  <c r="DB5" i="31"/>
  <c r="DA5" i="31"/>
  <c r="CZ5" i="31"/>
  <c r="CY5" i="31"/>
  <c r="CW5" i="31"/>
  <c r="CV5" i="31"/>
  <c r="CQ5" i="31"/>
  <c r="CP5" i="31"/>
  <c r="CO5" i="31"/>
  <c r="CK5" i="31"/>
  <c r="CJ5" i="31"/>
  <c r="CH5" i="31"/>
  <c r="CG5" i="31"/>
  <c r="CF5" i="31"/>
  <c r="CE5" i="31"/>
  <c r="CA5" i="31"/>
  <c r="BY5" i="31"/>
  <c r="BX5" i="31"/>
  <c r="BW5" i="31"/>
  <c r="BV5" i="31"/>
  <c r="BR5" i="31"/>
  <c r="BP5" i="31"/>
  <c r="BO5" i="31"/>
  <c r="BN5" i="31"/>
  <c r="BM5" i="31"/>
  <c r="BJ5" i="31"/>
  <c r="BI5" i="31"/>
  <c r="BG5" i="31"/>
  <c r="BF5" i="31"/>
  <c r="BE5" i="31"/>
  <c r="BD5" i="31"/>
  <c r="AZ5" i="31"/>
  <c r="AX5" i="31"/>
  <c r="AW5" i="31"/>
  <c r="AV5" i="31"/>
  <c r="AU5" i="31"/>
  <c r="AQ5" i="31"/>
  <c r="AO5" i="31"/>
  <c r="AN5" i="31"/>
  <c r="AM5" i="31"/>
  <c r="AL5" i="31"/>
  <c r="AK5" i="31"/>
  <c r="AI5" i="31"/>
  <c r="AH5" i="31"/>
  <c r="AF5" i="31"/>
  <c r="AE5" i="31"/>
  <c r="AD5" i="31"/>
  <c r="AC5" i="31"/>
  <c r="AB5" i="31"/>
  <c r="Y5" i="31"/>
  <c r="W5" i="31"/>
  <c r="V5" i="31"/>
  <c r="U5" i="31"/>
  <c r="T5" i="31"/>
  <c r="S5" i="31"/>
  <c r="N5" i="31"/>
  <c r="M5" i="31"/>
  <c r="L5" i="31"/>
  <c r="K5" i="31"/>
  <c r="H5" i="31"/>
  <c r="E5" i="31"/>
  <c r="CT5" i="31" s="1"/>
  <c r="F8" i="45"/>
  <c r="B8" i="45"/>
  <c r="H7" i="45"/>
  <c r="B7" i="45"/>
  <c r="D7" i="45" s="1"/>
  <c r="C8" i="45" s="1"/>
  <c r="F6" i="45"/>
  <c r="D6" i="45"/>
  <c r="C7" i="45" s="1"/>
  <c r="B6" i="45"/>
  <c r="F7" i="45" s="1"/>
  <c r="G5" i="45"/>
  <c r="B5" i="45"/>
  <c r="GN64" i="1"/>
  <c r="GQ64" i="1" s="1"/>
  <c r="GT64" i="1" s="1"/>
  <c r="GW64" i="1" s="1"/>
  <c r="GZ64" i="1" s="1"/>
  <c r="HC64" i="1" s="1"/>
  <c r="HF64" i="1" s="1"/>
  <c r="HI64" i="1" s="1"/>
  <c r="HL64" i="1" s="1"/>
  <c r="HO64" i="1" s="1"/>
  <c r="HR64" i="1" s="1"/>
  <c r="HU64" i="1" s="1"/>
  <c r="HX64" i="1" s="1"/>
  <c r="IA64" i="1" s="1"/>
  <c r="ID64" i="1" s="1"/>
  <c r="IG64" i="1" s="1"/>
  <c r="IJ64" i="1" s="1"/>
  <c r="IM64" i="1" s="1"/>
  <c r="GK64" i="1"/>
  <c r="GJ64" i="1"/>
  <c r="GI64" i="1"/>
  <c r="DY64" i="1"/>
  <c r="EB64" i="1" s="1"/>
  <c r="EE64" i="1" s="1"/>
  <c r="EH64" i="1" s="1"/>
  <c r="EK64" i="1" s="1"/>
  <c r="EN64" i="1" s="1"/>
  <c r="EQ64" i="1" s="1"/>
  <c r="ET64" i="1" s="1"/>
  <c r="DV64" i="1"/>
  <c r="DU64" i="1"/>
  <c r="DT64" i="1"/>
  <c r="DG64" i="1"/>
  <c r="DF64" i="1"/>
  <c r="CT64" i="1"/>
  <c r="CR64" i="1"/>
  <c r="CP64" i="1"/>
  <c r="CO64" i="1"/>
  <c r="CG64" i="1"/>
  <c r="BV64" i="1"/>
  <c r="BQ64" i="1"/>
  <c r="AV64" i="1"/>
  <c r="AP64" i="1"/>
  <c r="AK64" i="1"/>
  <c r="AG64" i="1"/>
  <c r="O64" i="1"/>
  <c r="K64" i="1"/>
  <c r="J64" i="1"/>
  <c r="GW63" i="1"/>
  <c r="GZ63" i="1" s="1"/>
  <c r="HC63" i="1" s="1"/>
  <c r="HF63" i="1" s="1"/>
  <c r="HI63" i="1" s="1"/>
  <c r="HL63" i="1" s="1"/>
  <c r="HO63" i="1" s="1"/>
  <c r="HR63" i="1" s="1"/>
  <c r="HU63" i="1" s="1"/>
  <c r="HX63" i="1" s="1"/>
  <c r="IA63" i="1" s="1"/>
  <c r="ID63" i="1" s="1"/>
  <c r="IG63" i="1" s="1"/>
  <c r="IJ63" i="1" s="1"/>
  <c r="IM63" i="1" s="1"/>
  <c r="GO63" i="1"/>
  <c r="GM63" i="1"/>
  <c r="GP63" i="1" s="1"/>
  <c r="GR63" i="1" s="1"/>
  <c r="GL63" i="1"/>
  <c r="GK63" i="1"/>
  <c r="GN63" i="1" s="1"/>
  <c r="GQ63" i="1" s="1"/>
  <c r="GT63" i="1" s="1"/>
  <c r="GJ63" i="1"/>
  <c r="GI63" i="1"/>
  <c r="EB63" i="1"/>
  <c r="EE63" i="1" s="1"/>
  <c r="EH63" i="1" s="1"/>
  <c r="EK63" i="1" s="1"/>
  <c r="EN63" i="1" s="1"/>
  <c r="EQ63" i="1" s="1"/>
  <c r="ET63" i="1" s="1"/>
  <c r="DY63" i="1"/>
  <c r="DX63" i="1"/>
  <c r="DV63" i="1"/>
  <c r="DU63" i="1"/>
  <c r="DW63" i="1" s="1"/>
  <c r="DT63" i="1"/>
  <c r="DG63" i="1"/>
  <c r="DF63" i="1"/>
  <c r="CT63" i="1"/>
  <c r="CR63" i="1"/>
  <c r="CP63" i="1"/>
  <c r="CO63" i="1"/>
  <c r="CG63" i="1"/>
  <c r="BV63" i="1"/>
  <c r="BQ63" i="1"/>
  <c r="AV63" i="1"/>
  <c r="AP63" i="1"/>
  <c r="AK63" i="1"/>
  <c r="AG63" i="1"/>
  <c r="Z63" i="1"/>
  <c r="O63" i="1"/>
  <c r="K63" i="1"/>
  <c r="J63" i="1"/>
  <c r="BS63" i="1" s="1"/>
  <c r="GN62" i="1"/>
  <c r="GQ62" i="1" s="1"/>
  <c r="GT62" i="1" s="1"/>
  <c r="GW62" i="1" s="1"/>
  <c r="GZ62" i="1" s="1"/>
  <c r="HC62" i="1" s="1"/>
  <c r="HF62" i="1" s="1"/>
  <c r="HI62" i="1" s="1"/>
  <c r="HL62" i="1" s="1"/>
  <c r="HO62" i="1" s="1"/>
  <c r="HR62" i="1" s="1"/>
  <c r="HU62" i="1" s="1"/>
  <c r="HX62" i="1" s="1"/>
  <c r="IA62" i="1" s="1"/>
  <c r="ID62" i="1" s="1"/>
  <c r="IG62" i="1" s="1"/>
  <c r="IJ62" i="1" s="1"/>
  <c r="IM62" i="1" s="1"/>
  <c r="GM62" i="1"/>
  <c r="GK62" i="1"/>
  <c r="GJ62" i="1"/>
  <c r="GL62" i="1" s="1"/>
  <c r="GI62" i="1"/>
  <c r="EA62" i="1"/>
  <c r="DZ62" i="1"/>
  <c r="DY62" i="1"/>
  <c r="EB62" i="1" s="1"/>
  <c r="EE62" i="1" s="1"/>
  <c r="EH62" i="1" s="1"/>
  <c r="EK62" i="1" s="1"/>
  <c r="EN62" i="1" s="1"/>
  <c r="EQ62" i="1" s="1"/>
  <c r="ET62" i="1" s="1"/>
  <c r="DX62" i="1"/>
  <c r="DW62" i="1"/>
  <c r="DV62" i="1"/>
  <c r="DU62" i="1"/>
  <c r="DT62" i="1"/>
  <c r="DG62" i="1"/>
  <c r="DF62" i="1"/>
  <c r="CT62" i="1"/>
  <c r="CR62" i="1"/>
  <c r="CP62" i="1"/>
  <c r="CO62" i="1"/>
  <c r="CG62" i="1"/>
  <c r="BV62" i="1"/>
  <c r="BQ62" i="1"/>
  <c r="AV62" i="1"/>
  <c r="AP62" i="1"/>
  <c r="AK62" i="1"/>
  <c r="AG62" i="1"/>
  <c r="O62" i="1"/>
  <c r="K62" i="1"/>
  <c r="J62" i="1"/>
  <c r="BS62" i="1" s="1"/>
  <c r="BT62" i="1" s="1"/>
  <c r="IA61" i="1"/>
  <c r="ID61" i="1" s="1"/>
  <c r="IG61" i="1" s="1"/>
  <c r="IJ61" i="1" s="1"/>
  <c r="IM61" i="1" s="1"/>
  <c r="GQ61" i="1"/>
  <c r="GT61" i="1" s="1"/>
  <c r="GW61" i="1" s="1"/>
  <c r="GZ61" i="1" s="1"/>
  <c r="HC61" i="1" s="1"/>
  <c r="HF61" i="1" s="1"/>
  <c r="HI61" i="1" s="1"/>
  <c r="HL61" i="1" s="1"/>
  <c r="HO61" i="1" s="1"/>
  <c r="HR61" i="1" s="1"/>
  <c r="HU61" i="1" s="1"/>
  <c r="HX61" i="1" s="1"/>
  <c r="GM61" i="1"/>
  <c r="GL61" i="1"/>
  <c r="GK61" i="1"/>
  <c r="GN61" i="1" s="1"/>
  <c r="GJ61" i="1"/>
  <c r="GI61" i="1"/>
  <c r="EA61" i="1"/>
  <c r="EC61" i="1" s="1"/>
  <c r="DZ61" i="1"/>
  <c r="DX61" i="1"/>
  <c r="DW61" i="1"/>
  <c r="DV61" i="1"/>
  <c r="DY61" i="1" s="1"/>
  <c r="EB61" i="1" s="1"/>
  <c r="EE61" i="1" s="1"/>
  <c r="EH61" i="1" s="1"/>
  <c r="EK61" i="1" s="1"/>
  <c r="EN61" i="1" s="1"/>
  <c r="EQ61" i="1" s="1"/>
  <c r="ET61" i="1" s="1"/>
  <c r="DU61" i="1"/>
  <c r="DT61" i="1"/>
  <c r="DG61" i="1"/>
  <c r="DF61" i="1"/>
  <c r="CT61" i="1"/>
  <c r="CR61" i="1"/>
  <c r="CP61" i="1"/>
  <c r="CO61" i="1"/>
  <c r="CG61" i="1"/>
  <c r="BV61" i="1"/>
  <c r="BQ61" i="1"/>
  <c r="AV61" i="1"/>
  <c r="AP61" i="1"/>
  <c r="AK61" i="1"/>
  <c r="AG61" i="1"/>
  <c r="O61" i="1"/>
  <c r="K61" i="1"/>
  <c r="BS61" i="1" s="1"/>
  <c r="J61" i="1"/>
  <c r="GW60" i="1"/>
  <c r="GZ60" i="1" s="1"/>
  <c r="HC60" i="1" s="1"/>
  <c r="HF60" i="1" s="1"/>
  <c r="HI60" i="1" s="1"/>
  <c r="HL60" i="1" s="1"/>
  <c r="HO60" i="1" s="1"/>
  <c r="HR60" i="1" s="1"/>
  <c r="HU60" i="1" s="1"/>
  <c r="HX60" i="1" s="1"/>
  <c r="IA60" i="1" s="1"/>
  <c r="ID60" i="1" s="1"/>
  <c r="IG60" i="1" s="1"/>
  <c r="IJ60" i="1" s="1"/>
  <c r="IM60" i="1" s="1"/>
  <c r="GN60" i="1"/>
  <c r="GQ60" i="1" s="1"/>
  <c r="GT60" i="1" s="1"/>
  <c r="GK60" i="1"/>
  <c r="GJ60" i="1"/>
  <c r="GI60" i="1"/>
  <c r="DV60" i="1"/>
  <c r="DY60" i="1" s="1"/>
  <c r="EB60" i="1" s="1"/>
  <c r="EE60" i="1" s="1"/>
  <c r="EH60" i="1" s="1"/>
  <c r="EK60" i="1" s="1"/>
  <c r="EN60" i="1" s="1"/>
  <c r="EQ60" i="1" s="1"/>
  <c r="ET60" i="1" s="1"/>
  <c r="DU60" i="1"/>
  <c r="DT60" i="1"/>
  <c r="DG60" i="1"/>
  <c r="DF60" i="1"/>
  <c r="CT60" i="1"/>
  <c r="CR60" i="1"/>
  <c r="CP60" i="1"/>
  <c r="CO60" i="1"/>
  <c r="CG60" i="1"/>
  <c r="BV60" i="1"/>
  <c r="BT60" i="1"/>
  <c r="BQ60" i="1"/>
  <c r="BN60" i="1"/>
  <c r="BO60" i="1" s="1"/>
  <c r="AV60" i="1"/>
  <c r="AP60" i="1"/>
  <c r="AK60" i="1"/>
  <c r="AG60" i="1"/>
  <c r="Z60" i="1"/>
  <c r="O60" i="1"/>
  <c r="K60" i="1"/>
  <c r="J60" i="1"/>
  <c r="BS60" i="1" s="1"/>
  <c r="GO59" i="1"/>
  <c r="GN59" i="1"/>
  <c r="GQ59" i="1" s="1"/>
  <c r="GT59" i="1" s="1"/>
  <c r="GW59" i="1" s="1"/>
  <c r="GZ59" i="1" s="1"/>
  <c r="HC59" i="1" s="1"/>
  <c r="HF59" i="1" s="1"/>
  <c r="HI59" i="1" s="1"/>
  <c r="HL59" i="1" s="1"/>
  <c r="HO59" i="1" s="1"/>
  <c r="HR59" i="1" s="1"/>
  <c r="HU59" i="1" s="1"/>
  <c r="HX59" i="1" s="1"/>
  <c r="IA59" i="1" s="1"/>
  <c r="ID59" i="1" s="1"/>
  <c r="IG59" i="1" s="1"/>
  <c r="IJ59" i="1" s="1"/>
  <c r="IM59" i="1" s="1"/>
  <c r="GM59" i="1"/>
  <c r="GP59" i="1" s="1"/>
  <c r="GL59" i="1"/>
  <c r="GK59" i="1"/>
  <c r="GJ59" i="1"/>
  <c r="GI59" i="1"/>
  <c r="EA59" i="1"/>
  <c r="EC59" i="1" s="1"/>
  <c r="DZ59" i="1"/>
  <c r="DW59" i="1"/>
  <c r="DV59" i="1"/>
  <c r="DY59" i="1" s="1"/>
  <c r="DU59" i="1"/>
  <c r="DX59" i="1" s="1"/>
  <c r="DT59" i="1"/>
  <c r="DG59" i="1"/>
  <c r="DF59" i="1"/>
  <c r="CT59" i="1"/>
  <c r="CS59" i="1"/>
  <c r="CR59" i="1"/>
  <c r="CP59" i="1"/>
  <c r="CO59" i="1"/>
  <c r="CU59" i="1" s="1"/>
  <c r="CH59" i="1"/>
  <c r="CG59" i="1"/>
  <c r="BV59" i="1"/>
  <c r="BS59" i="1"/>
  <c r="BN59" i="1" s="1"/>
  <c r="BO59" i="1" s="1"/>
  <c r="BQ59" i="1"/>
  <c r="AV59" i="1"/>
  <c r="AP59" i="1"/>
  <c r="AK59" i="1"/>
  <c r="AG59" i="1"/>
  <c r="O59" i="1"/>
  <c r="K59" i="1"/>
  <c r="Z59" i="1" s="1"/>
  <c r="J59" i="1"/>
  <c r="GT58" i="1"/>
  <c r="GW58" i="1" s="1"/>
  <c r="GZ58" i="1" s="1"/>
  <c r="HC58" i="1" s="1"/>
  <c r="HF58" i="1" s="1"/>
  <c r="HI58" i="1" s="1"/>
  <c r="HL58" i="1" s="1"/>
  <c r="HO58" i="1" s="1"/>
  <c r="HR58" i="1" s="1"/>
  <c r="HU58" i="1" s="1"/>
  <c r="HX58" i="1" s="1"/>
  <c r="IA58" i="1" s="1"/>
  <c r="ID58" i="1" s="1"/>
  <c r="IG58" i="1" s="1"/>
  <c r="IJ58" i="1" s="1"/>
  <c r="IM58" i="1" s="1"/>
  <c r="GN58" i="1"/>
  <c r="GQ58" i="1" s="1"/>
  <c r="GM58" i="1"/>
  <c r="GO58" i="1" s="1"/>
  <c r="GL58" i="1"/>
  <c r="GK58" i="1"/>
  <c r="GJ58" i="1"/>
  <c r="GI58" i="1"/>
  <c r="DY58" i="1"/>
  <c r="EB58" i="1" s="1"/>
  <c r="EE58" i="1" s="1"/>
  <c r="EH58" i="1" s="1"/>
  <c r="EK58" i="1" s="1"/>
  <c r="EN58" i="1" s="1"/>
  <c r="EQ58" i="1" s="1"/>
  <c r="ET58" i="1" s="1"/>
  <c r="DV58" i="1"/>
  <c r="DU58" i="1"/>
  <c r="DW58" i="1" s="1"/>
  <c r="DT58" i="1"/>
  <c r="DG58" i="1"/>
  <c r="DF58" i="1"/>
  <c r="CU58" i="1"/>
  <c r="CT58" i="1"/>
  <c r="CR58" i="1"/>
  <c r="CP58" i="1"/>
  <c r="CQ58" i="1" s="1"/>
  <c r="CO58" i="1"/>
  <c r="CS58" i="1" s="1"/>
  <c r="CG58" i="1"/>
  <c r="BV58" i="1"/>
  <c r="BQ58" i="1"/>
  <c r="AV58" i="1"/>
  <c r="AP58" i="1"/>
  <c r="AK58" i="1"/>
  <c r="AG58" i="1"/>
  <c r="AB58" i="1"/>
  <c r="O58" i="1"/>
  <c r="K58" i="1"/>
  <c r="Z58" i="1" s="1"/>
  <c r="J58" i="1"/>
  <c r="BS58" i="1" s="1"/>
  <c r="JU57" i="1"/>
  <c r="HC57" i="1"/>
  <c r="HF57" i="1" s="1"/>
  <c r="HI57" i="1" s="1"/>
  <c r="HL57" i="1" s="1"/>
  <c r="HO57" i="1" s="1"/>
  <c r="HR57" i="1" s="1"/>
  <c r="HU57" i="1" s="1"/>
  <c r="HX57" i="1" s="1"/>
  <c r="IA57" i="1" s="1"/>
  <c r="ID57" i="1" s="1"/>
  <c r="IG57" i="1" s="1"/>
  <c r="IJ57" i="1" s="1"/>
  <c r="IM57" i="1" s="1"/>
  <c r="GM57" i="1"/>
  <c r="GL57" i="1"/>
  <c r="GK57" i="1"/>
  <c r="GN57" i="1" s="1"/>
  <c r="GQ57" i="1" s="1"/>
  <c r="GT57" i="1" s="1"/>
  <c r="GW57" i="1" s="1"/>
  <c r="GZ57" i="1" s="1"/>
  <c r="GJ57" i="1"/>
  <c r="GI57" i="1"/>
  <c r="EB57" i="1"/>
  <c r="EE57" i="1" s="1"/>
  <c r="EH57" i="1" s="1"/>
  <c r="EK57" i="1" s="1"/>
  <c r="EN57" i="1" s="1"/>
  <c r="EQ57" i="1" s="1"/>
  <c r="ET57" i="1" s="1"/>
  <c r="DZ57" i="1"/>
  <c r="DY57" i="1"/>
  <c r="DX57" i="1"/>
  <c r="EA57" i="1" s="1"/>
  <c r="DV57" i="1"/>
  <c r="DU57" i="1"/>
  <c r="DW57" i="1" s="1"/>
  <c r="DT57" i="1"/>
  <c r="DG57" i="1"/>
  <c r="DF57" i="1"/>
  <c r="CT57" i="1"/>
  <c r="CR57" i="1"/>
  <c r="CP57" i="1"/>
  <c r="CO57" i="1"/>
  <c r="CG57" i="1"/>
  <c r="BV57" i="1"/>
  <c r="BQ57" i="1"/>
  <c r="AV57" i="1"/>
  <c r="AP57" i="1"/>
  <c r="AK57" i="1"/>
  <c r="AG57" i="1"/>
  <c r="O57" i="1"/>
  <c r="K57" i="1"/>
  <c r="J57" i="1"/>
  <c r="BS57" i="1" s="1"/>
  <c r="BN57" i="1" s="1"/>
  <c r="G57" i="1"/>
  <c r="F57" i="1"/>
  <c r="JU56" i="1"/>
  <c r="GZ56" i="1"/>
  <c r="HC56" i="1" s="1"/>
  <c r="HF56" i="1" s="1"/>
  <c r="HI56" i="1" s="1"/>
  <c r="HL56" i="1" s="1"/>
  <c r="HO56" i="1" s="1"/>
  <c r="HR56" i="1" s="1"/>
  <c r="HU56" i="1" s="1"/>
  <c r="HX56" i="1" s="1"/>
  <c r="IA56" i="1" s="1"/>
  <c r="ID56" i="1" s="1"/>
  <c r="IG56" i="1" s="1"/>
  <c r="IJ56" i="1" s="1"/>
  <c r="IM56" i="1" s="1"/>
  <c r="GN56" i="1"/>
  <c r="GQ56" i="1" s="1"/>
  <c r="GT56" i="1" s="1"/>
  <c r="GW56" i="1" s="1"/>
  <c r="GK56" i="1"/>
  <c r="GJ56" i="1"/>
  <c r="GI56" i="1"/>
  <c r="EE56" i="1"/>
  <c r="EH56" i="1" s="1"/>
  <c r="EK56" i="1" s="1"/>
  <c r="EN56" i="1" s="1"/>
  <c r="EQ56" i="1" s="1"/>
  <c r="ET56" i="1" s="1"/>
  <c r="DY56" i="1"/>
  <c r="EB56" i="1" s="1"/>
  <c r="DW56" i="1"/>
  <c r="DV56" i="1"/>
  <c r="DU56" i="1"/>
  <c r="DT56" i="1"/>
  <c r="DG56" i="1"/>
  <c r="DF56" i="1"/>
  <c r="CT56" i="1"/>
  <c r="CR56" i="1"/>
  <c r="CP56" i="1"/>
  <c r="CO56" i="1"/>
  <c r="CG56" i="1"/>
  <c r="BV56" i="1"/>
  <c r="BQ56" i="1"/>
  <c r="AV56" i="1"/>
  <c r="AP56" i="1"/>
  <c r="AK56" i="1"/>
  <c r="AG56" i="1"/>
  <c r="O56" i="1"/>
  <c r="K56" i="1"/>
  <c r="BS56" i="1" s="1"/>
  <c r="BN56" i="1" s="1"/>
  <c r="J56" i="1"/>
  <c r="G56" i="1"/>
  <c r="F56" i="1"/>
  <c r="JU55" i="1"/>
  <c r="GS55" i="1"/>
  <c r="GM55" i="1"/>
  <c r="GP55" i="1" s="1"/>
  <c r="GR55" i="1" s="1"/>
  <c r="GK55" i="1"/>
  <c r="GN55" i="1" s="1"/>
  <c r="GQ55" i="1" s="1"/>
  <c r="GT55" i="1" s="1"/>
  <c r="GW55" i="1" s="1"/>
  <c r="GZ55" i="1" s="1"/>
  <c r="HC55" i="1" s="1"/>
  <c r="HF55" i="1" s="1"/>
  <c r="HI55" i="1" s="1"/>
  <c r="HL55" i="1" s="1"/>
  <c r="HO55" i="1" s="1"/>
  <c r="HR55" i="1" s="1"/>
  <c r="HU55" i="1" s="1"/>
  <c r="HX55" i="1" s="1"/>
  <c r="IA55" i="1" s="1"/>
  <c r="ID55" i="1" s="1"/>
  <c r="IG55" i="1" s="1"/>
  <c r="IJ55" i="1" s="1"/>
  <c r="IM55" i="1" s="1"/>
  <c r="GJ55" i="1"/>
  <c r="GL55" i="1" s="1"/>
  <c r="GI55" i="1"/>
  <c r="EP55" i="1"/>
  <c r="EJ55" i="1"/>
  <c r="EM55" i="1" s="1"/>
  <c r="ED55" i="1"/>
  <c r="EG55" i="1" s="1"/>
  <c r="DX55" i="1"/>
  <c r="EA55" i="1" s="1"/>
  <c r="DV55" i="1"/>
  <c r="DU55" i="1"/>
  <c r="DG55" i="1"/>
  <c r="DF55" i="1"/>
  <c r="CT55" i="1"/>
  <c r="CR55" i="1"/>
  <c r="CP55" i="1"/>
  <c r="CO55" i="1"/>
  <c r="CG55" i="1"/>
  <c r="BV55" i="1"/>
  <c r="BQ55" i="1"/>
  <c r="AV55" i="1"/>
  <c r="AK55" i="1"/>
  <c r="AG55" i="1"/>
  <c r="O55" i="1"/>
  <c r="K55" i="1"/>
  <c r="J55" i="1"/>
  <c r="Z55" i="1" s="1"/>
  <c r="G55" i="1"/>
  <c r="JU54" i="1"/>
  <c r="IG54" i="1"/>
  <c r="IJ54" i="1" s="1"/>
  <c r="IM54" i="1" s="1"/>
  <c r="GQ54" i="1"/>
  <c r="GT54" i="1" s="1"/>
  <c r="GW54" i="1" s="1"/>
  <c r="GZ54" i="1" s="1"/>
  <c r="HC54" i="1" s="1"/>
  <c r="HF54" i="1" s="1"/>
  <c r="HI54" i="1" s="1"/>
  <c r="HL54" i="1" s="1"/>
  <c r="HO54" i="1" s="1"/>
  <c r="HR54" i="1" s="1"/>
  <c r="HU54" i="1" s="1"/>
  <c r="HX54" i="1" s="1"/>
  <c r="IA54" i="1" s="1"/>
  <c r="ID54" i="1" s="1"/>
  <c r="GM54" i="1"/>
  <c r="GP54" i="1" s="1"/>
  <c r="GR54" i="1" s="1"/>
  <c r="GL54" i="1"/>
  <c r="GK54" i="1"/>
  <c r="GN54" i="1" s="1"/>
  <c r="GJ54" i="1"/>
  <c r="GI54" i="1"/>
  <c r="DX54" i="1"/>
  <c r="EA54" i="1" s="1"/>
  <c r="EC54" i="1" s="1"/>
  <c r="DV54" i="1"/>
  <c r="DU54" i="1"/>
  <c r="DW54" i="1" s="1"/>
  <c r="DT54" i="1"/>
  <c r="DG54" i="1"/>
  <c r="DF54" i="1"/>
  <c r="CT54" i="1"/>
  <c r="CR54" i="1"/>
  <c r="CP54" i="1"/>
  <c r="CO54" i="1"/>
  <c r="CH54" i="1"/>
  <c r="CG54" i="1"/>
  <c r="BV54" i="1"/>
  <c r="BQ54" i="1"/>
  <c r="AV54" i="1"/>
  <c r="AK54" i="1"/>
  <c r="AG54" i="1"/>
  <c r="O54" i="1"/>
  <c r="K54" i="1"/>
  <c r="J54" i="1"/>
  <c r="Z54" i="1" s="1"/>
  <c r="G54" i="1"/>
  <c r="JU53" i="1"/>
  <c r="GT53" i="1"/>
  <c r="GW53" i="1" s="1"/>
  <c r="GZ53" i="1" s="1"/>
  <c r="HC53" i="1" s="1"/>
  <c r="HF53" i="1" s="1"/>
  <c r="HI53" i="1" s="1"/>
  <c r="HL53" i="1" s="1"/>
  <c r="HO53" i="1" s="1"/>
  <c r="HR53" i="1" s="1"/>
  <c r="HU53" i="1" s="1"/>
  <c r="HX53" i="1" s="1"/>
  <c r="IA53" i="1" s="1"/>
  <c r="ID53" i="1" s="1"/>
  <c r="IG53" i="1" s="1"/>
  <c r="IJ53" i="1" s="1"/>
  <c r="IM53" i="1" s="1"/>
  <c r="GQ53" i="1"/>
  <c r="GN53" i="1"/>
  <c r="GM53" i="1"/>
  <c r="GP53" i="1" s="1"/>
  <c r="GL53" i="1"/>
  <c r="GK53" i="1"/>
  <c r="GJ53" i="1"/>
  <c r="GI53" i="1"/>
  <c r="FU53" i="1"/>
  <c r="EW53" i="1"/>
  <c r="DY53" i="1"/>
  <c r="EB53" i="1" s="1"/>
  <c r="EE53" i="1" s="1"/>
  <c r="EH53" i="1" s="1"/>
  <c r="EK53" i="1" s="1"/>
  <c r="EN53" i="1" s="1"/>
  <c r="EQ53" i="1" s="1"/>
  <c r="ET53" i="1" s="1"/>
  <c r="DV53" i="1"/>
  <c r="DU53" i="1"/>
  <c r="DX53" i="1" s="1"/>
  <c r="DT53" i="1"/>
  <c r="DG53" i="1"/>
  <c r="DF53" i="1"/>
  <c r="CU53" i="1"/>
  <c r="CT53" i="1"/>
  <c r="CR53" i="1"/>
  <c r="CS53" i="1" s="1"/>
  <c r="CP53" i="1"/>
  <c r="CQ53" i="1" s="1"/>
  <c r="AH53" i="1" s="1"/>
  <c r="CO53" i="1"/>
  <c r="CG53" i="1"/>
  <c r="BV53" i="1"/>
  <c r="BQ53" i="1"/>
  <c r="AV53" i="1"/>
  <c r="AP53" i="1"/>
  <c r="AK53" i="1"/>
  <c r="AG53" i="1"/>
  <c r="AB53" i="1"/>
  <c r="P53" i="1"/>
  <c r="O53" i="1"/>
  <c r="K53" i="1"/>
  <c r="J53" i="1"/>
  <c r="BS53" i="1" s="1"/>
  <c r="BN53" i="1" s="1"/>
  <c r="G53" i="1"/>
  <c r="JU52" i="1"/>
  <c r="HU52" i="1"/>
  <c r="HX52" i="1" s="1"/>
  <c r="IA52" i="1" s="1"/>
  <c r="ID52" i="1" s="1"/>
  <c r="IG52" i="1" s="1"/>
  <c r="IJ52" i="1" s="1"/>
  <c r="IM52" i="1" s="1"/>
  <c r="GW52" i="1"/>
  <c r="GZ52" i="1" s="1"/>
  <c r="HC52" i="1" s="1"/>
  <c r="HF52" i="1" s="1"/>
  <c r="HI52" i="1" s="1"/>
  <c r="HL52" i="1" s="1"/>
  <c r="HO52" i="1" s="1"/>
  <c r="HR52" i="1" s="1"/>
  <c r="GL52" i="1"/>
  <c r="GK52" i="1"/>
  <c r="GN52" i="1" s="1"/>
  <c r="GQ52" i="1" s="1"/>
  <c r="GT52" i="1" s="1"/>
  <c r="GJ52" i="1"/>
  <c r="GM52" i="1" s="1"/>
  <c r="GP52" i="1" s="1"/>
  <c r="GI52" i="1"/>
  <c r="FX52" i="1"/>
  <c r="EB52" i="1"/>
  <c r="EE52" i="1" s="1"/>
  <c r="EH52" i="1" s="1"/>
  <c r="EK52" i="1" s="1"/>
  <c r="EN52" i="1" s="1"/>
  <c r="EQ52" i="1" s="1"/>
  <c r="ET52" i="1" s="1"/>
  <c r="DY52" i="1"/>
  <c r="DV52" i="1"/>
  <c r="DU52" i="1"/>
  <c r="DX52" i="1" s="1"/>
  <c r="DT52" i="1"/>
  <c r="DG52" i="1"/>
  <c r="DF52" i="1"/>
  <c r="CT52" i="1"/>
  <c r="CR52" i="1"/>
  <c r="CP52" i="1"/>
  <c r="CO52" i="1"/>
  <c r="CG52" i="1"/>
  <c r="BV52" i="1"/>
  <c r="BQ52" i="1"/>
  <c r="AK52" i="1"/>
  <c r="AG52" i="1"/>
  <c r="O52" i="1"/>
  <c r="K52" i="1"/>
  <c r="J52" i="1"/>
  <c r="Z52" i="1" s="1"/>
  <c r="G52" i="1"/>
  <c r="JU51" i="1"/>
  <c r="GP51" i="1"/>
  <c r="GM51" i="1"/>
  <c r="GO51" i="1" s="1"/>
  <c r="GL51" i="1"/>
  <c r="GK51" i="1"/>
  <c r="GN51" i="1" s="1"/>
  <c r="GQ51" i="1" s="1"/>
  <c r="GT51" i="1" s="1"/>
  <c r="GW51" i="1" s="1"/>
  <c r="GZ51" i="1" s="1"/>
  <c r="HC51" i="1" s="1"/>
  <c r="HF51" i="1" s="1"/>
  <c r="HI51" i="1" s="1"/>
  <c r="HL51" i="1" s="1"/>
  <c r="HO51" i="1" s="1"/>
  <c r="HR51" i="1" s="1"/>
  <c r="HU51" i="1" s="1"/>
  <c r="HX51" i="1" s="1"/>
  <c r="IA51" i="1" s="1"/>
  <c r="ID51" i="1" s="1"/>
  <c r="IG51" i="1" s="1"/>
  <c r="IJ51" i="1" s="1"/>
  <c r="IM51" i="1" s="1"/>
  <c r="GJ51" i="1"/>
  <c r="GI51" i="1"/>
  <c r="DV51" i="1"/>
  <c r="DY51" i="1" s="1"/>
  <c r="EB51" i="1" s="1"/>
  <c r="EE51" i="1" s="1"/>
  <c r="EH51" i="1" s="1"/>
  <c r="EK51" i="1" s="1"/>
  <c r="EN51" i="1" s="1"/>
  <c r="EQ51" i="1" s="1"/>
  <c r="ET51" i="1" s="1"/>
  <c r="DU51" i="1"/>
  <c r="DT51" i="1"/>
  <c r="DG51" i="1"/>
  <c r="DF51" i="1"/>
  <c r="CX51" i="1"/>
  <c r="CT51" i="1"/>
  <c r="CR51" i="1"/>
  <c r="CQ51" i="1"/>
  <c r="CP51" i="1"/>
  <c r="CO51" i="1"/>
  <c r="CH51" i="1"/>
  <c r="CH52" i="1" s="1"/>
  <c r="CG51" i="1"/>
  <c r="BV51" i="1"/>
  <c r="BQ51" i="1"/>
  <c r="AV51" i="1"/>
  <c r="AP51" i="1"/>
  <c r="AK51" i="1"/>
  <c r="AG51" i="1"/>
  <c r="Q51" i="1"/>
  <c r="O51" i="1"/>
  <c r="K51" i="1"/>
  <c r="J51" i="1"/>
  <c r="G51" i="1"/>
  <c r="JU50" i="1"/>
  <c r="GS50" i="1"/>
  <c r="GP50" i="1"/>
  <c r="GR50" i="1" s="1"/>
  <c r="GO50" i="1"/>
  <c r="GM50" i="1"/>
  <c r="GL50" i="1"/>
  <c r="GK50" i="1"/>
  <c r="GJ50" i="1"/>
  <c r="GI50" i="1"/>
  <c r="EK50" i="1"/>
  <c r="EN50" i="1" s="1"/>
  <c r="EQ50" i="1" s="1"/>
  <c r="ET50" i="1" s="1"/>
  <c r="DY50" i="1"/>
  <c r="EB50" i="1" s="1"/>
  <c r="EE50" i="1" s="1"/>
  <c r="EH50" i="1" s="1"/>
  <c r="DV50" i="1"/>
  <c r="DU50" i="1"/>
  <c r="DT50" i="1"/>
  <c r="DG50" i="1"/>
  <c r="DF50" i="1"/>
  <c r="CY50" i="1"/>
  <c r="CT50" i="1"/>
  <c r="CU50" i="1" s="1"/>
  <c r="CS50" i="1"/>
  <c r="CR50" i="1"/>
  <c r="CP50" i="1"/>
  <c r="CQ50" i="1" s="1"/>
  <c r="CO50" i="1"/>
  <c r="CG50" i="1"/>
  <c r="BV50" i="1"/>
  <c r="BQ50" i="1"/>
  <c r="AV50" i="1"/>
  <c r="AK50" i="1"/>
  <c r="AG50" i="1"/>
  <c r="Q50" i="1"/>
  <c r="O50" i="1"/>
  <c r="K50" i="1"/>
  <c r="J50" i="1"/>
  <c r="G50" i="1"/>
  <c r="JU49" i="1"/>
  <c r="GL49" i="1"/>
  <c r="GK49" i="1"/>
  <c r="GJ49" i="1"/>
  <c r="GM49" i="1" s="1"/>
  <c r="GI49" i="1"/>
  <c r="EK49" i="1"/>
  <c r="EN49" i="1" s="1"/>
  <c r="EQ49" i="1" s="1"/>
  <c r="ET49" i="1" s="1"/>
  <c r="EB49" i="1"/>
  <c r="EE49" i="1" s="1"/>
  <c r="EH49" i="1" s="1"/>
  <c r="DY49" i="1"/>
  <c r="DV49" i="1"/>
  <c r="DU49" i="1"/>
  <c r="DT49" i="1"/>
  <c r="DG49" i="1"/>
  <c r="DF49" i="1"/>
  <c r="CY49" i="1"/>
  <c r="CT49" i="1"/>
  <c r="CU49" i="1" s="1"/>
  <c r="CS49" i="1"/>
  <c r="CR49" i="1"/>
  <c r="CP49" i="1"/>
  <c r="CQ49" i="1" s="1"/>
  <c r="CO49" i="1"/>
  <c r="CG49" i="1"/>
  <c r="BS49" i="1"/>
  <c r="BN49" i="1" s="1"/>
  <c r="BQ49" i="1"/>
  <c r="AV49" i="1"/>
  <c r="AK49" i="1"/>
  <c r="AG49" i="1"/>
  <c r="Q49" i="1"/>
  <c r="K49" i="1"/>
  <c r="J49" i="1"/>
  <c r="Z49" i="1" s="1"/>
  <c r="G49" i="1"/>
  <c r="JU48" i="1"/>
  <c r="GT48" i="1"/>
  <c r="GW48" i="1" s="1"/>
  <c r="GZ48" i="1" s="1"/>
  <c r="HC48" i="1" s="1"/>
  <c r="HF48" i="1" s="1"/>
  <c r="HI48" i="1" s="1"/>
  <c r="HL48" i="1" s="1"/>
  <c r="HO48" i="1" s="1"/>
  <c r="HR48" i="1" s="1"/>
  <c r="HU48" i="1" s="1"/>
  <c r="HX48" i="1" s="1"/>
  <c r="IA48" i="1" s="1"/>
  <c r="ID48" i="1" s="1"/>
  <c r="IG48" i="1" s="1"/>
  <c r="IJ48" i="1" s="1"/>
  <c r="IM48" i="1" s="1"/>
  <c r="GR48" i="1"/>
  <c r="GN48" i="1"/>
  <c r="GQ48" i="1" s="1"/>
  <c r="GK48" i="1"/>
  <c r="GJ48" i="1"/>
  <c r="GM48" i="1" s="1"/>
  <c r="GP48" i="1" s="1"/>
  <c r="GS48" i="1" s="1"/>
  <c r="GI48" i="1"/>
  <c r="ET48" i="1"/>
  <c r="FO48" i="1" s="1"/>
  <c r="DX48" i="1"/>
  <c r="EA48" i="1" s="1"/>
  <c r="EC48" i="1" s="1"/>
  <c r="DW48" i="1"/>
  <c r="DV48" i="1"/>
  <c r="DY48" i="1" s="1"/>
  <c r="EB48" i="1" s="1"/>
  <c r="EE48" i="1" s="1"/>
  <c r="EH48" i="1" s="1"/>
  <c r="EK48" i="1" s="1"/>
  <c r="EN48" i="1" s="1"/>
  <c r="EQ48" i="1" s="1"/>
  <c r="DU48" i="1"/>
  <c r="DT48" i="1"/>
  <c r="DG48" i="1"/>
  <c r="DF48" i="1"/>
  <c r="CX48" i="1"/>
  <c r="CT48" i="1"/>
  <c r="CU48" i="1" s="1"/>
  <c r="CR48" i="1"/>
  <c r="CS48" i="1" s="1"/>
  <c r="CP48" i="1"/>
  <c r="CO48" i="1"/>
  <c r="CQ48" i="1" s="1"/>
  <c r="AH48" i="1" s="1"/>
  <c r="CG48" i="1"/>
  <c r="BQ48" i="1"/>
  <c r="AV48" i="1"/>
  <c r="AK48" i="1"/>
  <c r="AG48" i="1"/>
  <c r="AB48" i="1"/>
  <c r="K48" i="1"/>
  <c r="J48" i="1"/>
  <c r="BS48" i="1" s="1"/>
  <c r="BN48" i="1" s="1"/>
  <c r="G48" i="1"/>
  <c r="JU47" i="1"/>
  <c r="GS47" i="1"/>
  <c r="GM47" i="1"/>
  <c r="GP47" i="1" s="1"/>
  <c r="GR47" i="1" s="1"/>
  <c r="GL47" i="1"/>
  <c r="GK47" i="1"/>
  <c r="GJ47" i="1"/>
  <c r="GI47" i="1"/>
  <c r="DY47" i="1"/>
  <c r="EB47" i="1" s="1"/>
  <c r="EE47" i="1" s="1"/>
  <c r="EH47" i="1" s="1"/>
  <c r="EK47" i="1" s="1"/>
  <c r="EN47" i="1" s="1"/>
  <c r="EQ47" i="1" s="1"/>
  <c r="ET47" i="1" s="1"/>
  <c r="DX47" i="1"/>
  <c r="DV47" i="1"/>
  <c r="DU47" i="1"/>
  <c r="DW47" i="1" s="1"/>
  <c r="DT47" i="1"/>
  <c r="DG47" i="1"/>
  <c r="DF47" i="1"/>
  <c r="CY47" i="1"/>
  <c r="CT47" i="1"/>
  <c r="CR47" i="1"/>
  <c r="CP47" i="1"/>
  <c r="CO47" i="1"/>
  <c r="CG47" i="1"/>
  <c r="BQ47" i="1"/>
  <c r="AV47" i="1"/>
  <c r="AK47" i="1"/>
  <c r="AG47" i="1"/>
  <c r="Q47" i="1"/>
  <c r="K47" i="1"/>
  <c r="J47" i="1"/>
  <c r="BS47" i="1" s="1"/>
  <c r="BN47" i="1" s="1"/>
  <c r="G47" i="1"/>
  <c r="JU46" i="1"/>
  <c r="HL46" i="1"/>
  <c r="HO46" i="1" s="1"/>
  <c r="HR46" i="1" s="1"/>
  <c r="HU46" i="1" s="1"/>
  <c r="HX46" i="1" s="1"/>
  <c r="IA46" i="1" s="1"/>
  <c r="ID46" i="1" s="1"/>
  <c r="IG46" i="1" s="1"/>
  <c r="IJ46" i="1" s="1"/>
  <c r="IM46" i="1" s="1"/>
  <c r="GN46" i="1"/>
  <c r="GQ46" i="1" s="1"/>
  <c r="GT46" i="1" s="1"/>
  <c r="GW46" i="1" s="1"/>
  <c r="GZ46" i="1" s="1"/>
  <c r="HC46" i="1" s="1"/>
  <c r="HF46" i="1" s="1"/>
  <c r="HI46" i="1" s="1"/>
  <c r="GK46" i="1"/>
  <c r="GJ46" i="1"/>
  <c r="GM46" i="1" s="1"/>
  <c r="DV46" i="1"/>
  <c r="DY46" i="1" s="1"/>
  <c r="EB46" i="1" s="1"/>
  <c r="EE46" i="1" s="1"/>
  <c r="EH46" i="1" s="1"/>
  <c r="EK46" i="1" s="1"/>
  <c r="EN46" i="1" s="1"/>
  <c r="EQ46" i="1" s="1"/>
  <c r="ET46" i="1" s="1"/>
  <c r="DU46" i="1"/>
  <c r="DG46" i="1"/>
  <c r="DF46" i="1"/>
  <c r="CT46" i="1"/>
  <c r="CR46" i="1"/>
  <c r="CP46" i="1"/>
  <c r="CO46" i="1"/>
  <c r="CG46" i="1"/>
  <c r="BQ46" i="1"/>
  <c r="AV46" i="1"/>
  <c r="AK46" i="1"/>
  <c r="AG46" i="1"/>
  <c r="Z46" i="1"/>
  <c r="K46" i="1"/>
  <c r="J46" i="1"/>
  <c r="G46" i="1"/>
  <c r="JU45" i="1"/>
  <c r="GN45" i="1"/>
  <c r="GQ45" i="1" s="1"/>
  <c r="GT45" i="1" s="1"/>
  <c r="GW45" i="1" s="1"/>
  <c r="GZ45" i="1" s="1"/>
  <c r="HC45" i="1" s="1"/>
  <c r="HF45" i="1" s="1"/>
  <c r="HI45" i="1" s="1"/>
  <c r="HL45" i="1" s="1"/>
  <c r="HO45" i="1" s="1"/>
  <c r="HR45" i="1" s="1"/>
  <c r="HU45" i="1" s="1"/>
  <c r="HX45" i="1" s="1"/>
  <c r="IA45" i="1" s="1"/>
  <c r="ID45" i="1" s="1"/>
  <c r="IG45" i="1" s="1"/>
  <c r="IJ45" i="1" s="1"/>
  <c r="IM45" i="1" s="1"/>
  <c r="GK45" i="1"/>
  <c r="GJ45" i="1"/>
  <c r="GI45" i="1"/>
  <c r="DY45" i="1"/>
  <c r="EB45" i="1" s="1"/>
  <c r="EE45" i="1" s="1"/>
  <c r="EH45" i="1" s="1"/>
  <c r="EK45" i="1" s="1"/>
  <c r="EN45" i="1" s="1"/>
  <c r="EQ45" i="1" s="1"/>
  <c r="ET45" i="1" s="1"/>
  <c r="DX45" i="1"/>
  <c r="DW45" i="1"/>
  <c r="DV45" i="1"/>
  <c r="DU45" i="1"/>
  <c r="DT45" i="1"/>
  <c r="DG45" i="1"/>
  <c r="DF45" i="1"/>
  <c r="CU45" i="1"/>
  <c r="CT45" i="1"/>
  <c r="CR45" i="1"/>
  <c r="CP45" i="1"/>
  <c r="CO45" i="1"/>
  <c r="CS45" i="1" s="1"/>
  <c r="CH45" i="1"/>
  <c r="CH46" i="1" s="1"/>
  <c r="CG45" i="1"/>
  <c r="BT45" i="1"/>
  <c r="BQ45" i="1"/>
  <c r="AV45" i="1"/>
  <c r="AK45" i="1"/>
  <c r="AG45" i="1"/>
  <c r="AC45" i="1"/>
  <c r="AB45" i="1"/>
  <c r="K45" i="1"/>
  <c r="J45" i="1"/>
  <c r="BS45" i="1" s="1"/>
  <c r="BN45" i="1" s="1"/>
  <c r="G45" i="1"/>
  <c r="JU44" i="1"/>
  <c r="IJ44" i="1"/>
  <c r="IM44" i="1" s="1"/>
  <c r="GN44" i="1"/>
  <c r="GQ44" i="1" s="1"/>
  <c r="GT44" i="1" s="1"/>
  <c r="GW44" i="1" s="1"/>
  <c r="GZ44" i="1" s="1"/>
  <c r="HC44" i="1" s="1"/>
  <c r="HF44" i="1" s="1"/>
  <c r="HI44" i="1" s="1"/>
  <c r="HL44" i="1" s="1"/>
  <c r="HO44" i="1" s="1"/>
  <c r="HR44" i="1" s="1"/>
  <c r="HU44" i="1" s="1"/>
  <c r="HX44" i="1" s="1"/>
  <c r="IA44" i="1" s="1"/>
  <c r="ID44" i="1" s="1"/>
  <c r="IG44" i="1" s="1"/>
  <c r="GK44" i="1"/>
  <c r="GJ44" i="1"/>
  <c r="EZ44" i="1"/>
  <c r="DV44" i="1"/>
  <c r="DY44" i="1" s="1"/>
  <c r="EB44" i="1" s="1"/>
  <c r="EE44" i="1" s="1"/>
  <c r="EH44" i="1" s="1"/>
  <c r="EK44" i="1" s="1"/>
  <c r="EN44" i="1" s="1"/>
  <c r="EQ44" i="1" s="1"/>
  <c r="ET44" i="1" s="1"/>
  <c r="DU44" i="1"/>
  <c r="DG44" i="1"/>
  <c r="DF44" i="1"/>
  <c r="CT44" i="1"/>
  <c r="CU44" i="1" s="1"/>
  <c r="CS44" i="1"/>
  <c r="CR44" i="1"/>
  <c r="CP44" i="1"/>
  <c r="CQ44" i="1" s="1"/>
  <c r="AH44" i="1" s="1"/>
  <c r="CO44" i="1"/>
  <c r="CG44" i="1"/>
  <c r="BS44" i="1"/>
  <c r="BN44" i="1" s="1"/>
  <c r="BQ44" i="1"/>
  <c r="AV44" i="1"/>
  <c r="AK44" i="1"/>
  <c r="AG44" i="1"/>
  <c r="AB44" i="1"/>
  <c r="K44" i="1"/>
  <c r="BT44" i="1" s="1"/>
  <c r="J44" i="1"/>
  <c r="G44" i="1"/>
  <c r="JU43" i="1"/>
  <c r="GQ43" i="1"/>
  <c r="GT43" i="1" s="1"/>
  <c r="GW43" i="1" s="1"/>
  <c r="GZ43" i="1" s="1"/>
  <c r="HC43" i="1" s="1"/>
  <c r="HF43" i="1" s="1"/>
  <c r="HI43" i="1" s="1"/>
  <c r="HL43" i="1" s="1"/>
  <c r="HO43" i="1" s="1"/>
  <c r="HR43" i="1" s="1"/>
  <c r="HU43" i="1" s="1"/>
  <c r="HX43" i="1" s="1"/>
  <c r="IA43" i="1" s="1"/>
  <c r="ID43" i="1" s="1"/>
  <c r="IG43" i="1" s="1"/>
  <c r="IJ43" i="1" s="1"/>
  <c r="IM43" i="1" s="1"/>
  <c r="GK43" i="1"/>
  <c r="GN43" i="1" s="1"/>
  <c r="GJ43" i="1"/>
  <c r="GM43" i="1" s="1"/>
  <c r="GI43" i="1"/>
  <c r="ED43" i="1"/>
  <c r="EF43" i="1" s="1"/>
  <c r="EC43" i="1"/>
  <c r="DZ43" i="1"/>
  <c r="DW43" i="1"/>
  <c r="DV43" i="1"/>
  <c r="DY43" i="1" s="1"/>
  <c r="DU43" i="1"/>
  <c r="DX43" i="1" s="1"/>
  <c r="EA43" i="1" s="1"/>
  <c r="DT43" i="1"/>
  <c r="DG43" i="1"/>
  <c r="DF43" i="1"/>
  <c r="CU43" i="1"/>
  <c r="CT43" i="1"/>
  <c r="CR43" i="1"/>
  <c r="CS43" i="1" s="1"/>
  <c r="CQ43" i="1"/>
  <c r="CP43" i="1"/>
  <c r="CO43" i="1"/>
  <c r="CG43" i="1"/>
  <c r="BQ43" i="1"/>
  <c r="BN43" i="1"/>
  <c r="AV43" i="1"/>
  <c r="AK43" i="1"/>
  <c r="AG43" i="1"/>
  <c r="AB43" i="1"/>
  <c r="K43" i="1"/>
  <c r="BS43" i="1" s="1"/>
  <c r="J43" i="1"/>
  <c r="G43" i="1"/>
  <c r="JU42" i="1"/>
  <c r="GQ42" i="1"/>
  <c r="GT42" i="1" s="1"/>
  <c r="GW42" i="1" s="1"/>
  <c r="GZ42" i="1" s="1"/>
  <c r="HC42" i="1" s="1"/>
  <c r="HF42" i="1" s="1"/>
  <c r="HI42" i="1" s="1"/>
  <c r="HL42" i="1" s="1"/>
  <c r="HO42" i="1" s="1"/>
  <c r="HR42" i="1" s="1"/>
  <c r="HU42" i="1" s="1"/>
  <c r="HX42" i="1" s="1"/>
  <c r="IA42" i="1" s="1"/>
  <c r="ID42" i="1" s="1"/>
  <c r="IG42" i="1" s="1"/>
  <c r="IJ42" i="1" s="1"/>
  <c r="IM42" i="1" s="1"/>
  <c r="GN42" i="1"/>
  <c r="GK42" i="1"/>
  <c r="GJ42" i="1"/>
  <c r="GM42" i="1" s="1"/>
  <c r="DV42" i="1"/>
  <c r="DY42" i="1" s="1"/>
  <c r="EB42" i="1" s="1"/>
  <c r="EE42" i="1" s="1"/>
  <c r="EH42" i="1" s="1"/>
  <c r="EK42" i="1" s="1"/>
  <c r="EN42" i="1" s="1"/>
  <c r="EQ42" i="1" s="1"/>
  <c r="ET42" i="1" s="1"/>
  <c r="DU42" i="1"/>
  <c r="DG42" i="1"/>
  <c r="DF42" i="1"/>
  <c r="CT42" i="1"/>
  <c r="CR42" i="1"/>
  <c r="CP42" i="1"/>
  <c r="CO42" i="1"/>
  <c r="CG42" i="1"/>
  <c r="BT42" i="1"/>
  <c r="BS42" i="1"/>
  <c r="BN42" i="1" s="1"/>
  <c r="BQ42" i="1"/>
  <c r="AV42" i="1"/>
  <c r="AP42" i="1"/>
  <c r="AK42" i="1"/>
  <c r="AG42" i="1"/>
  <c r="K42" i="1"/>
  <c r="J42" i="1"/>
  <c r="Z42" i="1" s="1"/>
  <c r="G42" i="1"/>
  <c r="F42" i="1"/>
  <c r="GN41" i="1"/>
  <c r="GQ41" i="1" s="1"/>
  <c r="GT41" i="1" s="1"/>
  <c r="GW41" i="1" s="1"/>
  <c r="GZ41" i="1" s="1"/>
  <c r="HC41" i="1" s="1"/>
  <c r="HF41" i="1" s="1"/>
  <c r="HI41" i="1" s="1"/>
  <c r="HL41" i="1" s="1"/>
  <c r="HO41" i="1" s="1"/>
  <c r="HR41" i="1" s="1"/>
  <c r="HU41" i="1" s="1"/>
  <c r="HX41" i="1" s="1"/>
  <c r="IA41" i="1" s="1"/>
  <c r="ID41" i="1" s="1"/>
  <c r="IG41" i="1" s="1"/>
  <c r="IJ41" i="1" s="1"/>
  <c r="IM41" i="1" s="1"/>
  <c r="GK41" i="1"/>
  <c r="GJ41" i="1"/>
  <c r="GM41" i="1" s="1"/>
  <c r="EB41" i="1"/>
  <c r="EE41" i="1" s="1"/>
  <c r="EH41" i="1" s="1"/>
  <c r="EK41" i="1" s="1"/>
  <c r="EN41" i="1" s="1"/>
  <c r="EQ41" i="1" s="1"/>
  <c r="ET41" i="1" s="1"/>
  <c r="FX41" i="1" s="1"/>
  <c r="DY41" i="1"/>
  <c r="DV41" i="1"/>
  <c r="DU41" i="1"/>
  <c r="DG41" i="1"/>
  <c r="DF41" i="1"/>
  <c r="CT41" i="1"/>
  <c r="CR41" i="1"/>
  <c r="CP41" i="1"/>
  <c r="CO41" i="1"/>
  <c r="BQ41" i="1"/>
  <c r="AV41" i="1"/>
  <c r="AK41" i="1"/>
  <c r="AG41" i="1"/>
  <c r="E41" i="1"/>
  <c r="GM40" i="1"/>
  <c r="GP40" i="1" s="1"/>
  <c r="GK40" i="1"/>
  <c r="GJ40" i="1"/>
  <c r="FU40" i="1"/>
  <c r="EW40" i="1"/>
  <c r="DY40" i="1"/>
  <c r="EB40" i="1" s="1"/>
  <c r="EE40" i="1" s="1"/>
  <c r="EH40" i="1" s="1"/>
  <c r="EK40" i="1" s="1"/>
  <c r="EN40" i="1" s="1"/>
  <c r="EQ40" i="1" s="1"/>
  <c r="ET40" i="1" s="1"/>
  <c r="DX40" i="1"/>
  <c r="EA40" i="1" s="1"/>
  <c r="DV40" i="1"/>
  <c r="DU40" i="1"/>
  <c r="DG40" i="1"/>
  <c r="DF40" i="1"/>
  <c r="CT40" i="1"/>
  <c r="CR40" i="1"/>
  <c r="CP40" i="1"/>
  <c r="CO40" i="1"/>
  <c r="CG40" i="1"/>
  <c r="CF40" i="1"/>
  <c r="CE40" i="1"/>
  <c r="CD40" i="1"/>
  <c r="BQ40" i="1"/>
  <c r="AV40" i="1"/>
  <c r="AP40" i="1"/>
  <c r="AK40" i="1"/>
  <c r="AG40" i="1"/>
  <c r="H40" i="1"/>
  <c r="F40" i="1"/>
  <c r="E40" i="1"/>
  <c r="IM39" i="1"/>
  <c r="HC39" i="1"/>
  <c r="HF39" i="1" s="1"/>
  <c r="HI39" i="1" s="1"/>
  <c r="HL39" i="1" s="1"/>
  <c r="HO39" i="1" s="1"/>
  <c r="HR39" i="1" s="1"/>
  <c r="HU39" i="1" s="1"/>
  <c r="HX39" i="1" s="1"/>
  <c r="IA39" i="1" s="1"/>
  <c r="ID39" i="1" s="1"/>
  <c r="IG39" i="1" s="1"/>
  <c r="IJ39" i="1" s="1"/>
  <c r="GM39" i="1"/>
  <c r="GK39" i="1"/>
  <c r="GN39" i="1" s="1"/>
  <c r="GQ39" i="1" s="1"/>
  <c r="GT39" i="1" s="1"/>
  <c r="GW39" i="1" s="1"/>
  <c r="GZ39" i="1" s="1"/>
  <c r="GJ39" i="1"/>
  <c r="EH39" i="1"/>
  <c r="EK39" i="1" s="1"/>
  <c r="EN39" i="1" s="1"/>
  <c r="EQ39" i="1" s="1"/>
  <c r="ET39" i="1" s="1"/>
  <c r="DX39" i="1"/>
  <c r="EA39" i="1" s="1"/>
  <c r="DV39" i="1"/>
  <c r="DY39" i="1" s="1"/>
  <c r="EB39" i="1" s="1"/>
  <c r="EE39" i="1" s="1"/>
  <c r="DU39" i="1"/>
  <c r="DG39" i="1"/>
  <c r="DF39" i="1"/>
  <c r="CT39" i="1"/>
  <c r="CR39" i="1"/>
  <c r="CP39" i="1"/>
  <c r="CO39" i="1"/>
  <c r="CF39" i="1"/>
  <c r="CE39" i="1"/>
  <c r="CD39" i="1"/>
  <c r="E39" i="1" s="1"/>
  <c r="BQ39" i="1"/>
  <c r="AV39" i="1"/>
  <c r="AP39" i="1"/>
  <c r="AK39" i="1"/>
  <c r="AG39" i="1"/>
  <c r="H39" i="1"/>
  <c r="G39" i="1"/>
  <c r="F39" i="1"/>
  <c r="HI38" i="1"/>
  <c r="HL38" i="1" s="1"/>
  <c r="HO38" i="1" s="1"/>
  <c r="HR38" i="1" s="1"/>
  <c r="HU38" i="1" s="1"/>
  <c r="HX38" i="1" s="1"/>
  <c r="IA38" i="1" s="1"/>
  <c r="ID38" i="1" s="1"/>
  <c r="IG38" i="1" s="1"/>
  <c r="IJ38" i="1" s="1"/>
  <c r="IM38" i="1" s="1"/>
  <c r="GQ38" i="1"/>
  <c r="GT38" i="1" s="1"/>
  <c r="GW38" i="1" s="1"/>
  <c r="GZ38" i="1" s="1"/>
  <c r="HC38" i="1" s="1"/>
  <c r="HF38" i="1" s="1"/>
  <c r="GM38" i="1"/>
  <c r="GK38" i="1"/>
  <c r="GN38" i="1" s="1"/>
  <c r="GJ38" i="1"/>
  <c r="DY38" i="1"/>
  <c r="EB38" i="1" s="1"/>
  <c r="EE38" i="1" s="1"/>
  <c r="EH38" i="1" s="1"/>
  <c r="EK38" i="1" s="1"/>
  <c r="EN38" i="1" s="1"/>
  <c r="EQ38" i="1" s="1"/>
  <c r="ET38" i="1" s="1"/>
  <c r="DV38" i="1"/>
  <c r="DU38" i="1"/>
  <c r="DX38" i="1" s="1"/>
  <c r="DG38" i="1"/>
  <c r="DF38" i="1"/>
  <c r="CT38" i="1"/>
  <c r="CR38" i="1"/>
  <c r="CP38" i="1"/>
  <c r="CO38" i="1"/>
  <c r="CF38" i="1"/>
  <c r="CE38" i="1"/>
  <c r="CD38" i="1"/>
  <c r="BQ38" i="1"/>
  <c r="AV38" i="1"/>
  <c r="AP38" i="1"/>
  <c r="AK38" i="1"/>
  <c r="AG38" i="1"/>
  <c r="H38" i="1"/>
  <c r="F38" i="1"/>
  <c r="E38" i="1"/>
  <c r="CG38" i="1" s="1"/>
  <c r="GZ37" i="1"/>
  <c r="HC37" i="1" s="1"/>
  <c r="HF37" i="1" s="1"/>
  <c r="HI37" i="1" s="1"/>
  <c r="HL37" i="1" s="1"/>
  <c r="HO37" i="1" s="1"/>
  <c r="HR37" i="1" s="1"/>
  <c r="HU37" i="1" s="1"/>
  <c r="HX37" i="1" s="1"/>
  <c r="IA37" i="1" s="1"/>
  <c r="ID37" i="1" s="1"/>
  <c r="IG37" i="1" s="1"/>
  <c r="IJ37" i="1" s="1"/>
  <c r="IM37" i="1" s="1"/>
  <c r="GN37" i="1"/>
  <c r="GQ37" i="1" s="1"/>
  <c r="GT37" i="1" s="1"/>
  <c r="GW37" i="1" s="1"/>
  <c r="GK37" i="1"/>
  <c r="GJ37" i="1"/>
  <c r="EE37" i="1"/>
  <c r="EH37" i="1" s="1"/>
  <c r="EK37" i="1" s="1"/>
  <c r="EN37" i="1" s="1"/>
  <c r="EQ37" i="1" s="1"/>
  <c r="ET37" i="1" s="1"/>
  <c r="EA37" i="1"/>
  <c r="ED37" i="1" s="1"/>
  <c r="DY37" i="1"/>
  <c r="EB37" i="1" s="1"/>
  <c r="DX37" i="1"/>
  <c r="DV37" i="1"/>
  <c r="DU37" i="1"/>
  <c r="DG37" i="1"/>
  <c r="DF37" i="1"/>
  <c r="CT37" i="1"/>
  <c r="CR37" i="1"/>
  <c r="CP37" i="1"/>
  <c r="CO37" i="1"/>
  <c r="CE37" i="1"/>
  <c r="CF37" i="1" s="1"/>
  <c r="CD37" i="1"/>
  <c r="BQ37" i="1"/>
  <c r="AV37" i="1"/>
  <c r="AP37" i="1"/>
  <c r="AK37" i="1"/>
  <c r="AG37" i="1"/>
  <c r="H37" i="1"/>
  <c r="G37" i="1"/>
  <c r="F37" i="1"/>
  <c r="E37" i="1"/>
  <c r="R69" i="25" s="1"/>
  <c r="GP36" i="1"/>
  <c r="GK36" i="1"/>
  <c r="GJ36" i="1"/>
  <c r="GM36" i="1" s="1"/>
  <c r="EK36" i="1"/>
  <c r="EN36" i="1" s="1"/>
  <c r="EQ36" i="1" s="1"/>
  <c r="ET36" i="1" s="1"/>
  <c r="DY36" i="1"/>
  <c r="EB36" i="1" s="1"/>
  <c r="EE36" i="1" s="1"/>
  <c r="EH36" i="1" s="1"/>
  <c r="DV36" i="1"/>
  <c r="DU36" i="1"/>
  <c r="DG36" i="1"/>
  <c r="DF36" i="1"/>
  <c r="CT36" i="1"/>
  <c r="CR36" i="1"/>
  <c r="CP36" i="1"/>
  <c r="CO36" i="1"/>
  <c r="CF36" i="1"/>
  <c r="CE36" i="1"/>
  <c r="CD36" i="1"/>
  <c r="BQ36" i="1"/>
  <c r="AV36" i="1"/>
  <c r="AP36" i="1"/>
  <c r="AK36" i="1"/>
  <c r="AG36" i="1"/>
  <c r="H36" i="1"/>
  <c r="F36" i="1"/>
  <c r="E36" i="1"/>
  <c r="R68" i="25" s="1"/>
  <c r="GN35" i="1"/>
  <c r="GQ35" i="1" s="1"/>
  <c r="GT35" i="1" s="1"/>
  <c r="GW35" i="1" s="1"/>
  <c r="GZ35" i="1" s="1"/>
  <c r="HC35" i="1" s="1"/>
  <c r="HF35" i="1" s="1"/>
  <c r="HI35" i="1" s="1"/>
  <c r="HL35" i="1" s="1"/>
  <c r="HO35" i="1" s="1"/>
  <c r="HR35" i="1" s="1"/>
  <c r="HU35" i="1" s="1"/>
  <c r="HX35" i="1" s="1"/>
  <c r="IA35" i="1" s="1"/>
  <c r="ID35" i="1" s="1"/>
  <c r="IG35" i="1" s="1"/>
  <c r="IJ35" i="1" s="1"/>
  <c r="IM35" i="1" s="1"/>
  <c r="GK35" i="1"/>
  <c r="GJ35" i="1"/>
  <c r="GM35" i="1" s="1"/>
  <c r="DV35" i="1"/>
  <c r="DY35" i="1" s="1"/>
  <c r="EB35" i="1" s="1"/>
  <c r="EE35" i="1" s="1"/>
  <c r="EH35" i="1" s="1"/>
  <c r="EK35" i="1" s="1"/>
  <c r="EN35" i="1" s="1"/>
  <c r="EQ35" i="1" s="1"/>
  <c r="ET35" i="1" s="1"/>
  <c r="DU35" i="1"/>
  <c r="DX35" i="1" s="1"/>
  <c r="DG35" i="1"/>
  <c r="DF35" i="1"/>
  <c r="CT35" i="1"/>
  <c r="CR35" i="1"/>
  <c r="CP35" i="1"/>
  <c r="CO35" i="1"/>
  <c r="CE35" i="1"/>
  <c r="CF35" i="1" s="1"/>
  <c r="CD35" i="1"/>
  <c r="E35" i="1" s="1"/>
  <c r="BQ35" i="1"/>
  <c r="AV35" i="1"/>
  <c r="AP35" i="1"/>
  <c r="AK35" i="1"/>
  <c r="AG35" i="1"/>
  <c r="H35" i="1"/>
  <c r="G35" i="1"/>
  <c r="F35" i="1"/>
  <c r="JU34" i="1"/>
  <c r="GP34" i="1"/>
  <c r="GS34" i="1" s="1"/>
  <c r="GM34" i="1"/>
  <c r="GK34" i="1"/>
  <c r="GN34" i="1" s="1"/>
  <c r="GJ34" i="1"/>
  <c r="FU34" i="1"/>
  <c r="EW34" i="1"/>
  <c r="EB34" i="1"/>
  <c r="EE34" i="1" s="1"/>
  <c r="EH34" i="1" s="1"/>
  <c r="EK34" i="1" s="1"/>
  <c r="EN34" i="1" s="1"/>
  <c r="EQ34" i="1" s="1"/>
  <c r="ET34" i="1" s="1"/>
  <c r="EZ34" i="1" s="1"/>
  <c r="DY34" i="1"/>
  <c r="DV34" i="1"/>
  <c r="DU34" i="1"/>
  <c r="DX34" i="1" s="1"/>
  <c r="DG34" i="1"/>
  <c r="DF34" i="1"/>
  <c r="CT34" i="1"/>
  <c r="CR34" i="1"/>
  <c r="CP34" i="1"/>
  <c r="CO34" i="1"/>
  <c r="CG34" i="1"/>
  <c r="CF34" i="1"/>
  <c r="CE34" i="1"/>
  <c r="CD34" i="1"/>
  <c r="BQ34" i="1"/>
  <c r="AP34" i="1"/>
  <c r="AK34" i="1"/>
  <c r="AG34" i="1"/>
  <c r="H34" i="1"/>
  <c r="G34" i="1"/>
  <c r="F34" i="1"/>
  <c r="E34" i="1"/>
  <c r="R66" i="25" s="1"/>
  <c r="GM33" i="1"/>
  <c r="GK33" i="1"/>
  <c r="GN33" i="1" s="1"/>
  <c r="GQ33" i="1" s="1"/>
  <c r="GT33" i="1" s="1"/>
  <c r="GW33" i="1" s="1"/>
  <c r="GZ33" i="1" s="1"/>
  <c r="HC33" i="1" s="1"/>
  <c r="HF33" i="1" s="1"/>
  <c r="HI33" i="1" s="1"/>
  <c r="HL33" i="1" s="1"/>
  <c r="HO33" i="1" s="1"/>
  <c r="HR33" i="1" s="1"/>
  <c r="HU33" i="1" s="1"/>
  <c r="HX33" i="1" s="1"/>
  <c r="IA33" i="1" s="1"/>
  <c r="ID33" i="1" s="1"/>
  <c r="IG33" i="1" s="1"/>
  <c r="IJ33" i="1" s="1"/>
  <c r="IM33" i="1" s="1"/>
  <c r="GJ33" i="1"/>
  <c r="EG33" i="1"/>
  <c r="ED33" i="1"/>
  <c r="DY33" i="1"/>
  <c r="EB33" i="1" s="1"/>
  <c r="EE33" i="1" s="1"/>
  <c r="EH33" i="1" s="1"/>
  <c r="EK33" i="1" s="1"/>
  <c r="EN33" i="1" s="1"/>
  <c r="EQ33" i="1" s="1"/>
  <c r="ET33" i="1" s="1"/>
  <c r="FU33" i="1" s="1"/>
  <c r="DV33" i="1"/>
  <c r="DU33" i="1"/>
  <c r="DX33" i="1" s="1"/>
  <c r="EA33" i="1" s="1"/>
  <c r="DG33" i="1"/>
  <c r="DF33" i="1"/>
  <c r="CT33" i="1"/>
  <c r="CR33" i="1"/>
  <c r="CP33" i="1"/>
  <c r="CO33" i="1"/>
  <c r="CE33" i="1"/>
  <c r="CF33" i="1" s="1"/>
  <c r="CD33" i="1"/>
  <c r="BQ33" i="1"/>
  <c r="AP33" i="1"/>
  <c r="AK33" i="1"/>
  <c r="AG33" i="1"/>
  <c r="AF33" i="1"/>
  <c r="AF34" i="1" s="1"/>
  <c r="AF35" i="1" s="1"/>
  <c r="AF36" i="1" s="1"/>
  <c r="AF37" i="1" s="1"/>
  <c r="AF38" i="1" s="1"/>
  <c r="AF39" i="1" s="1"/>
  <c r="AF40" i="1" s="1"/>
  <c r="AE33" i="1"/>
  <c r="AE34" i="1" s="1"/>
  <c r="AE35" i="1" s="1"/>
  <c r="AE36" i="1" s="1"/>
  <c r="AE37" i="1" s="1"/>
  <c r="AE38" i="1" s="1"/>
  <c r="AE39" i="1" s="1"/>
  <c r="AE40" i="1" s="1"/>
  <c r="AD33" i="1"/>
  <c r="AD34" i="1" s="1"/>
  <c r="AD35" i="1" s="1"/>
  <c r="AD36" i="1" s="1"/>
  <c r="AD37" i="1" s="1"/>
  <c r="AD38" i="1" s="1"/>
  <c r="AD39" i="1" s="1"/>
  <c r="AD40" i="1" s="1"/>
  <c r="K33" i="1"/>
  <c r="J33" i="1"/>
  <c r="J34" i="1" s="1"/>
  <c r="H33" i="1"/>
  <c r="F33" i="1"/>
  <c r="E33" i="1"/>
  <c r="GN32" i="1"/>
  <c r="GQ32" i="1" s="1"/>
  <c r="GT32" i="1" s="1"/>
  <c r="GW32" i="1" s="1"/>
  <c r="GZ32" i="1" s="1"/>
  <c r="HC32" i="1" s="1"/>
  <c r="HF32" i="1" s="1"/>
  <c r="HI32" i="1" s="1"/>
  <c r="HL32" i="1" s="1"/>
  <c r="HO32" i="1" s="1"/>
  <c r="HR32" i="1" s="1"/>
  <c r="HU32" i="1" s="1"/>
  <c r="HX32" i="1" s="1"/>
  <c r="IA32" i="1" s="1"/>
  <c r="ID32" i="1" s="1"/>
  <c r="IG32" i="1" s="1"/>
  <c r="IJ32" i="1" s="1"/>
  <c r="IM32" i="1" s="1"/>
  <c r="GK32" i="1"/>
  <c r="GJ32" i="1"/>
  <c r="DY32" i="1"/>
  <c r="EB32" i="1" s="1"/>
  <c r="EE32" i="1" s="1"/>
  <c r="EH32" i="1" s="1"/>
  <c r="EK32" i="1" s="1"/>
  <c r="EN32" i="1" s="1"/>
  <c r="EQ32" i="1" s="1"/>
  <c r="ET32" i="1" s="1"/>
  <c r="FU32" i="1" s="1"/>
  <c r="DV32" i="1"/>
  <c r="DU32" i="1"/>
  <c r="DX32" i="1" s="1"/>
  <c r="DG32" i="1"/>
  <c r="DF32" i="1"/>
  <c r="CT32" i="1"/>
  <c r="CR32" i="1"/>
  <c r="CP32" i="1"/>
  <c r="CO32" i="1"/>
  <c r="CG32" i="1"/>
  <c r="CE32" i="1"/>
  <c r="CF32" i="1" s="1"/>
  <c r="CD32" i="1"/>
  <c r="BQ32" i="1"/>
  <c r="AP32" i="1"/>
  <c r="AK32" i="1"/>
  <c r="AG32" i="1"/>
  <c r="Z32" i="1"/>
  <c r="H32" i="1"/>
  <c r="G32" i="1"/>
  <c r="F32" i="1"/>
  <c r="E32" i="1"/>
  <c r="R64" i="25" s="1"/>
  <c r="JU31" i="1"/>
  <c r="GN31" i="1"/>
  <c r="GQ31" i="1" s="1"/>
  <c r="GT31" i="1" s="1"/>
  <c r="GW31" i="1" s="1"/>
  <c r="GZ31" i="1" s="1"/>
  <c r="HC31" i="1" s="1"/>
  <c r="HF31" i="1" s="1"/>
  <c r="HI31" i="1" s="1"/>
  <c r="HL31" i="1" s="1"/>
  <c r="HO31" i="1" s="1"/>
  <c r="HR31" i="1" s="1"/>
  <c r="HU31" i="1" s="1"/>
  <c r="HX31" i="1" s="1"/>
  <c r="IA31" i="1" s="1"/>
  <c r="ID31" i="1" s="1"/>
  <c r="IG31" i="1" s="1"/>
  <c r="IJ31" i="1" s="1"/>
  <c r="IM31" i="1" s="1"/>
  <c r="GK31" i="1"/>
  <c r="GJ31" i="1"/>
  <c r="DY31" i="1"/>
  <c r="EB31" i="1" s="1"/>
  <c r="EE31" i="1" s="1"/>
  <c r="EH31" i="1" s="1"/>
  <c r="EK31" i="1" s="1"/>
  <c r="EN31" i="1" s="1"/>
  <c r="EQ31" i="1" s="1"/>
  <c r="ET31" i="1" s="1"/>
  <c r="FU31" i="1" s="1"/>
  <c r="DV31" i="1"/>
  <c r="DU31" i="1"/>
  <c r="DX31" i="1" s="1"/>
  <c r="DG31" i="1"/>
  <c r="DF31" i="1"/>
  <c r="CT31" i="1"/>
  <c r="CR31" i="1"/>
  <c r="CP31" i="1"/>
  <c r="CO31" i="1"/>
  <c r="CG31" i="1"/>
  <c r="BQ31" i="1"/>
  <c r="AV31" i="1"/>
  <c r="AK31" i="1"/>
  <c r="AG31" i="1"/>
  <c r="Z31" i="1"/>
  <c r="K31" i="1"/>
  <c r="J31" i="1"/>
  <c r="G31" i="1"/>
  <c r="JU30" i="1"/>
  <c r="JS30" i="1"/>
  <c r="GN30" i="1"/>
  <c r="GQ30" i="1" s="1"/>
  <c r="GT30" i="1" s="1"/>
  <c r="GW30" i="1" s="1"/>
  <c r="GZ30" i="1" s="1"/>
  <c r="HC30" i="1" s="1"/>
  <c r="HF30" i="1" s="1"/>
  <c r="HI30" i="1" s="1"/>
  <c r="HL30" i="1" s="1"/>
  <c r="HO30" i="1" s="1"/>
  <c r="HR30" i="1" s="1"/>
  <c r="HU30" i="1" s="1"/>
  <c r="HX30" i="1" s="1"/>
  <c r="IA30" i="1" s="1"/>
  <c r="ID30" i="1" s="1"/>
  <c r="IG30" i="1" s="1"/>
  <c r="IJ30" i="1" s="1"/>
  <c r="IM30" i="1" s="1"/>
  <c r="GK30" i="1"/>
  <c r="GJ30" i="1"/>
  <c r="EE30" i="1"/>
  <c r="EH30" i="1" s="1"/>
  <c r="EK30" i="1" s="1"/>
  <c r="EN30" i="1" s="1"/>
  <c r="EQ30" i="1" s="1"/>
  <c r="ET30" i="1" s="1"/>
  <c r="FC30" i="1" s="1"/>
  <c r="DY30" i="1"/>
  <c r="EB30" i="1" s="1"/>
  <c r="DV30" i="1"/>
  <c r="DU30" i="1"/>
  <c r="DX30" i="1" s="1"/>
  <c r="DG30" i="1"/>
  <c r="DF30" i="1"/>
  <c r="CT30" i="1"/>
  <c r="CR30" i="1"/>
  <c r="CP30" i="1"/>
  <c r="CO30" i="1"/>
  <c r="CG30" i="1"/>
  <c r="BT30" i="1"/>
  <c r="BQ30" i="1"/>
  <c r="AV30" i="1"/>
  <c r="AK30" i="1"/>
  <c r="AG30" i="1"/>
  <c r="Z30" i="1"/>
  <c r="K30" i="1"/>
  <c r="J30" i="1"/>
  <c r="BS30" i="1" s="1"/>
  <c r="G30" i="1"/>
  <c r="JU29" i="1"/>
  <c r="JS29" i="1"/>
  <c r="GN29" i="1"/>
  <c r="GQ29" i="1" s="1"/>
  <c r="GT29" i="1" s="1"/>
  <c r="GW29" i="1" s="1"/>
  <c r="GZ29" i="1" s="1"/>
  <c r="HC29" i="1" s="1"/>
  <c r="HF29" i="1" s="1"/>
  <c r="HI29" i="1" s="1"/>
  <c r="HL29" i="1" s="1"/>
  <c r="HO29" i="1" s="1"/>
  <c r="HR29" i="1" s="1"/>
  <c r="HU29" i="1" s="1"/>
  <c r="HX29" i="1" s="1"/>
  <c r="IA29" i="1" s="1"/>
  <c r="ID29" i="1" s="1"/>
  <c r="IG29" i="1" s="1"/>
  <c r="IJ29" i="1" s="1"/>
  <c r="IM29" i="1" s="1"/>
  <c r="GM29" i="1"/>
  <c r="GP29" i="1" s="1"/>
  <c r="GS29" i="1" s="1"/>
  <c r="GV29" i="1" s="1"/>
  <c r="GK29" i="1"/>
  <c r="GJ29" i="1"/>
  <c r="DY29" i="1"/>
  <c r="EB29" i="1" s="1"/>
  <c r="EE29" i="1" s="1"/>
  <c r="EH29" i="1" s="1"/>
  <c r="EK29" i="1" s="1"/>
  <c r="EN29" i="1" s="1"/>
  <c r="EQ29" i="1" s="1"/>
  <c r="ET29" i="1" s="1"/>
  <c r="DV29" i="1"/>
  <c r="DU29" i="1"/>
  <c r="DX29" i="1" s="1"/>
  <c r="DG29" i="1"/>
  <c r="DF29" i="1"/>
  <c r="CT29" i="1"/>
  <c r="CR29" i="1"/>
  <c r="CP29" i="1"/>
  <c r="CO29" i="1"/>
  <c r="CG29" i="1"/>
  <c r="BT29" i="1"/>
  <c r="BQ29" i="1"/>
  <c r="AV29" i="1"/>
  <c r="AK29" i="1"/>
  <c r="AG29" i="1"/>
  <c r="Z29" i="1"/>
  <c r="K29" i="1"/>
  <c r="J29" i="1"/>
  <c r="BS29" i="1" s="1"/>
  <c r="G29" i="1"/>
  <c r="JU28" i="1"/>
  <c r="JS28" i="1"/>
  <c r="GN28" i="1"/>
  <c r="GQ28" i="1" s="1"/>
  <c r="GT28" i="1" s="1"/>
  <c r="GW28" i="1" s="1"/>
  <c r="GZ28" i="1" s="1"/>
  <c r="HC28" i="1" s="1"/>
  <c r="HF28" i="1" s="1"/>
  <c r="HI28" i="1" s="1"/>
  <c r="HL28" i="1" s="1"/>
  <c r="HO28" i="1" s="1"/>
  <c r="HR28" i="1" s="1"/>
  <c r="HU28" i="1" s="1"/>
  <c r="HX28" i="1" s="1"/>
  <c r="IA28" i="1" s="1"/>
  <c r="ID28" i="1" s="1"/>
  <c r="IG28" i="1" s="1"/>
  <c r="IJ28" i="1" s="1"/>
  <c r="IM28" i="1" s="1"/>
  <c r="GK28" i="1"/>
  <c r="GJ28" i="1"/>
  <c r="DY28" i="1"/>
  <c r="EB28" i="1" s="1"/>
  <c r="EE28" i="1" s="1"/>
  <c r="EH28" i="1" s="1"/>
  <c r="EK28" i="1" s="1"/>
  <c r="EN28" i="1" s="1"/>
  <c r="EQ28" i="1" s="1"/>
  <c r="ET28" i="1" s="1"/>
  <c r="DV28" i="1"/>
  <c r="DU28" i="1"/>
  <c r="DX28" i="1" s="1"/>
  <c r="EA28" i="1" s="1"/>
  <c r="DG28" i="1"/>
  <c r="DF28" i="1"/>
  <c r="CT28" i="1"/>
  <c r="CR28" i="1"/>
  <c r="CP28" i="1"/>
  <c r="CO28" i="1"/>
  <c r="CG28" i="1"/>
  <c r="BT28" i="1"/>
  <c r="BQ28" i="1"/>
  <c r="AV28" i="1"/>
  <c r="AK28" i="1"/>
  <c r="AG28" i="1"/>
  <c r="Z28" i="1"/>
  <c r="K28" i="1"/>
  <c r="J28" i="1"/>
  <c r="G28" i="1"/>
  <c r="JS27" i="1"/>
  <c r="GW27" i="1"/>
  <c r="GZ27" i="1" s="1"/>
  <c r="HC27" i="1" s="1"/>
  <c r="HF27" i="1" s="1"/>
  <c r="HI27" i="1" s="1"/>
  <c r="HL27" i="1" s="1"/>
  <c r="HO27" i="1" s="1"/>
  <c r="HR27" i="1" s="1"/>
  <c r="HU27" i="1" s="1"/>
  <c r="HX27" i="1" s="1"/>
  <c r="IA27" i="1" s="1"/>
  <c r="ID27" i="1" s="1"/>
  <c r="IG27" i="1" s="1"/>
  <c r="IJ27" i="1" s="1"/>
  <c r="IM27" i="1" s="1"/>
  <c r="GT27" i="1"/>
  <c r="GN27" i="1"/>
  <c r="GQ27" i="1" s="1"/>
  <c r="GM27" i="1"/>
  <c r="GP27" i="1" s="1"/>
  <c r="GK27" i="1"/>
  <c r="GJ27" i="1"/>
  <c r="GG27" i="1"/>
  <c r="DY27" i="1"/>
  <c r="EB27" i="1" s="1"/>
  <c r="EE27" i="1" s="1"/>
  <c r="EH27" i="1" s="1"/>
  <c r="EK27" i="1" s="1"/>
  <c r="EN27" i="1" s="1"/>
  <c r="EQ27" i="1" s="1"/>
  <c r="ET27" i="1" s="1"/>
  <c r="DV27" i="1"/>
  <c r="DU27" i="1"/>
  <c r="DX27" i="1" s="1"/>
  <c r="EA27" i="1" s="1"/>
  <c r="DR27" i="1"/>
  <c r="DG27" i="1"/>
  <c r="DF27" i="1"/>
  <c r="CT27" i="1"/>
  <c r="CR27" i="1"/>
  <c r="CP27" i="1"/>
  <c r="CO27" i="1"/>
  <c r="BP27" i="1"/>
  <c r="BK27" i="1"/>
  <c r="BH27" i="1"/>
  <c r="BG27" i="1"/>
  <c r="BF27" i="1"/>
  <c r="BE27" i="1"/>
  <c r="BD27" i="1"/>
  <c r="BC27" i="1"/>
  <c r="BB27" i="1"/>
  <c r="AY27" i="1"/>
  <c r="AX27" i="1"/>
  <c r="AW27" i="1"/>
  <c r="AV27" i="1"/>
  <c r="AU27" i="1"/>
  <c r="AT27" i="1"/>
  <c r="AS27" i="1"/>
  <c r="AR27" i="1"/>
  <c r="AQ27" i="1"/>
  <c r="AO27" i="1"/>
  <c r="AK27" i="1"/>
  <c r="AJ27" i="1"/>
  <c r="AA27" i="1"/>
  <c r="Y27" i="1"/>
  <c r="U27" i="1"/>
  <c r="S27" i="1"/>
  <c r="R27" i="1"/>
  <c r="N27" i="1"/>
  <c r="L27" i="1"/>
  <c r="E27" i="1"/>
  <c r="AM27" i="1" s="1"/>
  <c r="D27" i="1"/>
  <c r="C27" i="1"/>
  <c r="JU26" i="1"/>
  <c r="JS26" i="1"/>
  <c r="GP26" i="1"/>
  <c r="GM26" i="1"/>
  <c r="GK26" i="1"/>
  <c r="GN26" i="1" s="1"/>
  <c r="GQ26" i="1" s="1"/>
  <c r="GT26" i="1" s="1"/>
  <c r="GW26" i="1" s="1"/>
  <c r="GZ26" i="1" s="1"/>
  <c r="HC26" i="1" s="1"/>
  <c r="HF26" i="1" s="1"/>
  <c r="HI26" i="1" s="1"/>
  <c r="HL26" i="1" s="1"/>
  <c r="HO26" i="1" s="1"/>
  <c r="HR26" i="1" s="1"/>
  <c r="HU26" i="1" s="1"/>
  <c r="HX26" i="1" s="1"/>
  <c r="IA26" i="1" s="1"/>
  <c r="ID26" i="1" s="1"/>
  <c r="IG26" i="1" s="1"/>
  <c r="IJ26" i="1" s="1"/>
  <c r="IM26" i="1" s="1"/>
  <c r="GJ26" i="1"/>
  <c r="EK26" i="1"/>
  <c r="EN26" i="1" s="1"/>
  <c r="EQ26" i="1" s="1"/>
  <c r="ET26" i="1" s="1"/>
  <c r="DY26" i="1"/>
  <c r="EB26" i="1" s="1"/>
  <c r="EE26" i="1" s="1"/>
  <c r="EH26" i="1" s="1"/>
  <c r="DV26" i="1"/>
  <c r="DU26" i="1"/>
  <c r="DG26" i="1"/>
  <c r="DF26" i="1"/>
  <c r="CT26" i="1"/>
  <c r="CR26" i="1"/>
  <c r="CP26" i="1"/>
  <c r="CO26" i="1"/>
  <c r="CG26" i="1"/>
  <c r="BQ26" i="1"/>
  <c r="AV26" i="1"/>
  <c r="AK26" i="1"/>
  <c r="AG26" i="1"/>
  <c r="K26" i="1"/>
  <c r="J26" i="1"/>
  <c r="G26" i="1"/>
  <c r="JU25" i="1"/>
  <c r="JS25" i="1"/>
  <c r="GN25" i="1"/>
  <c r="GQ25" i="1" s="1"/>
  <c r="GT25" i="1" s="1"/>
  <c r="GW25" i="1" s="1"/>
  <c r="GZ25" i="1" s="1"/>
  <c r="HC25" i="1" s="1"/>
  <c r="HF25" i="1" s="1"/>
  <c r="HI25" i="1" s="1"/>
  <c r="HL25" i="1" s="1"/>
  <c r="HO25" i="1" s="1"/>
  <c r="HR25" i="1" s="1"/>
  <c r="HU25" i="1" s="1"/>
  <c r="HX25" i="1" s="1"/>
  <c r="IA25" i="1" s="1"/>
  <c r="ID25" i="1" s="1"/>
  <c r="IG25" i="1" s="1"/>
  <c r="IJ25" i="1" s="1"/>
  <c r="IM25" i="1" s="1"/>
  <c r="GM25" i="1"/>
  <c r="GK25" i="1"/>
  <c r="GJ25" i="1"/>
  <c r="EG25" i="1"/>
  <c r="DY25" i="1"/>
  <c r="EB25" i="1" s="1"/>
  <c r="DX25" i="1"/>
  <c r="EA25" i="1" s="1"/>
  <c r="ED25" i="1" s="1"/>
  <c r="DV25" i="1"/>
  <c r="DU25" i="1"/>
  <c r="DG25" i="1"/>
  <c r="DF25" i="1"/>
  <c r="CT25" i="1"/>
  <c r="CR25" i="1"/>
  <c r="CP25" i="1"/>
  <c r="CO25" i="1"/>
  <c r="CG25" i="1"/>
  <c r="BS25" i="1"/>
  <c r="BQ25" i="1"/>
  <c r="AV25" i="1"/>
  <c r="AK25" i="1"/>
  <c r="AG25" i="1"/>
  <c r="K25" i="1"/>
  <c r="J25" i="1"/>
  <c r="Z25" i="1" s="1"/>
  <c r="G25" i="1"/>
  <c r="JV24" i="1"/>
  <c r="JU24" i="1"/>
  <c r="JS24" i="1"/>
  <c r="HO24" i="1"/>
  <c r="HR24" i="1" s="1"/>
  <c r="HU24" i="1" s="1"/>
  <c r="HX24" i="1" s="1"/>
  <c r="IA24" i="1" s="1"/>
  <c r="ID24" i="1" s="1"/>
  <c r="IG24" i="1" s="1"/>
  <c r="IJ24" i="1" s="1"/>
  <c r="IM24" i="1" s="1"/>
  <c r="GQ24" i="1"/>
  <c r="GT24" i="1" s="1"/>
  <c r="GW24" i="1" s="1"/>
  <c r="GZ24" i="1" s="1"/>
  <c r="HC24" i="1" s="1"/>
  <c r="HF24" i="1" s="1"/>
  <c r="HI24" i="1" s="1"/>
  <c r="HL24" i="1" s="1"/>
  <c r="GM24" i="1"/>
  <c r="GK24" i="1"/>
  <c r="GN24" i="1" s="1"/>
  <c r="GJ24" i="1"/>
  <c r="DX24" i="1"/>
  <c r="EA24" i="1" s="1"/>
  <c r="DV24" i="1"/>
  <c r="DU24" i="1"/>
  <c r="DG24" i="1"/>
  <c r="DF24" i="1"/>
  <c r="CT24" i="1"/>
  <c r="CR24" i="1"/>
  <c r="CP24" i="1"/>
  <c r="CO24" i="1"/>
  <c r="CG24" i="1"/>
  <c r="BS24" i="1"/>
  <c r="BQ24" i="1"/>
  <c r="AV24" i="1"/>
  <c r="AK24" i="1"/>
  <c r="AG24" i="1"/>
  <c r="K24" i="1"/>
  <c r="BT24" i="1" s="1"/>
  <c r="J24" i="1"/>
  <c r="Z24" i="1" s="1"/>
  <c r="G24" i="1"/>
  <c r="JV23" i="1"/>
  <c r="JU23" i="1"/>
  <c r="JS23" i="1"/>
  <c r="GM23" i="1"/>
  <c r="GP23" i="1" s="1"/>
  <c r="GK23" i="1"/>
  <c r="GN23" i="1" s="1"/>
  <c r="GQ23" i="1" s="1"/>
  <c r="GT23" i="1" s="1"/>
  <c r="GW23" i="1" s="1"/>
  <c r="GZ23" i="1" s="1"/>
  <c r="HC23" i="1" s="1"/>
  <c r="HF23" i="1" s="1"/>
  <c r="HI23" i="1" s="1"/>
  <c r="HL23" i="1" s="1"/>
  <c r="HO23" i="1" s="1"/>
  <c r="HR23" i="1" s="1"/>
  <c r="HU23" i="1" s="1"/>
  <c r="HX23" i="1" s="1"/>
  <c r="IA23" i="1" s="1"/>
  <c r="ID23" i="1" s="1"/>
  <c r="IG23" i="1" s="1"/>
  <c r="IJ23" i="1" s="1"/>
  <c r="IM23" i="1" s="1"/>
  <c r="GJ23" i="1"/>
  <c r="ED23" i="1"/>
  <c r="DX23" i="1"/>
  <c r="EA23" i="1" s="1"/>
  <c r="DV23" i="1"/>
  <c r="DY23" i="1" s="1"/>
  <c r="EB23" i="1" s="1"/>
  <c r="EE23" i="1" s="1"/>
  <c r="EH23" i="1" s="1"/>
  <c r="EK23" i="1" s="1"/>
  <c r="EN23" i="1" s="1"/>
  <c r="EQ23" i="1" s="1"/>
  <c r="ET23" i="1" s="1"/>
  <c r="DU23" i="1"/>
  <c r="DG23" i="1"/>
  <c r="DF23" i="1"/>
  <c r="CT23" i="1"/>
  <c r="CR23" i="1"/>
  <c r="CP23" i="1"/>
  <c r="CO23" i="1"/>
  <c r="CG23" i="1"/>
  <c r="BS23" i="1"/>
  <c r="BQ23" i="1"/>
  <c r="AV23" i="1"/>
  <c r="AP23" i="1"/>
  <c r="AK23" i="1"/>
  <c r="AG23" i="1"/>
  <c r="K23" i="1"/>
  <c r="J23" i="1"/>
  <c r="Z23" i="1" s="1"/>
  <c r="G23" i="1"/>
  <c r="F23" i="1"/>
  <c r="JX22" i="1"/>
  <c r="JU22" i="1"/>
  <c r="JS22" i="1"/>
  <c r="GS22" i="1"/>
  <c r="GM22" i="1"/>
  <c r="GP22" i="1" s="1"/>
  <c r="GK22" i="1"/>
  <c r="GJ22" i="1"/>
  <c r="FL22" i="1"/>
  <c r="EN22" i="1"/>
  <c r="EQ22" i="1" s="1"/>
  <c r="ET22" i="1" s="1"/>
  <c r="EB22" i="1"/>
  <c r="EE22" i="1" s="1"/>
  <c r="EH22" i="1" s="1"/>
  <c r="EK22" i="1" s="1"/>
  <c r="DY22" i="1"/>
  <c r="DX22" i="1"/>
  <c r="DV22" i="1"/>
  <c r="DU22" i="1"/>
  <c r="DG22" i="1"/>
  <c r="DF22" i="1"/>
  <c r="CT22" i="1"/>
  <c r="CR22" i="1"/>
  <c r="CP22" i="1"/>
  <c r="CO22" i="1"/>
  <c r="CG22" i="1"/>
  <c r="BQ22" i="1"/>
  <c r="AV22" i="1"/>
  <c r="AP22" i="1"/>
  <c r="AK22" i="1"/>
  <c r="AG22" i="1"/>
  <c r="K22" i="1"/>
  <c r="J22" i="1"/>
  <c r="G22" i="1"/>
  <c r="JU21" i="1"/>
  <c r="JS21" i="1"/>
  <c r="JX24" i="1" s="1"/>
  <c r="JW24" i="1" s="1"/>
  <c r="ID21" i="1"/>
  <c r="IG21" i="1" s="1"/>
  <c r="IJ21" i="1" s="1"/>
  <c r="IM21" i="1" s="1"/>
  <c r="HF21" i="1"/>
  <c r="HI21" i="1" s="1"/>
  <c r="HL21" i="1" s="1"/>
  <c r="HO21" i="1" s="1"/>
  <c r="HR21" i="1" s="1"/>
  <c r="HU21" i="1" s="1"/>
  <c r="HX21" i="1" s="1"/>
  <c r="IA21" i="1" s="1"/>
  <c r="GT21" i="1"/>
  <c r="GW21" i="1" s="1"/>
  <c r="GZ21" i="1" s="1"/>
  <c r="HC21" i="1" s="1"/>
  <c r="GP21" i="1"/>
  <c r="GN21" i="1"/>
  <c r="GQ21" i="1" s="1"/>
  <c r="GM21" i="1"/>
  <c r="GK21" i="1"/>
  <c r="GJ21" i="1"/>
  <c r="FI21" i="1"/>
  <c r="DY21" i="1"/>
  <c r="EB21" i="1" s="1"/>
  <c r="EE21" i="1" s="1"/>
  <c r="EH21" i="1" s="1"/>
  <c r="EK21" i="1" s="1"/>
  <c r="EN21" i="1" s="1"/>
  <c r="EQ21" i="1" s="1"/>
  <c r="ET21" i="1" s="1"/>
  <c r="DV21" i="1"/>
  <c r="DU21" i="1"/>
  <c r="DG21" i="1"/>
  <c r="DF21" i="1"/>
  <c r="CT21" i="1"/>
  <c r="CR21" i="1"/>
  <c r="CP21" i="1"/>
  <c r="CO21" i="1"/>
  <c r="CG21" i="1"/>
  <c r="BQ21" i="1"/>
  <c r="AP21" i="1"/>
  <c r="AK21" i="1"/>
  <c r="AG21" i="1"/>
  <c r="Z21" i="1"/>
  <c r="K21" i="1"/>
  <c r="J21" i="1"/>
  <c r="G21" i="1"/>
  <c r="JU20" i="1"/>
  <c r="GM20" i="1"/>
  <c r="GK20" i="1"/>
  <c r="GJ20" i="1"/>
  <c r="EH20" i="1"/>
  <c r="EK20" i="1" s="1"/>
  <c r="EN20" i="1" s="1"/>
  <c r="EQ20" i="1" s="1"/>
  <c r="ET20" i="1" s="1"/>
  <c r="EB20" i="1"/>
  <c r="EE20" i="1" s="1"/>
  <c r="DY20" i="1"/>
  <c r="DX20" i="1"/>
  <c r="DV20" i="1"/>
  <c r="DU20" i="1"/>
  <c r="DG20" i="1"/>
  <c r="DF20" i="1"/>
  <c r="CT20" i="1"/>
  <c r="CR20" i="1"/>
  <c r="CP20" i="1"/>
  <c r="CO20" i="1"/>
  <c r="CG20" i="1"/>
  <c r="BQ20" i="1"/>
  <c r="AV20" i="1"/>
  <c r="AP20" i="1"/>
  <c r="AK20" i="1"/>
  <c r="AG20" i="1"/>
  <c r="K20" i="1"/>
  <c r="J20" i="1"/>
  <c r="G20" i="1"/>
  <c r="F20" i="1"/>
  <c r="JU19" i="1"/>
  <c r="GQ19" i="1"/>
  <c r="GT19" i="1" s="1"/>
  <c r="GW19" i="1" s="1"/>
  <c r="GZ19" i="1" s="1"/>
  <c r="HC19" i="1" s="1"/>
  <c r="HF19" i="1" s="1"/>
  <c r="HI19" i="1" s="1"/>
  <c r="HL19" i="1" s="1"/>
  <c r="HO19" i="1" s="1"/>
  <c r="HR19" i="1" s="1"/>
  <c r="HU19" i="1" s="1"/>
  <c r="HX19" i="1" s="1"/>
  <c r="IA19" i="1" s="1"/>
  <c r="ID19" i="1" s="1"/>
  <c r="IG19" i="1" s="1"/>
  <c r="IJ19" i="1" s="1"/>
  <c r="IM19" i="1" s="1"/>
  <c r="GM19" i="1"/>
  <c r="GK19" i="1"/>
  <c r="GN19" i="1" s="1"/>
  <c r="GJ19" i="1"/>
  <c r="ED19" i="1"/>
  <c r="DX19" i="1"/>
  <c r="EA19" i="1" s="1"/>
  <c r="DV19" i="1"/>
  <c r="DY19" i="1" s="1"/>
  <c r="EB19" i="1" s="1"/>
  <c r="EE19" i="1" s="1"/>
  <c r="EH19" i="1" s="1"/>
  <c r="EK19" i="1" s="1"/>
  <c r="EN19" i="1" s="1"/>
  <c r="EQ19" i="1" s="1"/>
  <c r="ET19" i="1" s="1"/>
  <c r="DU19" i="1"/>
  <c r="DG19" i="1"/>
  <c r="DF19" i="1"/>
  <c r="CT19" i="1"/>
  <c r="CR19" i="1"/>
  <c r="CP19" i="1"/>
  <c r="CO19" i="1"/>
  <c r="CG19" i="1"/>
  <c r="BT19" i="1"/>
  <c r="BS19" i="1"/>
  <c r="BQ19" i="1"/>
  <c r="AV19" i="1"/>
  <c r="AP19" i="1"/>
  <c r="AK19" i="1"/>
  <c r="AG19" i="1"/>
  <c r="K19" i="1"/>
  <c r="J19" i="1"/>
  <c r="Z19" i="1" s="1"/>
  <c r="G19" i="1"/>
  <c r="F19" i="1"/>
  <c r="JX18" i="1"/>
  <c r="JW18" i="1" s="1"/>
  <c r="JU18" i="1"/>
  <c r="JV18" i="1" s="1"/>
  <c r="GZ18" i="1"/>
  <c r="HC18" i="1" s="1"/>
  <c r="HF18" i="1" s="1"/>
  <c r="HI18" i="1" s="1"/>
  <c r="HL18" i="1" s="1"/>
  <c r="HO18" i="1" s="1"/>
  <c r="HR18" i="1" s="1"/>
  <c r="HU18" i="1" s="1"/>
  <c r="HX18" i="1" s="1"/>
  <c r="IA18" i="1" s="1"/>
  <c r="ID18" i="1" s="1"/>
  <c r="IG18" i="1" s="1"/>
  <c r="IJ18" i="1" s="1"/>
  <c r="IM18" i="1" s="1"/>
  <c r="GN18" i="1"/>
  <c r="GQ18" i="1" s="1"/>
  <c r="GT18" i="1" s="1"/>
  <c r="GW18" i="1" s="1"/>
  <c r="GK18" i="1"/>
  <c r="GJ18" i="1"/>
  <c r="EA18" i="1"/>
  <c r="DY18" i="1"/>
  <c r="EB18" i="1" s="1"/>
  <c r="EE18" i="1" s="1"/>
  <c r="EH18" i="1" s="1"/>
  <c r="EK18" i="1" s="1"/>
  <c r="EN18" i="1" s="1"/>
  <c r="EQ18" i="1" s="1"/>
  <c r="ET18" i="1" s="1"/>
  <c r="DX18" i="1"/>
  <c r="DV18" i="1"/>
  <c r="DU18" i="1"/>
  <c r="DG18" i="1"/>
  <c r="DF18" i="1"/>
  <c r="CT18" i="1"/>
  <c r="CR18" i="1"/>
  <c r="CP18" i="1"/>
  <c r="CO18" i="1"/>
  <c r="CG18" i="1"/>
  <c r="BT18" i="1"/>
  <c r="BQ18" i="1"/>
  <c r="AV18" i="1"/>
  <c r="AP18" i="1"/>
  <c r="AK18" i="1"/>
  <c r="AG18" i="1"/>
  <c r="K18" i="1"/>
  <c r="J18" i="1"/>
  <c r="Z18" i="1" s="1"/>
  <c r="G18" i="1"/>
  <c r="F18" i="1"/>
  <c r="JU17" i="1"/>
  <c r="GM17" i="1"/>
  <c r="GP17" i="1" s="1"/>
  <c r="GK17" i="1"/>
  <c r="GJ17" i="1"/>
  <c r="FX17" i="1"/>
  <c r="EN17" i="1"/>
  <c r="EQ17" i="1" s="1"/>
  <c r="ET17" i="1" s="1"/>
  <c r="EB17" i="1"/>
  <c r="EE17" i="1" s="1"/>
  <c r="EH17" i="1" s="1"/>
  <c r="EK17" i="1" s="1"/>
  <c r="DY17" i="1"/>
  <c r="DX17" i="1"/>
  <c r="DV17" i="1"/>
  <c r="DU17" i="1"/>
  <c r="DG17" i="1"/>
  <c r="DF17" i="1"/>
  <c r="CT17" i="1"/>
  <c r="CR17" i="1"/>
  <c r="CP17" i="1"/>
  <c r="CO17" i="1"/>
  <c r="CG17" i="1"/>
  <c r="BQ17" i="1"/>
  <c r="AV17" i="1"/>
  <c r="AP17" i="1"/>
  <c r="AK17" i="1"/>
  <c r="AG17" i="1"/>
  <c r="K17" i="1"/>
  <c r="J17" i="1"/>
  <c r="G17" i="1"/>
  <c r="F17" i="1"/>
  <c r="JX16" i="1"/>
  <c r="JV16" i="1"/>
  <c r="JU16" i="1"/>
  <c r="GT16" i="1"/>
  <c r="GW16" i="1" s="1"/>
  <c r="GZ16" i="1" s="1"/>
  <c r="HC16" i="1" s="1"/>
  <c r="HF16" i="1" s="1"/>
  <c r="HI16" i="1" s="1"/>
  <c r="HL16" i="1" s="1"/>
  <c r="HO16" i="1" s="1"/>
  <c r="HR16" i="1" s="1"/>
  <c r="HU16" i="1" s="1"/>
  <c r="HX16" i="1" s="1"/>
  <c r="IA16" i="1" s="1"/>
  <c r="ID16" i="1" s="1"/>
  <c r="IG16" i="1" s="1"/>
  <c r="IJ16" i="1" s="1"/>
  <c r="IM16" i="1" s="1"/>
  <c r="GN16" i="1"/>
  <c r="GQ16" i="1" s="1"/>
  <c r="GM16" i="1"/>
  <c r="GP16" i="1" s="1"/>
  <c r="GK16" i="1"/>
  <c r="GJ16" i="1"/>
  <c r="FI16" i="1"/>
  <c r="EQ16" i="1"/>
  <c r="ET16" i="1" s="1"/>
  <c r="FF16" i="1" s="1"/>
  <c r="EK16" i="1"/>
  <c r="EN16" i="1" s="1"/>
  <c r="EH16" i="1"/>
  <c r="DY16" i="1"/>
  <c r="EB16" i="1" s="1"/>
  <c r="EE16" i="1" s="1"/>
  <c r="DV16" i="1"/>
  <c r="DU16" i="1"/>
  <c r="DG16" i="1"/>
  <c r="DF16" i="1"/>
  <c r="CT16" i="1"/>
  <c r="CR16" i="1"/>
  <c r="CP16" i="1"/>
  <c r="CO16" i="1"/>
  <c r="CG16" i="1"/>
  <c r="BQ16" i="1"/>
  <c r="AV16" i="1"/>
  <c r="AP16" i="1"/>
  <c r="AK16" i="1"/>
  <c r="AG16" i="1"/>
  <c r="K16" i="1"/>
  <c r="BT16" i="1" s="1"/>
  <c r="J16" i="1"/>
  <c r="G16" i="1"/>
  <c r="F16" i="1"/>
  <c r="JU15" i="1"/>
  <c r="GQ15" i="1"/>
  <c r="GT15" i="1" s="1"/>
  <c r="GW15" i="1" s="1"/>
  <c r="GZ15" i="1" s="1"/>
  <c r="HC15" i="1" s="1"/>
  <c r="HF15" i="1" s="1"/>
  <c r="HI15" i="1" s="1"/>
  <c r="HL15" i="1" s="1"/>
  <c r="HO15" i="1" s="1"/>
  <c r="HR15" i="1" s="1"/>
  <c r="HU15" i="1" s="1"/>
  <c r="HX15" i="1" s="1"/>
  <c r="IA15" i="1" s="1"/>
  <c r="ID15" i="1" s="1"/>
  <c r="IG15" i="1" s="1"/>
  <c r="IJ15" i="1" s="1"/>
  <c r="IM15" i="1" s="1"/>
  <c r="GN15" i="1"/>
  <c r="GM15" i="1"/>
  <c r="GP15" i="1" s="1"/>
  <c r="GK15" i="1"/>
  <c r="GJ15" i="1"/>
  <c r="EB15" i="1"/>
  <c r="EE15" i="1" s="1"/>
  <c r="EH15" i="1" s="1"/>
  <c r="EK15" i="1" s="1"/>
  <c r="EN15" i="1" s="1"/>
  <c r="EQ15" i="1" s="1"/>
  <c r="ET15" i="1" s="1"/>
  <c r="EA15" i="1"/>
  <c r="DX15" i="1"/>
  <c r="DV15" i="1"/>
  <c r="DY15" i="1" s="1"/>
  <c r="DU15" i="1"/>
  <c r="DG15" i="1"/>
  <c r="DF15" i="1"/>
  <c r="CT15" i="1"/>
  <c r="CR15" i="1"/>
  <c r="CP15" i="1"/>
  <c r="CO15" i="1"/>
  <c r="CG15" i="1"/>
  <c r="BT15" i="1"/>
  <c r="BS15" i="1"/>
  <c r="BQ15" i="1"/>
  <c r="AV15" i="1"/>
  <c r="AP15" i="1"/>
  <c r="AK15" i="1"/>
  <c r="AG15" i="1"/>
  <c r="Z15" i="1"/>
  <c r="K15" i="1"/>
  <c r="G15" i="1"/>
  <c r="F15" i="1"/>
  <c r="JU14" i="1"/>
  <c r="GN14" i="1"/>
  <c r="GQ14" i="1" s="1"/>
  <c r="GT14" i="1" s="1"/>
  <c r="GW14" i="1" s="1"/>
  <c r="GZ14" i="1" s="1"/>
  <c r="HC14" i="1" s="1"/>
  <c r="HF14" i="1" s="1"/>
  <c r="HI14" i="1" s="1"/>
  <c r="HL14" i="1" s="1"/>
  <c r="HO14" i="1" s="1"/>
  <c r="HR14" i="1" s="1"/>
  <c r="HU14" i="1" s="1"/>
  <c r="HX14" i="1" s="1"/>
  <c r="IA14" i="1" s="1"/>
  <c r="ID14" i="1" s="1"/>
  <c r="IG14" i="1" s="1"/>
  <c r="IJ14" i="1" s="1"/>
  <c r="IM14" i="1" s="1"/>
  <c r="GM14" i="1"/>
  <c r="GP14" i="1" s="1"/>
  <c r="GK14" i="1"/>
  <c r="GJ14" i="1"/>
  <c r="FO14" i="1"/>
  <c r="EE14" i="1"/>
  <c r="EH14" i="1" s="1"/>
  <c r="EK14" i="1" s="1"/>
  <c r="EN14" i="1" s="1"/>
  <c r="EQ14" i="1" s="1"/>
  <c r="ET14" i="1" s="1"/>
  <c r="EB14" i="1"/>
  <c r="DY14" i="1"/>
  <c r="DV14" i="1"/>
  <c r="DU14" i="1"/>
  <c r="DG14" i="1"/>
  <c r="DF14" i="1"/>
  <c r="CT14" i="1"/>
  <c r="CR14" i="1"/>
  <c r="CP14" i="1"/>
  <c r="CO14" i="1"/>
  <c r="CG14" i="1"/>
  <c r="BQ14" i="1"/>
  <c r="AV14" i="1"/>
  <c r="AP14" i="1"/>
  <c r="AK14" i="1"/>
  <c r="AG14" i="1"/>
  <c r="K14" i="1"/>
  <c r="BT14" i="1" s="1"/>
  <c r="J14" i="1"/>
  <c r="Z14" i="1" s="1"/>
  <c r="G14" i="1"/>
  <c r="F14" i="1"/>
  <c r="JV13" i="1"/>
  <c r="JU13" i="1"/>
  <c r="GP13" i="1"/>
  <c r="GM13" i="1"/>
  <c r="GK13" i="1"/>
  <c r="GJ13" i="1"/>
  <c r="EE13" i="1"/>
  <c r="EH13" i="1" s="1"/>
  <c r="EK13" i="1" s="1"/>
  <c r="EN13" i="1" s="1"/>
  <c r="EQ13" i="1" s="1"/>
  <c r="ET13" i="1" s="1"/>
  <c r="FR13" i="1" s="1"/>
  <c r="DY13" i="1"/>
  <c r="EB13" i="1" s="1"/>
  <c r="DV13" i="1"/>
  <c r="DU13" i="1"/>
  <c r="DX13" i="1" s="1"/>
  <c r="DG13" i="1"/>
  <c r="DF13" i="1"/>
  <c r="CT13" i="1"/>
  <c r="CR13" i="1"/>
  <c r="CP13" i="1"/>
  <c r="CO13" i="1"/>
  <c r="CG13" i="1"/>
  <c r="BS13" i="1"/>
  <c r="BQ13" i="1"/>
  <c r="BQ27" i="1" s="1"/>
  <c r="AV13" i="1"/>
  <c r="AP13" i="1"/>
  <c r="AP27" i="1" s="1"/>
  <c r="AK13" i="1"/>
  <c r="AG13" i="1"/>
  <c r="AG27" i="1" s="1"/>
  <c r="K13" i="1"/>
  <c r="K27" i="1" s="1"/>
  <c r="J13" i="1"/>
  <c r="J27" i="1" s="1"/>
  <c r="G13" i="1"/>
  <c r="F13" i="1"/>
  <c r="F27" i="1" s="1"/>
  <c r="JX12" i="1"/>
  <c r="JU12" i="1"/>
  <c r="GK12" i="1"/>
  <c r="GN12" i="1" s="1"/>
  <c r="GQ12" i="1" s="1"/>
  <c r="GT12" i="1" s="1"/>
  <c r="GW12" i="1" s="1"/>
  <c r="GZ12" i="1" s="1"/>
  <c r="HC12" i="1" s="1"/>
  <c r="HF12" i="1" s="1"/>
  <c r="HI12" i="1" s="1"/>
  <c r="HL12" i="1" s="1"/>
  <c r="HO12" i="1" s="1"/>
  <c r="HR12" i="1" s="1"/>
  <c r="HU12" i="1" s="1"/>
  <c r="HX12" i="1" s="1"/>
  <c r="IA12" i="1" s="1"/>
  <c r="ID12" i="1" s="1"/>
  <c r="IG12" i="1" s="1"/>
  <c r="IJ12" i="1" s="1"/>
  <c r="IM12" i="1" s="1"/>
  <c r="GJ12" i="1"/>
  <c r="EG12" i="1"/>
  <c r="EB12" i="1"/>
  <c r="EE12" i="1" s="1"/>
  <c r="EH12" i="1" s="1"/>
  <c r="EK12" i="1" s="1"/>
  <c r="EN12" i="1" s="1"/>
  <c r="EQ12" i="1" s="1"/>
  <c r="ET12" i="1" s="1"/>
  <c r="EA12" i="1"/>
  <c r="ED12" i="1" s="1"/>
  <c r="DY12" i="1"/>
  <c r="DX12" i="1"/>
  <c r="DV12" i="1"/>
  <c r="DU12" i="1"/>
  <c r="DG12" i="1"/>
  <c r="DF12" i="1"/>
  <c r="CT12" i="1"/>
  <c r="CR12" i="1"/>
  <c r="CP12" i="1"/>
  <c r="CO12" i="1"/>
  <c r="CG12" i="1"/>
  <c r="BT12" i="1"/>
  <c r="BS12" i="1"/>
  <c r="BQ12" i="1"/>
  <c r="AV12" i="1"/>
  <c r="AP12" i="1"/>
  <c r="AK12" i="1"/>
  <c r="AG12" i="1"/>
  <c r="K12" i="1"/>
  <c r="J12" i="1"/>
  <c r="Z12" i="1" s="1"/>
  <c r="G12" i="1"/>
  <c r="F12" i="1"/>
  <c r="JX11" i="1"/>
  <c r="JU11" i="1"/>
  <c r="JV11" i="1" s="1"/>
  <c r="GK11" i="1"/>
  <c r="GN11" i="1" s="1"/>
  <c r="GQ11" i="1" s="1"/>
  <c r="GT11" i="1" s="1"/>
  <c r="GW11" i="1" s="1"/>
  <c r="GZ11" i="1" s="1"/>
  <c r="HC11" i="1" s="1"/>
  <c r="HF11" i="1" s="1"/>
  <c r="HI11" i="1" s="1"/>
  <c r="HL11" i="1" s="1"/>
  <c r="HO11" i="1" s="1"/>
  <c r="HR11" i="1" s="1"/>
  <c r="HU11" i="1" s="1"/>
  <c r="HX11" i="1" s="1"/>
  <c r="IA11" i="1" s="1"/>
  <c r="ID11" i="1" s="1"/>
  <c r="IG11" i="1" s="1"/>
  <c r="IJ11" i="1" s="1"/>
  <c r="IM11" i="1" s="1"/>
  <c r="GJ11" i="1"/>
  <c r="EE11" i="1"/>
  <c r="EH11" i="1" s="1"/>
  <c r="EK11" i="1" s="1"/>
  <c r="EN11" i="1" s="1"/>
  <c r="EQ11" i="1" s="1"/>
  <c r="ET11" i="1" s="1"/>
  <c r="EB11" i="1"/>
  <c r="EA11" i="1"/>
  <c r="DY11" i="1"/>
  <c r="DX11" i="1"/>
  <c r="DV11" i="1"/>
  <c r="DU11" i="1"/>
  <c r="DG11" i="1"/>
  <c r="DF11" i="1"/>
  <c r="CT11" i="1"/>
  <c r="CR11" i="1"/>
  <c r="CP11" i="1"/>
  <c r="CO11" i="1"/>
  <c r="CG11" i="1"/>
  <c r="BQ11" i="1"/>
  <c r="AV11" i="1"/>
  <c r="AP11" i="1"/>
  <c r="AK11" i="1"/>
  <c r="AG11" i="1"/>
  <c r="Z11" i="1"/>
  <c r="K11" i="1"/>
  <c r="J11" i="1"/>
  <c r="BS11" i="1" s="1"/>
  <c r="G11" i="1"/>
  <c r="F11" i="1"/>
  <c r="JU10" i="1"/>
  <c r="GS10" i="1"/>
  <c r="GP10" i="1"/>
  <c r="GM10" i="1"/>
  <c r="GK10" i="1"/>
  <c r="GJ10" i="1"/>
  <c r="FL10" i="1"/>
  <c r="EZ10" i="1"/>
  <c r="EW10" i="1"/>
  <c r="EN10" i="1"/>
  <c r="EQ10" i="1" s="1"/>
  <c r="ET10" i="1" s="1"/>
  <c r="FI10" i="1" s="1"/>
  <c r="EK10" i="1"/>
  <c r="EB10" i="1"/>
  <c r="EE10" i="1" s="1"/>
  <c r="EH10" i="1" s="1"/>
  <c r="DY10" i="1"/>
  <c r="DV10" i="1"/>
  <c r="DU10" i="1"/>
  <c r="DG10" i="1"/>
  <c r="DF10" i="1"/>
  <c r="CT10" i="1"/>
  <c r="CR10" i="1"/>
  <c r="CP10" i="1"/>
  <c r="CO10" i="1"/>
  <c r="CG10" i="1"/>
  <c r="BQ10" i="1"/>
  <c r="AV10" i="1"/>
  <c r="AP10" i="1"/>
  <c r="AK10" i="1"/>
  <c r="AG10" i="1"/>
  <c r="Z10" i="1"/>
  <c r="K10" i="1"/>
  <c r="J10" i="1"/>
  <c r="G10" i="1"/>
  <c r="F10" i="1"/>
  <c r="JX9" i="1"/>
  <c r="JV9" i="1"/>
  <c r="JY9" i="1" s="1"/>
  <c r="JU9" i="1"/>
  <c r="GP9" i="1"/>
  <c r="GS9" i="1" s="1"/>
  <c r="GV9" i="1" s="1"/>
  <c r="GN9" i="1"/>
  <c r="GQ9" i="1" s="1"/>
  <c r="GT9" i="1" s="1"/>
  <c r="GW9" i="1" s="1"/>
  <c r="GZ9" i="1" s="1"/>
  <c r="HC9" i="1" s="1"/>
  <c r="HF9" i="1" s="1"/>
  <c r="HI9" i="1" s="1"/>
  <c r="HL9" i="1" s="1"/>
  <c r="HO9" i="1" s="1"/>
  <c r="HR9" i="1" s="1"/>
  <c r="HU9" i="1" s="1"/>
  <c r="HX9" i="1" s="1"/>
  <c r="IA9" i="1" s="1"/>
  <c r="ID9" i="1" s="1"/>
  <c r="IG9" i="1" s="1"/>
  <c r="IJ9" i="1" s="1"/>
  <c r="IM9" i="1" s="1"/>
  <c r="GM9" i="1"/>
  <c r="GK9" i="1"/>
  <c r="GJ9" i="1"/>
  <c r="GL9" i="1" s="1"/>
  <c r="DV9" i="1"/>
  <c r="DY9" i="1" s="1"/>
  <c r="EB9" i="1" s="1"/>
  <c r="EE9" i="1" s="1"/>
  <c r="EH9" i="1" s="1"/>
  <c r="EK9" i="1" s="1"/>
  <c r="EN9" i="1" s="1"/>
  <c r="EQ9" i="1" s="1"/>
  <c r="ET9" i="1" s="1"/>
  <c r="DU9" i="1"/>
  <c r="DX9" i="1" s="1"/>
  <c r="EA9" i="1" s="1"/>
  <c r="DG9" i="1"/>
  <c r="DF9" i="1"/>
  <c r="CT9" i="1"/>
  <c r="CR9" i="1"/>
  <c r="CP9" i="1"/>
  <c r="CO9" i="1"/>
  <c r="CG9" i="1"/>
  <c r="BQ9" i="1"/>
  <c r="AV9" i="1"/>
  <c r="AP9" i="1"/>
  <c r="AK9" i="1"/>
  <c r="AG9" i="1"/>
  <c r="K9" i="1"/>
  <c r="J9" i="1"/>
  <c r="BT9" i="1" s="1"/>
  <c r="G9" i="1"/>
  <c r="F9" i="1"/>
  <c r="JU8" i="1"/>
  <c r="JX8" i="1" s="1"/>
  <c r="GN8" i="1"/>
  <c r="GQ8" i="1" s="1"/>
  <c r="GT8" i="1" s="1"/>
  <c r="GW8" i="1" s="1"/>
  <c r="GZ8" i="1" s="1"/>
  <c r="HC8" i="1" s="1"/>
  <c r="HF8" i="1" s="1"/>
  <c r="HI8" i="1" s="1"/>
  <c r="HL8" i="1" s="1"/>
  <c r="HO8" i="1" s="1"/>
  <c r="HR8" i="1" s="1"/>
  <c r="HU8" i="1" s="1"/>
  <c r="HX8" i="1" s="1"/>
  <c r="IA8" i="1" s="1"/>
  <c r="ID8" i="1" s="1"/>
  <c r="IG8" i="1" s="1"/>
  <c r="IJ8" i="1" s="1"/>
  <c r="IM8" i="1" s="1"/>
  <c r="GM8" i="1"/>
  <c r="GP8" i="1" s="1"/>
  <c r="GK8" i="1"/>
  <c r="GJ8" i="1"/>
  <c r="EA8" i="1"/>
  <c r="ED8" i="1" s="1"/>
  <c r="DY8" i="1"/>
  <c r="DX8" i="1"/>
  <c r="DV8" i="1"/>
  <c r="DU8" i="1"/>
  <c r="DW8" i="1" s="1"/>
  <c r="DG8" i="1"/>
  <c r="DF8" i="1"/>
  <c r="CT8" i="1"/>
  <c r="CR8" i="1"/>
  <c r="CP8" i="1"/>
  <c r="CO8" i="1"/>
  <c r="CG8" i="1"/>
  <c r="BQ8" i="1"/>
  <c r="AV8" i="1"/>
  <c r="AP8" i="1"/>
  <c r="AK8" i="1"/>
  <c r="AG8" i="1"/>
  <c r="K8" i="1"/>
  <c r="BS8" i="1" s="1"/>
  <c r="J8" i="1"/>
  <c r="BT8" i="1" s="1"/>
  <c r="G8" i="1"/>
  <c r="F8" i="1"/>
  <c r="JU7" i="1"/>
  <c r="GN7" i="1"/>
  <c r="GQ7" i="1" s="1"/>
  <c r="GT7" i="1" s="1"/>
  <c r="GW7" i="1" s="1"/>
  <c r="GZ7" i="1" s="1"/>
  <c r="HC7" i="1" s="1"/>
  <c r="HF7" i="1" s="1"/>
  <c r="HI7" i="1" s="1"/>
  <c r="HL7" i="1" s="1"/>
  <c r="HO7" i="1" s="1"/>
  <c r="HR7" i="1" s="1"/>
  <c r="HU7" i="1" s="1"/>
  <c r="HX7" i="1" s="1"/>
  <c r="IA7" i="1" s="1"/>
  <c r="ID7" i="1" s="1"/>
  <c r="IG7" i="1" s="1"/>
  <c r="IJ7" i="1" s="1"/>
  <c r="IM7" i="1" s="1"/>
  <c r="GM7" i="1"/>
  <c r="GP7" i="1" s="1"/>
  <c r="GK7" i="1"/>
  <c r="GJ7" i="1"/>
  <c r="EB7" i="1"/>
  <c r="EE7" i="1" s="1"/>
  <c r="EH7" i="1" s="1"/>
  <c r="EK7" i="1" s="1"/>
  <c r="EN7" i="1" s="1"/>
  <c r="EQ7" i="1" s="1"/>
  <c r="ET7" i="1" s="1"/>
  <c r="DY7" i="1"/>
  <c r="DV7" i="1"/>
  <c r="DU7" i="1"/>
  <c r="DX7" i="1" s="1"/>
  <c r="DG7" i="1"/>
  <c r="DF7" i="1"/>
  <c r="CX7" i="1"/>
  <c r="CZ7" i="1" s="1"/>
  <c r="DA7" i="1" s="1"/>
  <c r="DB7" i="1" s="1"/>
  <c r="CT7" i="1"/>
  <c r="CR7" i="1"/>
  <c r="CP7" i="1"/>
  <c r="CO7" i="1"/>
  <c r="CG7" i="1"/>
  <c r="BQ7" i="1"/>
  <c r="AV7" i="1"/>
  <c r="AP7" i="1"/>
  <c r="AK7" i="1"/>
  <c r="AG7" i="1"/>
  <c r="AF7" i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K7" i="1"/>
  <c r="J7" i="1"/>
  <c r="Z7" i="1" s="1"/>
  <c r="G7" i="1"/>
  <c r="F7" i="1"/>
  <c r="JU6" i="1"/>
  <c r="KT6" i="1" s="1"/>
  <c r="GK6" i="1"/>
  <c r="GN6" i="1" s="1"/>
  <c r="GQ6" i="1" s="1"/>
  <c r="GT6" i="1" s="1"/>
  <c r="GW6" i="1" s="1"/>
  <c r="GZ6" i="1" s="1"/>
  <c r="HC6" i="1" s="1"/>
  <c r="HF6" i="1" s="1"/>
  <c r="HI6" i="1" s="1"/>
  <c r="HL6" i="1" s="1"/>
  <c r="HO6" i="1" s="1"/>
  <c r="HR6" i="1" s="1"/>
  <c r="HU6" i="1" s="1"/>
  <c r="HX6" i="1" s="1"/>
  <c r="IA6" i="1" s="1"/>
  <c r="ID6" i="1" s="1"/>
  <c r="IG6" i="1" s="1"/>
  <c r="IJ6" i="1" s="1"/>
  <c r="IM6" i="1" s="1"/>
  <c r="GJ6" i="1"/>
  <c r="GM6" i="1" s="1"/>
  <c r="DV6" i="1"/>
  <c r="DY6" i="1" s="1"/>
  <c r="EB6" i="1" s="1"/>
  <c r="EE6" i="1" s="1"/>
  <c r="EH6" i="1" s="1"/>
  <c r="EK6" i="1" s="1"/>
  <c r="EN6" i="1" s="1"/>
  <c r="EQ6" i="1" s="1"/>
  <c r="ET6" i="1" s="1"/>
  <c r="DU6" i="1"/>
  <c r="DX6" i="1" s="1"/>
  <c r="DG6" i="1"/>
  <c r="DF6" i="1"/>
  <c r="CX6" i="1"/>
  <c r="CY6" i="1" s="1"/>
  <c r="CT6" i="1"/>
  <c r="CR6" i="1"/>
  <c r="CP6" i="1"/>
  <c r="CO6" i="1"/>
  <c r="CG6" i="1"/>
  <c r="BX6" i="1"/>
  <c r="BX7" i="1" s="1"/>
  <c r="BT6" i="1"/>
  <c r="BS6" i="1"/>
  <c r="BQ6" i="1"/>
  <c r="AV6" i="1"/>
  <c r="AP6" i="1"/>
  <c r="AK6" i="1"/>
  <c r="AG6" i="1"/>
  <c r="AF6" i="1"/>
  <c r="AE6" i="1"/>
  <c r="AD6" i="1"/>
  <c r="AC6" i="1"/>
  <c r="K6" i="1"/>
  <c r="J6" i="1"/>
  <c r="Z6" i="1" s="1"/>
  <c r="G6" i="1"/>
  <c r="F6" i="1"/>
  <c r="LB5" i="1"/>
  <c r="JX5" i="1"/>
  <c r="JU5" i="1"/>
  <c r="JV5" i="1" s="1"/>
  <c r="GM5" i="1"/>
  <c r="GP5" i="1" s="1"/>
  <c r="GK5" i="1"/>
  <c r="GN5" i="1" s="1"/>
  <c r="GQ5" i="1" s="1"/>
  <c r="GT5" i="1" s="1"/>
  <c r="GW5" i="1" s="1"/>
  <c r="GZ5" i="1" s="1"/>
  <c r="HC5" i="1" s="1"/>
  <c r="HF5" i="1" s="1"/>
  <c r="HI5" i="1" s="1"/>
  <c r="HL5" i="1" s="1"/>
  <c r="HO5" i="1" s="1"/>
  <c r="HR5" i="1" s="1"/>
  <c r="HU5" i="1" s="1"/>
  <c r="HX5" i="1" s="1"/>
  <c r="IA5" i="1" s="1"/>
  <c r="ID5" i="1" s="1"/>
  <c r="IG5" i="1" s="1"/>
  <c r="IJ5" i="1" s="1"/>
  <c r="IM5" i="1" s="1"/>
  <c r="GJ5" i="1"/>
  <c r="DY5" i="1"/>
  <c r="EB5" i="1" s="1"/>
  <c r="EE5" i="1" s="1"/>
  <c r="EH5" i="1" s="1"/>
  <c r="EK5" i="1" s="1"/>
  <c r="EN5" i="1" s="1"/>
  <c r="EQ5" i="1" s="1"/>
  <c r="ET5" i="1" s="1"/>
  <c r="DV5" i="1"/>
  <c r="DU5" i="1"/>
  <c r="DX5" i="1" s="1"/>
  <c r="DG5" i="1"/>
  <c r="DF5" i="1"/>
  <c r="DE2" i="1" s="1"/>
  <c r="CY5" i="1"/>
  <c r="CU5" i="1"/>
  <c r="CT5" i="1"/>
  <c r="CR5" i="1"/>
  <c r="CP5" i="1"/>
  <c r="CO5" i="1"/>
  <c r="CH5" i="1"/>
  <c r="CS5" i="1" s="1"/>
  <c r="CG5" i="1"/>
  <c r="BS5" i="1"/>
  <c r="BQ5" i="1"/>
  <c r="AV5" i="1"/>
  <c r="AP5" i="1"/>
  <c r="AK5" i="1"/>
  <c r="AG5" i="1"/>
  <c r="Q5" i="1"/>
  <c r="K5" i="1"/>
  <c r="J5" i="1"/>
  <c r="BT5" i="1" s="1"/>
  <c r="G5" i="1"/>
  <c r="F5" i="1"/>
  <c r="GB4" i="1"/>
  <c r="JD3" i="1"/>
  <c r="JI3" i="1" s="1"/>
  <c r="JC3" i="1"/>
  <c r="JB3" i="1"/>
  <c r="JA3" i="1"/>
  <c r="JF3" i="1" s="1"/>
  <c r="JK3" i="1" s="1"/>
  <c r="IZ3" i="1"/>
  <c r="IY3" i="1"/>
  <c r="IX3" i="1"/>
  <c r="DF3" i="1"/>
  <c r="BX3" i="1"/>
  <c r="BX4" i="1" s="1"/>
  <c r="KS2" i="1"/>
  <c r="KS10" i="1" s="1"/>
  <c r="KK2" i="1"/>
  <c r="KK13" i="1" s="1"/>
  <c r="KC2" i="1"/>
  <c r="KC8" i="1" s="1"/>
  <c r="GD2" i="1"/>
  <c r="GO10" i="1" s="1"/>
  <c r="DO2" i="1"/>
  <c r="DT8" i="1" s="1"/>
  <c r="CY2" i="1"/>
  <c r="CA2" i="1"/>
  <c r="P11" i="1" s="1"/>
  <c r="BR1" i="1"/>
  <c r="BN6" i="1" s="1"/>
  <c r="BO6" i="1" s="1"/>
  <c r="Q103" i="2"/>
  <c r="B103" i="2" s="1"/>
  <c r="P103" i="2"/>
  <c r="N103" i="2"/>
  <c r="M103" i="2"/>
  <c r="G103" i="2"/>
  <c r="F103" i="2"/>
  <c r="Q102" i="2"/>
  <c r="B102" i="2" s="1"/>
  <c r="P102" i="2"/>
  <c r="N102" i="2"/>
  <c r="M102" i="2"/>
  <c r="G102" i="2"/>
  <c r="F102" i="2"/>
  <c r="Q101" i="2"/>
  <c r="B101" i="2" s="1"/>
  <c r="P101" i="2"/>
  <c r="M101" i="2"/>
  <c r="N101" i="2" s="1"/>
  <c r="G101" i="2"/>
  <c r="F101" i="2"/>
  <c r="Q100" i="2"/>
  <c r="B100" i="2" s="1"/>
  <c r="P100" i="2"/>
  <c r="M100" i="2"/>
  <c r="N100" i="2" s="1"/>
  <c r="G100" i="2"/>
  <c r="F100" i="2"/>
  <c r="Q99" i="2"/>
  <c r="B99" i="2" s="1"/>
  <c r="P99" i="2"/>
  <c r="M99" i="2"/>
  <c r="N99" i="2" s="1"/>
  <c r="G99" i="2"/>
  <c r="F99" i="2"/>
  <c r="Q98" i="2"/>
  <c r="B98" i="2" s="1"/>
  <c r="P98" i="2"/>
  <c r="M98" i="2"/>
  <c r="N98" i="2" s="1"/>
  <c r="G98" i="2"/>
  <c r="F98" i="2"/>
  <c r="Q97" i="2"/>
  <c r="B97" i="2" s="1"/>
  <c r="P97" i="2"/>
  <c r="M97" i="2"/>
  <c r="N97" i="2" s="1"/>
  <c r="G97" i="2"/>
  <c r="F97" i="2"/>
  <c r="Q96" i="2"/>
  <c r="B96" i="2" s="1"/>
  <c r="P96" i="2"/>
  <c r="M96" i="2"/>
  <c r="N96" i="2" s="1"/>
  <c r="G96" i="2"/>
  <c r="F96" i="2"/>
  <c r="Q95" i="2"/>
  <c r="B95" i="2" s="1"/>
  <c r="P95" i="2"/>
  <c r="M95" i="2"/>
  <c r="N95" i="2" s="1"/>
  <c r="G95" i="2"/>
  <c r="F95" i="2"/>
  <c r="Q94" i="2"/>
  <c r="B94" i="2" s="1"/>
  <c r="P94" i="2"/>
  <c r="M94" i="2"/>
  <c r="N94" i="2" s="1"/>
  <c r="G94" i="2"/>
  <c r="F94" i="2"/>
  <c r="Q93" i="2"/>
  <c r="B93" i="2" s="1"/>
  <c r="P93" i="2"/>
  <c r="M93" i="2"/>
  <c r="N93" i="2" s="1"/>
  <c r="G93" i="2"/>
  <c r="F93" i="2"/>
  <c r="Q92" i="2"/>
  <c r="B92" i="2" s="1"/>
  <c r="P92" i="2"/>
  <c r="M92" i="2"/>
  <c r="N92" i="2" s="1"/>
  <c r="G92" i="2"/>
  <c r="F92" i="2"/>
  <c r="Q91" i="2"/>
  <c r="B91" i="2" s="1"/>
  <c r="P91" i="2"/>
  <c r="M91" i="2"/>
  <c r="N91" i="2" s="1"/>
  <c r="G91" i="2"/>
  <c r="F91" i="2"/>
  <c r="Q90" i="2"/>
  <c r="B90" i="2" s="1"/>
  <c r="P90" i="2"/>
  <c r="M90" i="2"/>
  <c r="N90" i="2" s="1"/>
  <c r="G90" i="2"/>
  <c r="F90" i="2"/>
  <c r="Q89" i="2"/>
  <c r="B89" i="2" s="1"/>
  <c r="P89" i="2"/>
  <c r="M89" i="2"/>
  <c r="N89" i="2" s="1"/>
  <c r="G89" i="2"/>
  <c r="F89" i="2"/>
  <c r="Q88" i="2"/>
  <c r="B88" i="2" s="1"/>
  <c r="P88" i="2"/>
  <c r="M88" i="2"/>
  <c r="N88" i="2" s="1"/>
  <c r="G88" i="2"/>
  <c r="F88" i="2"/>
  <c r="Q87" i="2"/>
  <c r="B87" i="2" s="1"/>
  <c r="P87" i="2"/>
  <c r="M87" i="2"/>
  <c r="N87" i="2" s="1"/>
  <c r="G87" i="2"/>
  <c r="F87" i="2"/>
  <c r="Q86" i="2"/>
  <c r="B86" i="2" s="1"/>
  <c r="P86" i="2"/>
  <c r="M86" i="2"/>
  <c r="N86" i="2" s="1"/>
  <c r="G86" i="2"/>
  <c r="F86" i="2"/>
  <c r="Q85" i="2"/>
  <c r="B85" i="2" s="1"/>
  <c r="P85" i="2"/>
  <c r="M85" i="2"/>
  <c r="N85" i="2" s="1"/>
  <c r="G85" i="2"/>
  <c r="F85" i="2"/>
  <c r="Q84" i="2"/>
  <c r="B84" i="2" s="1"/>
  <c r="P84" i="2"/>
  <c r="M84" i="2"/>
  <c r="N84" i="2" s="1"/>
  <c r="G84" i="2"/>
  <c r="F84" i="2"/>
  <c r="Q83" i="2"/>
  <c r="B83" i="2" s="1"/>
  <c r="P83" i="2"/>
  <c r="M83" i="2"/>
  <c r="N83" i="2" s="1"/>
  <c r="G83" i="2"/>
  <c r="F83" i="2"/>
  <c r="Q82" i="2"/>
  <c r="B82" i="2" s="1"/>
  <c r="P82" i="2"/>
  <c r="M82" i="2"/>
  <c r="N82" i="2" s="1"/>
  <c r="G82" i="2"/>
  <c r="F82" i="2"/>
  <c r="Q81" i="2"/>
  <c r="B81" i="2" s="1"/>
  <c r="P81" i="2"/>
  <c r="M81" i="2"/>
  <c r="N81" i="2" s="1"/>
  <c r="G81" i="2"/>
  <c r="F81" i="2"/>
  <c r="Q80" i="2"/>
  <c r="B80" i="2" s="1"/>
  <c r="P80" i="2"/>
  <c r="M80" i="2"/>
  <c r="N80" i="2" s="1"/>
  <c r="G80" i="2"/>
  <c r="F80" i="2"/>
  <c r="Q79" i="2"/>
  <c r="B79" i="2" s="1"/>
  <c r="P79" i="2"/>
  <c r="M79" i="2"/>
  <c r="N79" i="2" s="1"/>
  <c r="G79" i="2"/>
  <c r="F79" i="2"/>
  <c r="Q78" i="2"/>
  <c r="B78" i="2" s="1"/>
  <c r="P78" i="2"/>
  <c r="M78" i="2"/>
  <c r="N78" i="2" s="1"/>
  <c r="G78" i="2"/>
  <c r="F78" i="2"/>
  <c r="Q77" i="2"/>
  <c r="B77" i="2" s="1"/>
  <c r="P77" i="2"/>
  <c r="M77" i="2"/>
  <c r="N77" i="2" s="1"/>
  <c r="G77" i="2"/>
  <c r="F77" i="2"/>
  <c r="Q76" i="2"/>
  <c r="B76" i="2" s="1"/>
  <c r="P76" i="2"/>
  <c r="M76" i="2"/>
  <c r="N76" i="2" s="1"/>
  <c r="G76" i="2"/>
  <c r="F76" i="2"/>
  <c r="Q75" i="2"/>
  <c r="B75" i="2" s="1"/>
  <c r="P75" i="2"/>
  <c r="M75" i="2"/>
  <c r="N75" i="2" s="1"/>
  <c r="G75" i="2"/>
  <c r="F75" i="2"/>
  <c r="Q74" i="2"/>
  <c r="B74" i="2" s="1"/>
  <c r="P74" i="2"/>
  <c r="M74" i="2"/>
  <c r="N74" i="2" s="1"/>
  <c r="G74" i="2"/>
  <c r="F74" i="2"/>
  <c r="Q73" i="2"/>
  <c r="B73" i="2" s="1"/>
  <c r="P73" i="2"/>
  <c r="M73" i="2"/>
  <c r="N73" i="2" s="1"/>
  <c r="G73" i="2"/>
  <c r="F73" i="2"/>
  <c r="Q72" i="2"/>
  <c r="B72" i="2" s="1"/>
  <c r="P72" i="2"/>
  <c r="M72" i="2"/>
  <c r="N72" i="2" s="1"/>
  <c r="G72" i="2"/>
  <c r="F72" i="2"/>
  <c r="Q71" i="2"/>
  <c r="B71" i="2" s="1"/>
  <c r="P71" i="2"/>
  <c r="M71" i="2"/>
  <c r="N71" i="2" s="1"/>
  <c r="G71" i="2"/>
  <c r="F71" i="2"/>
  <c r="Q70" i="2"/>
  <c r="B70" i="2" s="1"/>
  <c r="P70" i="2"/>
  <c r="M70" i="2"/>
  <c r="N70" i="2" s="1"/>
  <c r="G70" i="2"/>
  <c r="F70" i="2"/>
  <c r="Q69" i="2"/>
  <c r="B69" i="2" s="1"/>
  <c r="P69" i="2"/>
  <c r="M69" i="2"/>
  <c r="N69" i="2" s="1"/>
  <c r="G69" i="2"/>
  <c r="F69" i="2"/>
  <c r="Q68" i="2"/>
  <c r="B68" i="2" s="1"/>
  <c r="P68" i="2"/>
  <c r="M68" i="2"/>
  <c r="N68" i="2" s="1"/>
  <c r="G68" i="2"/>
  <c r="F68" i="2"/>
  <c r="Q67" i="2"/>
  <c r="B67" i="2" s="1"/>
  <c r="P67" i="2"/>
  <c r="M67" i="2"/>
  <c r="N67" i="2" s="1"/>
  <c r="G67" i="2"/>
  <c r="F67" i="2"/>
  <c r="Q66" i="2"/>
  <c r="B66" i="2" s="1"/>
  <c r="P66" i="2"/>
  <c r="M66" i="2"/>
  <c r="N66" i="2" s="1"/>
  <c r="G66" i="2"/>
  <c r="F66" i="2"/>
  <c r="Q65" i="2"/>
  <c r="B65" i="2" s="1"/>
  <c r="P65" i="2"/>
  <c r="M65" i="2"/>
  <c r="N65" i="2" s="1"/>
  <c r="G65" i="2"/>
  <c r="F65" i="2"/>
  <c r="Q64" i="2"/>
  <c r="B64" i="2" s="1"/>
  <c r="P64" i="2"/>
  <c r="M64" i="2"/>
  <c r="N64" i="2" s="1"/>
  <c r="G64" i="2"/>
  <c r="F64" i="2"/>
  <c r="Q63" i="2"/>
  <c r="B63" i="2" s="1"/>
  <c r="P63" i="2"/>
  <c r="M63" i="2"/>
  <c r="N63" i="2" s="1"/>
  <c r="G63" i="2"/>
  <c r="F63" i="2"/>
  <c r="Q62" i="2"/>
  <c r="B62" i="2" s="1"/>
  <c r="P62" i="2"/>
  <c r="M62" i="2"/>
  <c r="N62" i="2" s="1"/>
  <c r="G62" i="2"/>
  <c r="F62" i="2"/>
  <c r="Q61" i="2"/>
  <c r="B61" i="2" s="1"/>
  <c r="P61" i="2"/>
  <c r="M61" i="2"/>
  <c r="N61" i="2" s="1"/>
  <c r="G61" i="2"/>
  <c r="F61" i="2"/>
  <c r="Q60" i="2"/>
  <c r="B60" i="2" s="1"/>
  <c r="P60" i="2"/>
  <c r="M60" i="2"/>
  <c r="N60" i="2" s="1"/>
  <c r="G60" i="2"/>
  <c r="F60" i="2"/>
  <c r="Q59" i="2"/>
  <c r="B59" i="2" s="1"/>
  <c r="P59" i="2"/>
  <c r="M59" i="2"/>
  <c r="N59" i="2" s="1"/>
  <c r="G59" i="2"/>
  <c r="F59" i="2"/>
  <c r="Q58" i="2"/>
  <c r="B58" i="2" s="1"/>
  <c r="P58" i="2"/>
  <c r="M58" i="2"/>
  <c r="N58" i="2" s="1"/>
  <c r="G58" i="2"/>
  <c r="F58" i="2"/>
  <c r="Q57" i="2"/>
  <c r="B57" i="2" s="1"/>
  <c r="P57" i="2"/>
  <c r="M57" i="2"/>
  <c r="N57" i="2" s="1"/>
  <c r="G57" i="2"/>
  <c r="F57" i="2"/>
  <c r="Q56" i="2"/>
  <c r="B56" i="2" s="1"/>
  <c r="P56" i="2"/>
  <c r="M56" i="2"/>
  <c r="N56" i="2" s="1"/>
  <c r="G56" i="2"/>
  <c r="F56" i="2"/>
  <c r="Q55" i="2"/>
  <c r="B55" i="2" s="1"/>
  <c r="P55" i="2"/>
  <c r="M55" i="2"/>
  <c r="N55" i="2" s="1"/>
  <c r="G55" i="2"/>
  <c r="F55" i="2"/>
  <c r="P54" i="2"/>
  <c r="Q54" i="2" s="1"/>
  <c r="B54" i="2" s="1"/>
  <c r="N54" i="2"/>
  <c r="M54" i="2"/>
  <c r="AM53" i="2"/>
  <c r="AL53" i="2"/>
  <c r="Q53" i="2"/>
  <c r="B53" i="2" s="1"/>
  <c r="P53" i="2"/>
  <c r="N53" i="2"/>
  <c r="M53" i="2"/>
  <c r="F53" i="2"/>
  <c r="AM52" i="2"/>
  <c r="Q52" i="2"/>
  <c r="B52" i="2" s="1"/>
  <c r="P52" i="2"/>
  <c r="M52" i="2"/>
  <c r="N52" i="2" s="1"/>
  <c r="AQ51" i="2"/>
  <c r="AM51" i="2"/>
  <c r="AL51" i="2"/>
  <c r="P51" i="2"/>
  <c r="Q51" i="2" s="1"/>
  <c r="B51" i="2" s="1"/>
  <c r="N51" i="2"/>
  <c r="M51" i="2"/>
  <c r="G51" i="2"/>
  <c r="F51" i="2"/>
  <c r="AQ50" i="2"/>
  <c r="AM50" i="2"/>
  <c r="AL50" i="2"/>
  <c r="P50" i="2"/>
  <c r="Q50" i="2" s="1"/>
  <c r="B50" i="2" s="1"/>
  <c r="N50" i="2"/>
  <c r="M50" i="2"/>
  <c r="G50" i="2"/>
  <c r="F50" i="2"/>
  <c r="AM49" i="2"/>
  <c r="P49" i="2"/>
  <c r="Q49" i="2" s="1"/>
  <c r="B49" i="2" s="1"/>
  <c r="M49" i="2"/>
  <c r="N49" i="2" s="1"/>
  <c r="AQ48" i="2"/>
  <c r="AM48" i="2"/>
  <c r="AL48" i="2"/>
  <c r="Q48" i="2"/>
  <c r="B48" i="2" s="1"/>
  <c r="P48" i="2"/>
  <c r="M48" i="2"/>
  <c r="N48" i="2" s="1"/>
  <c r="G48" i="2"/>
  <c r="F48" i="2"/>
  <c r="AM47" i="2"/>
  <c r="Q47" i="2"/>
  <c r="B47" i="2" s="1"/>
  <c r="P47" i="2"/>
  <c r="M47" i="2"/>
  <c r="N47" i="2" s="1"/>
  <c r="AM46" i="2"/>
  <c r="AQ46" i="2" s="1"/>
  <c r="AL46" i="2"/>
  <c r="P46" i="2"/>
  <c r="Q46" i="2" s="1"/>
  <c r="B46" i="2" s="1"/>
  <c r="N46" i="2"/>
  <c r="M46" i="2"/>
  <c r="F46" i="2"/>
  <c r="AM45" i="2"/>
  <c r="AL45" i="2"/>
  <c r="Q45" i="2"/>
  <c r="B45" i="2" s="1"/>
  <c r="P45" i="2"/>
  <c r="N45" i="2"/>
  <c r="M45" i="2"/>
  <c r="F45" i="2"/>
  <c r="P44" i="2"/>
  <c r="Q44" i="2" s="1"/>
  <c r="B44" i="2" s="1"/>
  <c r="N44" i="2"/>
  <c r="M44" i="2"/>
  <c r="AQ43" i="2"/>
  <c r="AM43" i="2"/>
  <c r="AL43" i="2"/>
  <c r="P43" i="2"/>
  <c r="Q43" i="2" s="1"/>
  <c r="B43" i="2" s="1"/>
  <c r="N43" i="2"/>
  <c r="M43" i="2"/>
  <c r="G43" i="2"/>
  <c r="F43" i="2"/>
  <c r="AM42" i="2"/>
  <c r="P42" i="2"/>
  <c r="Q42" i="2" s="1"/>
  <c r="B42" i="2" s="1"/>
  <c r="M42" i="2"/>
  <c r="N42" i="2" s="1"/>
  <c r="AQ41" i="2"/>
  <c r="AL41" i="2"/>
  <c r="Q41" i="2"/>
  <c r="B41" i="2" s="1"/>
  <c r="P41" i="2"/>
  <c r="M41" i="2"/>
  <c r="N41" i="2" s="1"/>
  <c r="G41" i="2"/>
  <c r="F41" i="2"/>
  <c r="AM40" i="2"/>
  <c r="AQ40" i="2" s="1"/>
  <c r="AL40" i="2"/>
  <c r="P40" i="2"/>
  <c r="Q40" i="2" s="1"/>
  <c r="B40" i="2" s="1"/>
  <c r="N40" i="2"/>
  <c r="M40" i="2"/>
  <c r="F40" i="2"/>
  <c r="Q39" i="2"/>
  <c r="B39" i="2" s="1"/>
  <c r="P39" i="2"/>
  <c r="M39" i="2"/>
  <c r="N39" i="2" s="1"/>
  <c r="AQ38" i="2"/>
  <c r="AL38" i="2"/>
  <c r="P38" i="2"/>
  <c r="Q38" i="2" s="1"/>
  <c r="B38" i="2" s="1"/>
  <c r="N38" i="2"/>
  <c r="M38" i="2"/>
  <c r="G38" i="2"/>
  <c r="F38" i="2"/>
  <c r="AM37" i="2"/>
  <c r="P37" i="2"/>
  <c r="Q37" i="2" s="1"/>
  <c r="B37" i="2" s="1"/>
  <c r="M37" i="2"/>
  <c r="N37" i="2" s="1"/>
  <c r="AQ36" i="2"/>
  <c r="AM36" i="2"/>
  <c r="AL36" i="2"/>
  <c r="Q36" i="2"/>
  <c r="B36" i="2" s="1"/>
  <c r="P36" i="2"/>
  <c r="M36" i="2"/>
  <c r="N36" i="2" s="1"/>
  <c r="G36" i="2"/>
  <c r="F36" i="2"/>
  <c r="AM35" i="2"/>
  <c r="AQ35" i="2" s="1"/>
  <c r="AL35" i="2"/>
  <c r="Q35" i="2"/>
  <c r="B35" i="2" s="1"/>
  <c r="P35" i="2"/>
  <c r="M35" i="2"/>
  <c r="N35" i="2" s="1"/>
  <c r="G35" i="2"/>
  <c r="F35" i="2"/>
  <c r="Q34" i="2"/>
  <c r="B34" i="2" s="1"/>
  <c r="P34" i="2"/>
  <c r="N34" i="2"/>
  <c r="M34" i="2"/>
  <c r="AQ33" i="2"/>
  <c r="AM33" i="2"/>
  <c r="AN33" i="2" s="1"/>
  <c r="AL33" i="2"/>
  <c r="Q33" i="2"/>
  <c r="B33" i="2" s="1"/>
  <c r="P33" i="2"/>
  <c r="M33" i="2"/>
  <c r="N33" i="2" s="1"/>
  <c r="F33" i="2"/>
  <c r="AM32" i="2"/>
  <c r="P32" i="2"/>
  <c r="Q32" i="2" s="1"/>
  <c r="B32" i="2" s="1"/>
  <c r="N32" i="2"/>
  <c r="M32" i="2"/>
  <c r="AQ31" i="2"/>
  <c r="AM31" i="2"/>
  <c r="AL31" i="2"/>
  <c r="P31" i="2"/>
  <c r="Q31" i="2" s="1"/>
  <c r="N31" i="2"/>
  <c r="M31" i="2"/>
  <c r="G31" i="2"/>
  <c r="F31" i="2"/>
  <c r="B31" i="2"/>
  <c r="AZ30" i="2"/>
  <c r="AY30" i="2"/>
  <c r="AX30" i="2"/>
  <c r="AU30" i="2"/>
  <c r="AQ30" i="2"/>
  <c r="AM30" i="2"/>
  <c r="AL30" i="2"/>
  <c r="Q30" i="2"/>
  <c r="B30" i="2" s="1"/>
  <c r="P30" i="2"/>
  <c r="M30" i="2"/>
  <c r="N30" i="2" s="1"/>
  <c r="G30" i="2"/>
  <c r="F30" i="2"/>
  <c r="AZ29" i="2"/>
  <c r="AY29" i="2"/>
  <c r="AX29" i="2"/>
  <c r="AU29" i="2"/>
  <c r="AM29" i="2"/>
  <c r="P29" i="2"/>
  <c r="Q29" i="2" s="1"/>
  <c r="B29" i="2" s="1"/>
  <c r="N29" i="2"/>
  <c r="M29" i="2"/>
  <c r="AZ28" i="2"/>
  <c r="AY28" i="2"/>
  <c r="AX28" i="2"/>
  <c r="AU28" i="2"/>
  <c r="AQ28" i="2"/>
  <c r="AM28" i="2"/>
  <c r="AN28" i="2" s="1"/>
  <c r="AL28" i="2"/>
  <c r="Q28" i="2"/>
  <c r="B28" i="2" s="1"/>
  <c r="P28" i="2"/>
  <c r="M28" i="2"/>
  <c r="N28" i="2" s="1"/>
  <c r="F28" i="2"/>
  <c r="AZ27" i="2"/>
  <c r="AY27" i="2"/>
  <c r="AX27" i="2"/>
  <c r="AU27" i="2"/>
  <c r="AM27" i="2"/>
  <c r="P27" i="2"/>
  <c r="Q27" i="2" s="1"/>
  <c r="N27" i="2"/>
  <c r="M27" i="2"/>
  <c r="B27" i="2"/>
  <c r="AZ26" i="2"/>
  <c r="AY26" i="2"/>
  <c r="AX26" i="2"/>
  <c r="AW26" i="2"/>
  <c r="AV26" i="2"/>
  <c r="AU26" i="2"/>
  <c r="AQ26" i="2"/>
  <c r="AM26" i="2"/>
  <c r="AL26" i="2"/>
  <c r="Q26" i="2"/>
  <c r="B26" i="2" s="1"/>
  <c r="P26" i="2"/>
  <c r="M26" i="2"/>
  <c r="N26" i="2" s="1"/>
  <c r="G26" i="2"/>
  <c r="F26" i="2"/>
  <c r="AZ25" i="2"/>
  <c r="AY25" i="2"/>
  <c r="AX25" i="2"/>
  <c r="AW25" i="2"/>
  <c r="AV25" i="2"/>
  <c r="AU25" i="2"/>
  <c r="AM25" i="2"/>
  <c r="AL25" i="2"/>
  <c r="P25" i="2"/>
  <c r="Q25" i="2" s="1"/>
  <c r="B25" i="2" s="1"/>
  <c r="N25" i="2"/>
  <c r="M25" i="2"/>
  <c r="F25" i="2"/>
  <c r="AZ24" i="2"/>
  <c r="AY24" i="2"/>
  <c r="AX24" i="2"/>
  <c r="AW24" i="2"/>
  <c r="AV24" i="2"/>
  <c r="AU24" i="2"/>
  <c r="Q24" i="2"/>
  <c r="B24" i="2" s="1"/>
  <c r="P24" i="2"/>
  <c r="N24" i="2"/>
  <c r="M24" i="2"/>
  <c r="AZ23" i="2"/>
  <c r="AY23" i="2"/>
  <c r="AX23" i="2"/>
  <c r="AW23" i="2"/>
  <c r="AV23" i="2"/>
  <c r="AU23" i="2"/>
  <c r="AM23" i="2"/>
  <c r="G23" i="2" s="1"/>
  <c r="AL23" i="2"/>
  <c r="P23" i="2"/>
  <c r="Q23" i="2" s="1"/>
  <c r="B23" i="2" s="1"/>
  <c r="M23" i="2"/>
  <c r="N23" i="2" s="1"/>
  <c r="F23" i="2"/>
  <c r="AZ22" i="2"/>
  <c r="AY22" i="2"/>
  <c r="AX22" i="2"/>
  <c r="AW22" i="2"/>
  <c r="AV22" i="2"/>
  <c r="AU22" i="2"/>
  <c r="AM22" i="2"/>
  <c r="Q22" i="2"/>
  <c r="B22" i="2" s="1"/>
  <c r="P22" i="2"/>
  <c r="M22" i="2"/>
  <c r="N22" i="2" s="1"/>
  <c r="AZ21" i="2"/>
  <c r="AY21" i="2"/>
  <c r="AX21" i="2"/>
  <c r="AW21" i="2"/>
  <c r="AV21" i="2"/>
  <c r="AU21" i="2"/>
  <c r="AM21" i="2"/>
  <c r="AL21" i="2"/>
  <c r="V21" i="2"/>
  <c r="Q21" i="2"/>
  <c r="B21" i="2" s="1"/>
  <c r="P21" i="2"/>
  <c r="N21" i="2"/>
  <c r="M21" i="2"/>
  <c r="F21" i="2"/>
  <c r="AZ20" i="2"/>
  <c r="AY20" i="2"/>
  <c r="AX20" i="2"/>
  <c r="AW20" i="2"/>
  <c r="AV20" i="2"/>
  <c r="AU20" i="2"/>
  <c r="AQ20" i="2"/>
  <c r="AM20" i="2"/>
  <c r="AL20" i="2"/>
  <c r="P20" i="2"/>
  <c r="Q20" i="2" s="1"/>
  <c r="B20" i="2" s="1"/>
  <c r="N20" i="2"/>
  <c r="M20" i="2"/>
  <c r="G20" i="2"/>
  <c r="F20" i="2"/>
  <c r="AZ19" i="2"/>
  <c r="AY19" i="2"/>
  <c r="AX19" i="2"/>
  <c r="AW19" i="2"/>
  <c r="AV19" i="2"/>
  <c r="AU19" i="2"/>
  <c r="AM19" i="2"/>
  <c r="P19" i="2"/>
  <c r="Q19" i="2" s="1"/>
  <c r="B19" i="2" s="1"/>
  <c r="N19" i="2"/>
  <c r="M19" i="2"/>
  <c r="AZ18" i="2"/>
  <c r="AY18" i="2"/>
  <c r="AX18" i="2"/>
  <c r="AW18" i="2"/>
  <c r="AV18" i="2"/>
  <c r="AU18" i="2"/>
  <c r="AM18" i="2"/>
  <c r="AQ18" i="2" s="1"/>
  <c r="AL18" i="2"/>
  <c r="Q18" i="2"/>
  <c r="B18" i="2" s="1"/>
  <c r="P18" i="2"/>
  <c r="M18" i="2"/>
  <c r="N18" i="2" s="1"/>
  <c r="F18" i="2"/>
  <c r="AZ17" i="2"/>
  <c r="AY17" i="2"/>
  <c r="AX17" i="2"/>
  <c r="AW17" i="2"/>
  <c r="AV17" i="2"/>
  <c r="AU17" i="2"/>
  <c r="AM17" i="2"/>
  <c r="Q17" i="2"/>
  <c r="B17" i="2" s="1"/>
  <c r="P17" i="2"/>
  <c r="N17" i="2"/>
  <c r="M17" i="2"/>
  <c r="AZ16" i="2"/>
  <c r="AY16" i="2"/>
  <c r="AX16" i="2"/>
  <c r="AU16" i="2"/>
  <c r="AQ16" i="2"/>
  <c r="AM16" i="2"/>
  <c r="AL16" i="2"/>
  <c r="Q16" i="2"/>
  <c r="P16" i="2"/>
  <c r="M16" i="2"/>
  <c r="N16" i="2" s="1"/>
  <c r="G16" i="2"/>
  <c r="F16" i="2"/>
  <c r="B16" i="2"/>
  <c r="AZ15" i="2"/>
  <c r="AY15" i="2"/>
  <c r="AX15" i="2"/>
  <c r="AU15" i="2"/>
  <c r="AQ15" i="2"/>
  <c r="AM15" i="2"/>
  <c r="AN15" i="2" s="1"/>
  <c r="AL15" i="2"/>
  <c r="P15" i="2"/>
  <c r="Q15" i="2" s="1"/>
  <c r="N15" i="2"/>
  <c r="M15" i="2"/>
  <c r="G15" i="2"/>
  <c r="F15" i="2"/>
  <c r="B15" i="2"/>
  <c r="AZ14" i="2"/>
  <c r="AY14" i="2"/>
  <c r="AX14" i="2"/>
  <c r="AU14" i="2"/>
  <c r="AM14" i="2"/>
  <c r="AN14" i="2" s="1"/>
  <c r="Q14" i="2"/>
  <c r="B14" i="2" s="1"/>
  <c r="P14" i="2"/>
  <c r="M14" i="2"/>
  <c r="N14" i="2" s="1"/>
  <c r="AZ13" i="2"/>
  <c r="AY13" i="2"/>
  <c r="AX13" i="2"/>
  <c r="AU13" i="2"/>
  <c r="AM13" i="2"/>
  <c r="AL13" i="2"/>
  <c r="P13" i="2"/>
  <c r="Q13" i="2" s="1"/>
  <c r="B13" i="2" s="1"/>
  <c r="N13" i="2"/>
  <c r="M13" i="2"/>
  <c r="F13" i="2"/>
  <c r="AZ12" i="2"/>
  <c r="AY12" i="2"/>
  <c r="AX12" i="2"/>
  <c r="AU12" i="2"/>
  <c r="AM12" i="2"/>
  <c r="Q12" i="2"/>
  <c r="B12" i="2" s="1"/>
  <c r="P12" i="2"/>
  <c r="N12" i="2"/>
  <c r="M12" i="2"/>
  <c r="AZ11" i="2"/>
  <c r="AY11" i="2"/>
  <c r="AX11" i="2"/>
  <c r="AW11" i="2"/>
  <c r="AV11" i="2"/>
  <c r="AU11" i="2"/>
  <c r="AQ11" i="2"/>
  <c r="AN11" i="2"/>
  <c r="AM11" i="2"/>
  <c r="AO11" i="2" s="1"/>
  <c r="AL11" i="2"/>
  <c r="AI11" i="2"/>
  <c r="P11" i="2"/>
  <c r="Q11" i="2" s="1"/>
  <c r="B11" i="2" s="1"/>
  <c r="N11" i="2"/>
  <c r="M11" i="2"/>
  <c r="F11" i="2"/>
  <c r="AZ10" i="2"/>
  <c r="AY10" i="2"/>
  <c r="AX10" i="2"/>
  <c r="AW10" i="2"/>
  <c r="AV10" i="2"/>
  <c r="AU10" i="2"/>
  <c r="AQ10" i="2"/>
  <c r="AN10" i="2"/>
  <c r="AM10" i="2"/>
  <c r="AL10" i="2"/>
  <c r="P10" i="2"/>
  <c r="Q10" i="2" s="1"/>
  <c r="B10" i="2" s="1"/>
  <c r="M10" i="2"/>
  <c r="N10" i="2" s="1"/>
  <c r="G10" i="2"/>
  <c r="F10" i="2"/>
  <c r="AZ9" i="2"/>
  <c r="AY9" i="2"/>
  <c r="AX9" i="2"/>
  <c r="AW9" i="2"/>
  <c r="AV9" i="2"/>
  <c r="AU9" i="2"/>
  <c r="AM9" i="2"/>
  <c r="U9" i="2"/>
  <c r="P9" i="2"/>
  <c r="Q9" i="2" s="1"/>
  <c r="B9" i="2" s="1"/>
  <c r="M9" i="2"/>
  <c r="N9" i="2" s="1"/>
  <c r="BA8" i="2"/>
  <c r="AZ8" i="2"/>
  <c r="AY8" i="2"/>
  <c r="AX8" i="2"/>
  <c r="AW8" i="2"/>
  <c r="AV8" i="2"/>
  <c r="AU8" i="2"/>
  <c r="AC5" i="2" s="1"/>
  <c r="AQ8" i="2"/>
  <c r="AM8" i="2"/>
  <c r="AL8" i="2"/>
  <c r="AD8" i="2"/>
  <c r="Q8" i="2"/>
  <c r="P8" i="2"/>
  <c r="M8" i="2"/>
  <c r="N8" i="2" s="1"/>
  <c r="G8" i="2"/>
  <c r="F8" i="2"/>
  <c r="B8" i="2"/>
  <c r="AZ7" i="2"/>
  <c r="AY7" i="2"/>
  <c r="AO22" i="2" s="1"/>
  <c r="AX7" i="2"/>
  <c r="AW7" i="2"/>
  <c r="AV7" i="2"/>
  <c r="BA26" i="2" s="1"/>
  <c r="AU7" i="2"/>
  <c r="AM7" i="2"/>
  <c r="AP1" i="2" s="1"/>
  <c r="U7" i="2"/>
  <c r="P7" i="2"/>
  <c r="Q7" i="2" s="1"/>
  <c r="N7" i="2"/>
  <c r="M7" i="2"/>
  <c r="B7" i="2"/>
  <c r="AZ6" i="2"/>
  <c r="AY6" i="2"/>
  <c r="AX6" i="2"/>
  <c r="AW6" i="2"/>
  <c r="AU6" i="2"/>
  <c r="AQ6" i="2"/>
  <c r="AN6" i="2"/>
  <c r="AM6" i="2"/>
  <c r="AO6" i="2" s="1"/>
  <c r="AL6" i="2"/>
  <c r="Z6" i="2"/>
  <c r="P6" i="2"/>
  <c r="Q6" i="2" s="1"/>
  <c r="B6" i="2" s="1"/>
  <c r="M6" i="2"/>
  <c r="N6" i="2" s="1"/>
  <c r="F6" i="2"/>
  <c r="AZ5" i="2"/>
  <c r="AY5" i="2"/>
  <c r="AX5" i="2"/>
  <c r="AW5" i="2"/>
  <c r="AV5" i="2"/>
  <c r="BA5" i="2" s="1"/>
  <c r="AU5" i="2"/>
  <c r="AC14" i="2" s="1"/>
  <c r="AM5" i="2"/>
  <c r="AP3" i="2" s="1"/>
  <c r="AL5" i="2"/>
  <c r="AI5" i="2"/>
  <c r="P5" i="2"/>
  <c r="Q5" i="2" s="1"/>
  <c r="B5" i="2" s="1"/>
  <c r="N5" i="2"/>
  <c r="M5" i="2"/>
  <c r="F5" i="2"/>
  <c r="AZ4" i="2"/>
  <c r="AY4" i="2"/>
  <c r="AO8" i="2" s="1"/>
  <c r="AX4" i="2"/>
  <c r="AW4" i="2"/>
  <c r="AV4" i="2"/>
  <c r="AU4" i="2"/>
  <c r="AI31" i="2" s="1"/>
  <c r="AK3" i="2"/>
  <c r="AI3" i="2"/>
  <c r="AK2" i="2"/>
  <c r="AI2" i="2"/>
  <c r="M2" i="2"/>
  <c r="AK1" i="2"/>
  <c r="AI1" i="2"/>
  <c r="BA33" i="22"/>
  <c r="BA32" i="22"/>
  <c r="BA31" i="22"/>
  <c r="BA30" i="22"/>
  <c r="BD10" i="22" s="1"/>
  <c r="BA29" i="22"/>
  <c r="BA28" i="22"/>
  <c r="BA27" i="22"/>
  <c r="BA26" i="22"/>
  <c r="BA25" i="22"/>
  <c r="BD9" i="22" s="1"/>
  <c r="BA24" i="22"/>
  <c r="BA23" i="22"/>
  <c r="BA22" i="22"/>
  <c r="BD8" i="22" s="1"/>
  <c r="BA21" i="22"/>
  <c r="BA20" i="22"/>
  <c r="BA19" i="22"/>
  <c r="BA18" i="22"/>
  <c r="BA17" i="22"/>
  <c r="BA16" i="22"/>
  <c r="BD7" i="22" s="1"/>
  <c r="BA15" i="22"/>
  <c r="BA14" i="22"/>
  <c r="BA13" i="22"/>
  <c r="BA12" i="22"/>
  <c r="BA11" i="22"/>
  <c r="BA10" i="22"/>
  <c r="H10" i="22"/>
  <c r="BA9" i="22"/>
  <c r="H9" i="22"/>
  <c r="BA8" i="22"/>
  <c r="N8" i="22"/>
  <c r="I8" i="22"/>
  <c r="H8" i="22"/>
  <c r="BA7" i="22"/>
  <c r="R7" i="22"/>
  <c r="N7" i="22"/>
  <c r="I7" i="22"/>
  <c r="H7" i="22"/>
  <c r="BD6" i="22"/>
  <c r="BA6" i="22"/>
  <c r="R6" i="22"/>
  <c r="N6" i="22"/>
  <c r="I6" i="22"/>
  <c r="H6" i="22"/>
  <c r="BA5" i="22"/>
  <c r="BD5" i="22" s="1"/>
  <c r="R5" i="22"/>
  <c r="N5" i="22"/>
  <c r="H5" i="22"/>
  <c r="BZ32" i="27"/>
  <c r="BZ31" i="27"/>
  <c r="BZ30" i="27"/>
  <c r="BZ29" i="27"/>
  <c r="BZ28" i="27"/>
  <c r="BZ27" i="27"/>
  <c r="BZ26" i="27"/>
  <c r="BZ25" i="27"/>
  <c r="CB25" i="27" s="1"/>
  <c r="BZ22" i="27"/>
  <c r="BZ21" i="27"/>
  <c r="BZ20" i="27"/>
  <c r="CB15" i="27" s="1"/>
  <c r="BZ19" i="27"/>
  <c r="BZ18" i="27"/>
  <c r="BZ17" i="27"/>
  <c r="BZ16" i="27"/>
  <c r="BZ15" i="27"/>
  <c r="BO15" i="27"/>
  <c r="BQ15" i="27" s="1"/>
  <c r="BJ15" i="27"/>
  <c r="BL15" i="27" s="1"/>
  <c r="W15" i="27"/>
  <c r="P15" i="27"/>
  <c r="BQ14" i="27"/>
  <c r="BO14" i="27"/>
  <c r="BL14" i="27"/>
  <c r="BJ14" i="27"/>
  <c r="W14" i="27"/>
  <c r="Q14" i="27"/>
  <c r="P14" i="27"/>
  <c r="BQ13" i="27"/>
  <c r="BO13" i="27"/>
  <c r="BJ13" i="27"/>
  <c r="BL13" i="27" s="1"/>
  <c r="AT13" i="27"/>
  <c r="AT14" i="27" s="1"/>
  <c r="AT15" i="27" s="1"/>
  <c r="W13" i="27"/>
  <c r="Q13" i="27"/>
  <c r="P13" i="27"/>
  <c r="BZ12" i="27"/>
  <c r="BQ12" i="27"/>
  <c r="BO12" i="27"/>
  <c r="BJ12" i="27"/>
  <c r="BL12" i="27" s="1"/>
  <c r="W12" i="27"/>
  <c r="P12" i="27"/>
  <c r="BZ11" i="27"/>
  <c r="BO11" i="27"/>
  <c r="BQ11" i="27" s="1"/>
  <c r="BJ11" i="27"/>
  <c r="BL11" i="27" s="1"/>
  <c r="W11" i="27"/>
  <c r="Q11" i="27"/>
  <c r="P11" i="27"/>
  <c r="BZ10" i="27"/>
  <c r="BQ10" i="27"/>
  <c r="BO10" i="27"/>
  <c r="BJ10" i="27"/>
  <c r="BL10" i="27" s="1"/>
  <c r="W10" i="27"/>
  <c r="P10" i="27"/>
  <c r="BZ9" i="27"/>
  <c r="BO9" i="27"/>
  <c r="BQ9" i="27" s="1"/>
  <c r="BL9" i="27"/>
  <c r="BJ9" i="27"/>
  <c r="AT9" i="27"/>
  <c r="AT10" i="27" s="1"/>
  <c r="AT11" i="27" s="1"/>
  <c r="AT12" i="27" s="1"/>
  <c r="W9" i="27"/>
  <c r="Q9" i="27"/>
  <c r="P9" i="27"/>
  <c r="BZ8" i="27"/>
  <c r="BO8" i="27"/>
  <c r="BQ8" i="27" s="1"/>
  <c r="BJ8" i="27"/>
  <c r="BL8" i="27" s="1"/>
  <c r="W8" i="27"/>
  <c r="P8" i="27"/>
  <c r="BZ7" i="27"/>
  <c r="BO7" i="27"/>
  <c r="BQ7" i="27" s="1"/>
  <c r="BJ7" i="27"/>
  <c r="BL7" i="27" s="1"/>
  <c r="W7" i="27"/>
  <c r="P7" i="27"/>
  <c r="BZ6" i="27"/>
  <c r="BO6" i="27"/>
  <c r="BQ6" i="27" s="1"/>
  <c r="BL6" i="27"/>
  <c r="BJ6" i="27"/>
  <c r="AQ6" i="27"/>
  <c r="AP6" i="27" s="1"/>
  <c r="W6" i="27"/>
  <c r="P6" i="27"/>
  <c r="BZ5" i="27"/>
  <c r="CB5" i="27" s="1"/>
  <c r="BQ5" i="27"/>
  <c r="BO5" i="27"/>
  <c r="BL5" i="27"/>
  <c r="BJ5" i="27"/>
  <c r="AT5" i="27"/>
  <c r="AT6" i="27" s="1"/>
  <c r="AT7" i="27" s="1"/>
  <c r="AT8" i="27" s="1"/>
  <c r="AP5" i="27"/>
  <c r="W5" i="27"/>
  <c r="P5" i="27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V7" i="48"/>
  <c r="Q7" i="48"/>
  <c r="B7" i="48" s="1"/>
  <c r="C7" i="48"/>
  <c r="Y6" i="48"/>
  <c r="Q6" i="48"/>
  <c r="R5" i="48" s="1"/>
  <c r="C5" i="48" s="1"/>
  <c r="C6" i="48"/>
  <c r="S5" i="48"/>
  <c r="D5" i="48" s="1"/>
  <c r="Q5" i="48"/>
  <c r="V5" i="48" s="1"/>
  <c r="U2" i="48"/>
  <c r="AE321" i="8"/>
  <c r="AC321" i="8"/>
  <c r="AA321" i="8"/>
  <c r="Y321" i="8"/>
  <c r="W321" i="8"/>
  <c r="U321" i="8"/>
  <c r="S321" i="8"/>
  <c r="Q321" i="8"/>
  <c r="O321" i="8"/>
  <c r="M321" i="8"/>
  <c r="K321" i="8"/>
  <c r="K322" i="8" s="1"/>
  <c r="AD320" i="8"/>
  <c r="AB320" i="8"/>
  <c r="Z320" i="8"/>
  <c r="X320" i="8"/>
  <c r="V320" i="8"/>
  <c r="T320" i="8"/>
  <c r="R320" i="8"/>
  <c r="P320" i="8"/>
  <c r="N320" i="8"/>
  <c r="L320" i="8"/>
  <c r="J320" i="8"/>
  <c r="AE319" i="8"/>
  <c r="AE320" i="8" s="1"/>
  <c r="AD319" i="8"/>
  <c r="AC319" i="8"/>
  <c r="AC320" i="8" s="1"/>
  <c r="AB319" i="8"/>
  <c r="AA319" i="8"/>
  <c r="AA320" i="8" s="1"/>
  <c r="Z319" i="8"/>
  <c r="Y319" i="8"/>
  <c r="Y320" i="8" s="1"/>
  <c r="X319" i="8"/>
  <c r="W319" i="8"/>
  <c r="W320" i="8" s="1"/>
  <c r="V319" i="8"/>
  <c r="U319" i="8"/>
  <c r="U320" i="8" s="1"/>
  <c r="T319" i="8"/>
  <c r="S319" i="8"/>
  <c r="S320" i="8" s="1"/>
  <c r="R319" i="8"/>
  <c r="Q319" i="8"/>
  <c r="Q320" i="8" s="1"/>
  <c r="P319" i="8"/>
  <c r="O319" i="8"/>
  <c r="O320" i="8" s="1"/>
  <c r="N319" i="8"/>
  <c r="M319" i="8"/>
  <c r="AG319" i="8" s="1"/>
  <c r="L319" i="8"/>
  <c r="K319" i="8"/>
  <c r="I319" i="8" s="1"/>
  <c r="J319" i="8"/>
  <c r="AG318" i="8"/>
  <c r="AF318" i="8"/>
  <c r="I318" i="8"/>
  <c r="G318" i="8"/>
  <c r="K301" i="8"/>
  <c r="J301" i="8"/>
  <c r="B296" i="8"/>
  <c r="B287" i="8"/>
  <c r="B286" i="8"/>
  <c r="B282" i="8"/>
  <c r="B281" i="8"/>
  <c r="Q268" i="8"/>
  <c r="T268" i="8" s="1"/>
  <c r="P268" i="8"/>
  <c r="O268" i="8"/>
  <c r="B268" i="8" s="1"/>
  <c r="N268" i="8"/>
  <c r="T267" i="8" s="1"/>
  <c r="B267" i="8"/>
  <c r="T265" i="8"/>
  <c r="B265" i="8"/>
  <c r="T264" i="8"/>
  <c r="JA1" i="1" s="1"/>
  <c r="B264" i="8"/>
  <c r="B263" i="8"/>
  <c r="B262" i="8"/>
  <c r="B257" i="8"/>
  <c r="B255" i="8"/>
  <c r="B252" i="8"/>
  <c r="B242" i="8"/>
  <c r="B214" i="8"/>
  <c r="N213" i="8"/>
  <c r="M213" i="8"/>
  <c r="N212" i="8"/>
  <c r="M212" i="8"/>
  <c r="N211" i="8"/>
  <c r="M211" i="8"/>
  <c r="B211" i="8"/>
  <c r="N210" i="8"/>
  <c r="M210" i="8"/>
  <c r="N209" i="8"/>
  <c r="M209" i="8"/>
  <c r="N208" i="8"/>
  <c r="M208" i="8"/>
  <c r="N207" i="8"/>
  <c r="M207" i="8"/>
  <c r="E207" i="8"/>
  <c r="N206" i="8"/>
  <c r="M206" i="8"/>
  <c r="N205" i="8"/>
  <c r="M205" i="8"/>
  <c r="N204" i="8"/>
  <c r="M204" i="8"/>
  <c r="N203" i="8"/>
  <c r="M203" i="8"/>
  <c r="N202" i="8"/>
  <c r="M202" i="8"/>
  <c r="N201" i="8"/>
  <c r="M201" i="8"/>
  <c r="B199" i="8"/>
  <c r="B89" i="8"/>
  <c r="R71" i="8"/>
  <c r="Q70" i="8"/>
  <c r="K70" i="8"/>
  <c r="I70" i="8"/>
  <c r="R69" i="8"/>
  <c r="S69" i="8" s="1"/>
  <c r="Q69" i="8"/>
  <c r="K69" i="8"/>
  <c r="I69" i="8"/>
  <c r="B53" i="8"/>
  <c r="B52" i="8"/>
  <c r="B44" i="8"/>
  <c r="L43" i="8"/>
  <c r="B43" i="8"/>
  <c r="O42" i="8"/>
  <c r="N42" i="8"/>
  <c r="M42" i="8"/>
  <c r="O41" i="8"/>
  <c r="O43" i="8" s="1"/>
  <c r="N41" i="8"/>
  <c r="N43" i="8" s="1"/>
  <c r="M41" i="8"/>
  <c r="M43" i="8" s="1"/>
  <c r="B40" i="8"/>
  <c r="B36" i="8"/>
  <c r="B32" i="8"/>
  <c r="P25" i="8"/>
  <c r="O25" i="8"/>
  <c r="O24" i="8"/>
  <c r="P24" i="8" s="1"/>
  <c r="O23" i="8"/>
  <c r="P23" i="8" s="1"/>
  <c r="O22" i="8"/>
  <c r="P22" i="8" s="1"/>
  <c r="P21" i="8"/>
  <c r="O21" i="8"/>
  <c r="B21" i="8"/>
  <c r="P20" i="8"/>
  <c r="O20" i="8"/>
  <c r="P19" i="8"/>
  <c r="O19" i="8"/>
  <c r="B19" i="8"/>
  <c r="T39" i="25" s="1"/>
  <c r="P18" i="8"/>
  <c r="O18" i="8"/>
  <c r="O17" i="8"/>
  <c r="P17" i="8" s="1"/>
  <c r="O16" i="8"/>
  <c r="P16" i="8" s="1"/>
  <c r="O15" i="8"/>
  <c r="P15" i="8" s="1"/>
  <c r="B13" i="8"/>
  <c r="B6" i="8"/>
  <c r="DB24" i="10"/>
  <c r="CX24" i="10"/>
  <c r="CT24" i="10"/>
  <c r="CR24" i="10"/>
  <c r="CO24" i="10"/>
  <c r="AI24" i="10"/>
  <c r="AG24" i="10"/>
  <c r="AA24" i="10" s="1"/>
  <c r="AE24" i="10"/>
  <c r="AC24" i="10"/>
  <c r="T24" i="10"/>
  <c r="J24" i="10"/>
  <c r="H24" i="10"/>
  <c r="G24" i="10"/>
  <c r="DB23" i="10"/>
  <c r="CX23" i="10"/>
  <c r="CT23" i="10"/>
  <c r="CO23" i="10"/>
  <c r="CR23" i="10" s="1"/>
  <c r="AC23" i="10" s="1"/>
  <c r="AI23" i="10"/>
  <c r="AG23" i="10" s="1"/>
  <c r="AE23" i="10"/>
  <c r="T23" i="10"/>
  <c r="J23" i="10"/>
  <c r="I23" i="10"/>
  <c r="H23" i="10"/>
  <c r="G23" i="10"/>
  <c r="DB22" i="10"/>
  <c r="CX22" i="10"/>
  <c r="CT22" i="10"/>
  <c r="CO22" i="10"/>
  <c r="CR22" i="10" s="1"/>
  <c r="AC22" i="10" s="1"/>
  <c r="AI22" i="10"/>
  <c r="AG22" i="10" s="1"/>
  <c r="AE22" i="10"/>
  <c r="T22" i="10"/>
  <c r="K22" i="10"/>
  <c r="I22" i="10"/>
  <c r="J22" i="10" s="1"/>
  <c r="H22" i="10"/>
  <c r="G22" i="10"/>
  <c r="DB21" i="10"/>
  <c r="CX21" i="10"/>
  <c r="CT21" i="10"/>
  <c r="CO21" i="10"/>
  <c r="CR21" i="10" s="1"/>
  <c r="AC21" i="10" s="1"/>
  <c r="AI21" i="10"/>
  <c r="AG21" i="10" s="1"/>
  <c r="AE21" i="10"/>
  <c r="T21" i="10"/>
  <c r="K21" i="10"/>
  <c r="I21" i="10"/>
  <c r="J21" i="10" s="1"/>
  <c r="H21" i="10"/>
  <c r="G21" i="10"/>
  <c r="DB20" i="10"/>
  <c r="CX20" i="10"/>
  <c r="CT20" i="10"/>
  <c r="CO20" i="10"/>
  <c r="CR20" i="10" s="1"/>
  <c r="AC20" i="10" s="1"/>
  <c r="AG20" i="10"/>
  <c r="AH20" i="10" s="1"/>
  <c r="AE20" i="10"/>
  <c r="AA20" i="10"/>
  <c r="T20" i="10"/>
  <c r="J20" i="10"/>
  <c r="I20" i="10"/>
  <c r="H20" i="10"/>
  <c r="G20" i="10"/>
  <c r="C20" i="10"/>
  <c r="DB19" i="10"/>
  <c r="CX19" i="10"/>
  <c r="CT19" i="10"/>
  <c r="CR19" i="10"/>
  <c r="CO19" i="10"/>
  <c r="BC19" i="10"/>
  <c r="BB19" i="10"/>
  <c r="BA19" i="10"/>
  <c r="AX19" i="10"/>
  <c r="AY19" i="10" s="1"/>
  <c r="AU19" i="10"/>
  <c r="AV19" i="10" s="1"/>
  <c r="AT19" i="10"/>
  <c r="AR19" i="10"/>
  <c r="AS19" i="10" s="1"/>
  <c r="AP19" i="10"/>
  <c r="AO19" i="10"/>
  <c r="Z19" i="10" s="1"/>
  <c r="AM19" i="10"/>
  <c r="AL19" i="10"/>
  <c r="AI19" i="10"/>
  <c r="AG19" i="10" s="1"/>
  <c r="AE19" i="10"/>
  <c r="AC19" i="10"/>
  <c r="T19" i="10"/>
  <c r="K19" i="10"/>
  <c r="K24" i="10" s="1"/>
  <c r="I19" i="10"/>
  <c r="J19" i="10" s="1"/>
  <c r="H19" i="10"/>
  <c r="G19" i="10"/>
  <c r="C19" i="10"/>
  <c r="C24" i="10" s="1"/>
  <c r="DB18" i="10"/>
  <c r="CX18" i="10"/>
  <c r="CT18" i="10"/>
  <c r="CO18" i="10"/>
  <c r="CR18" i="10" s="1"/>
  <c r="AC18" i="10" s="1"/>
  <c r="BC18" i="10"/>
  <c r="BA18" i="10"/>
  <c r="BB18" i="10" s="1"/>
  <c r="AX18" i="10"/>
  <c r="AY18" i="10" s="1"/>
  <c r="AU18" i="10"/>
  <c r="AV18" i="10" s="1"/>
  <c r="AT18" i="10"/>
  <c r="AR18" i="10" s="1"/>
  <c r="AS18" i="10" s="1"/>
  <c r="AP18" i="10"/>
  <c r="AO18" i="10"/>
  <c r="AM18" i="10"/>
  <c r="AL18" i="10"/>
  <c r="AI18" i="10"/>
  <c r="AG18" i="10"/>
  <c r="AA18" i="10" s="1"/>
  <c r="AE18" i="10"/>
  <c r="T18" i="10"/>
  <c r="K18" i="10"/>
  <c r="K23" i="10" s="1"/>
  <c r="J18" i="10"/>
  <c r="I18" i="10"/>
  <c r="H18" i="10"/>
  <c r="G18" i="10"/>
  <c r="C18" i="10"/>
  <c r="C23" i="10" s="1"/>
  <c r="DB17" i="10"/>
  <c r="CX17" i="10"/>
  <c r="CT17" i="10"/>
  <c r="CR17" i="10"/>
  <c r="AC17" i="10" s="1"/>
  <c r="CO17" i="10"/>
  <c r="BT17" i="10"/>
  <c r="BT18" i="10" s="1"/>
  <c r="BC17" i="10"/>
  <c r="BA17" i="10" s="1"/>
  <c r="BB17" i="10" s="1"/>
  <c r="AX17" i="10"/>
  <c r="AY17" i="10" s="1"/>
  <c r="AU17" i="10"/>
  <c r="AV17" i="10" s="1"/>
  <c r="AT17" i="10"/>
  <c r="AR17" i="10" s="1"/>
  <c r="AS17" i="10" s="1"/>
  <c r="AP17" i="10"/>
  <c r="AO17" i="10"/>
  <c r="AL17" i="10"/>
  <c r="AI17" i="10"/>
  <c r="AG17" i="10"/>
  <c r="AA17" i="10" s="1"/>
  <c r="AE17" i="10"/>
  <c r="T17" i="10"/>
  <c r="K17" i="10"/>
  <c r="J17" i="10"/>
  <c r="I17" i="10"/>
  <c r="H17" i="10"/>
  <c r="G17" i="10"/>
  <c r="C17" i="10"/>
  <c r="C22" i="10" s="1"/>
  <c r="DB16" i="10"/>
  <c r="CX16" i="10"/>
  <c r="CT16" i="10"/>
  <c r="CR16" i="10"/>
  <c r="AC16" i="10" s="1"/>
  <c r="CO16" i="10"/>
  <c r="BT16" i="10"/>
  <c r="BQ16" i="10"/>
  <c r="BQ17" i="10" s="1"/>
  <c r="BN16" i="10"/>
  <c r="BN17" i="10" s="1"/>
  <c r="BN18" i="10" s="1"/>
  <c r="BN19" i="10" s="1"/>
  <c r="BC16" i="10"/>
  <c r="BA16" i="10" s="1"/>
  <c r="BB16" i="10" s="1"/>
  <c r="AX16" i="10"/>
  <c r="AY16" i="10" s="1"/>
  <c r="AU16" i="10"/>
  <c r="AV16" i="10" s="1"/>
  <c r="AT16" i="10"/>
  <c r="AR16" i="10" s="1"/>
  <c r="AS16" i="10" s="1"/>
  <c r="AO16" i="10"/>
  <c r="AP16" i="10" s="1"/>
  <c r="AM16" i="10"/>
  <c r="AL16" i="10"/>
  <c r="AI16" i="10"/>
  <c r="AG16" i="10" s="1"/>
  <c r="AE16" i="10"/>
  <c r="T16" i="10"/>
  <c r="K16" i="10"/>
  <c r="J16" i="10"/>
  <c r="I16" i="10"/>
  <c r="H16" i="10"/>
  <c r="G16" i="10"/>
  <c r="C16" i="10"/>
  <c r="C21" i="10" s="1"/>
  <c r="DB15" i="10"/>
  <c r="CX15" i="10"/>
  <c r="CT15" i="10"/>
  <c r="CR15" i="10"/>
  <c r="CO15" i="10"/>
  <c r="BT15" i="10"/>
  <c r="BQ15" i="10"/>
  <c r="BO15" i="10" s="1"/>
  <c r="BP15" i="10" s="1"/>
  <c r="BN15" i="10"/>
  <c r="BN3" i="10" s="1"/>
  <c r="BK15" i="10"/>
  <c r="BK16" i="10" s="1"/>
  <c r="BH15" i="10"/>
  <c r="BE15" i="10" s="1"/>
  <c r="BC15" i="10"/>
  <c r="BA15" i="10"/>
  <c r="BB15" i="10" s="1"/>
  <c r="AX15" i="10"/>
  <c r="AY15" i="10" s="1"/>
  <c r="AU15" i="10"/>
  <c r="AV15" i="10" s="1"/>
  <c r="AR15" i="10"/>
  <c r="AS15" i="10" s="1"/>
  <c r="AO15" i="10"/>
  <c r="AP15" i="10" s="1"/>
  <c r="AL15" i="10"/>
  <c r="Z15" i="10" s="1"/>
  <c r="AK15" i="10"/>
  <c r="AH15" i="10"/>
  <c r="AG15" i="10"/>
  <c r="AE15" i="10"/>
  <c r="AC15" i="10"/>
  <c r="AA15" i="10"/>
  <c r="T15" i="10"/>
  <c r="K15" i="10"/>
  <c r="K20" i="10" s="1"/>
  <c r="I15" i="10"/>
  <c r="J15" i="10" s="1"/>
  <c r="H15" i="10"/>
  <c r="G15" i="10"/>
  <c r="C15" i="10"/>
  <c r="DB14" i="10"/>
  <c r="CX14" i="10"/>
  <c r="CT14" i="10"/>
  <c r="CO14" i="10"/>
  <c r="CR14" i="10" s="1"/>
  <c r="AC14" i="10" s="1"/>
  <c r="CM14" i="10"/>
  <c r="AN14" i="10"/>
  <c r="AL14" i="10"/>
  <c r="Z14" i="10" s="1"/>
  <c r="AI14" i="10"/>
  <c r="AG14" i="10" s="1"/>
  <c r="AE14" i="10"/>
  <c r="T14" i="10"/>
  <c r="J14" i="10"/>
  <c r="I14" i="10"/>
  <c r="H14" i="10"/>
  <c r="G14" i="10"/>
  <c r="C14" i="10"/>
  <c r="DB13" i="10"/>
  <c r="CX13" i="10"/>
  <c r="CT13" i="10"/>
  <c r="CR13" i="10"/>
  <c r="AC13" i="10" s="1"/>
  <c r="CO13" i="10"/>
  <c r="CM13" i="10"/>
  <c r="BQ13" i="10"/>
  <c r="BQ14" i="10" s="1"/>
  <c r="BO14" i="10" s="1"/>
  <c r="BP14" i="10" s="1"/>
  <c r="AN13" i="10"/>
  <c r="AL13" i="10" s="1"/>
  <c r="AI13" i="10"/>
  <c r="AG13" i="10" s="1"/>
  <c r="AE13" i="10"/>
  <c r="T13" i="10"/>
  <c r="I13" i="10"/>
  <c r="J13" i="10" s="1"/>
  <c r="H13" i="10"/>
  <c r="G13" i="10"/>
  <c r="DB12" i="10"/>
  <c r="CX12" i="10"/>
  <c r="CT12" i="10"/>
  <c r="CR12" i="10"/>
  <c r="AC12" i="10" s="1"/>
  <c r="CO12" i="10"/>
  <c r="CM12" i="10"/>
  <c r="BQ12" i="10"/>
  <c r="BO12" i="10"/>
  <c r="BP12" i="10" s="1"/>
  <c r="AQ12" i="10"/>
  <c r="AN12" i="10"/>
  <c r="AL12" i="10"/>
  <c r="AM12" i="10" s="1"/>
  <c r="AI12" i="10"/>
  <c r="AG12" i="10" s="1"/>
  <c r="AE12" i="10"/>
  <c r="T12" i="10"/>
  <c r="J12" i="10"/>
  <c r="I12" i="10"/>
  <c r="H12" i="10"/>
  <c r="G12" i="10"/>
  <c r="DB11" i="10"/>
  <c r="CX11" i="10"/>
  <c r="CT11" i="10"/>
  <c r="CO11" i="10"/>
  <c r="CR11" i="10" s="1"/>
  <c r="AC11" i="10" s="1"/>
  <c r="CM11" i="10"/>
  <c r="BQ11" i="10"/>
  <c r="BO11" i="10" s="1"/>
  <c r="BP11" i="10" s="1"/>
  <c r="BN11" i="10"/>
  <c r="BN12" i="10" s="1"/>
  <c r="BN13" i="10" s="1"/>
  <c r="BN14" i="10" s="1"/>
  <c r="BH11" i="10"/>
  <c r="BE11" i="10" s="1"/>
  <c r="BF11" i="10"/>
  <c r="AQ11" i="10"/>
  <c r="AN11" i="10"/>
  <c r="AL11" i="10"/>
  <c r="AM11" i="10" s="1"/>
  <c r="AI11" i="10"/>
  <c r="AG11" i="10"/>
  <c r="AA11" i="10" s="1"/>
  <c r="AE11" i="10"/>
  <c r="T11" i="10"/>
  <c r="I11" i="10"/>
  <c r="J11" i="10" s="1"/>
  <c r="H11" i="10"/>
  <c r="G11" i="10"/>
  <c r="DB10" i="10"/>
  <c r="CX10" i="10"/>
  <c r="CT10" i="10"/>
  <c r="CR10" i="10"/>
  <c r="AC10" i="10" s="1"/>
  <c r="CO10" i="10"/>
  <c r="BT10" i="10"/>
  <c r="BT11" i="10" s="1"/>
  <c r="BT12" i="10" s="1"/>
  <c r="BT13" i="10" s="1"/>
  <c r="BT14" i="10" s="1"/>
  <c r="BR14" i="10" s="1"/>
  <c r="BS14" i="10" s="1"/>
  <c r="BQ10" i="10"/>
  <c r="BO10" i="10"/>
  <c r="BP10" i="10" s="1"/>
  <c r="BN10" i="10"/>
  <c r="BE10" i="10" s="1"/>
  <c r="BL10" i="10"/>
  <c r="BM10" i="10" s="1"/>
  <c r="BK10" i="10"/>
  <c r="BK11" i="10" s="1"/>
  <c r="BH10" i="10"/>
  <c r="BF10" i="10"/>
  <c r="BG10" i="10" s="1"/>
  <c r="AQ10" i="10"/>
  <c r="AL10" i="10"/>
  <c r="AM10" i="10" s="1"/>
  <c r="AK10" i="10"/>
  <c r="AG10" i="10"/>
  <c r="AA10" i="10" s="1"/>
  <c r="AE10" i="10"/>
  <c r="T10" i="10"/>
  <c r="I10" i="10"/>
  <c r="J10" i="10" s="1"/>
  <c r="H10" i="10"/>
  <c r="G10" i="10"/>
  <c r="DB9" i="10"/>
  <c r="CX9" i="10"/>
  <c r="CT9" i="10"/>
  <c r="CO9" i="10"/>
  <c r="CR9" i="10" s="1"/>
  <c r="AC9" i="10" s="1"/>
  <c r="AQ9" i="10"/>
  <c r="AI9" i="10"/>
  <c r="AG9" i="10" s="1"/>
  <c r="AE9" i="10"/>
  <c r="T9" i="10"/>
  <c r="J9" i="10"/>
  <c r="I9" i="10"/>
  <c r="H9" i="10"/>
  <c r="G9" i="10"/>
  <c r="DB8" i="10"/>
  <c r="CX8" i="10"/>
  <c r="CT8" i="10"/>
  <c r="CO8" i="10"/>
  <c r="CR8" i="10" s="1"/>
  <c r="AC8" i="10" s="1"/>
  <c r="AQ8" i="10"/>
  <c r="AI8" i="10"/>
  <c r="AG8" i="10" s="1"/>
  <c r="AE8" i="10"/>
  <c r="T8" i="10"/>
  <c r="J8" i="10"/>
  <c r="I8" i="10"/>
  <c r="H8" i="10"/>
  <c r="G8" i="10"/>
  <c r="DB7" i="10"/>
  <c r="CX7" i="10"/>
  <c r="CT7" i="10"/>
  <c r="CO7" i="10"/>
  <c r="CR7" i="10" s="1"/>
  <c r="AC7" i="10" s="1"/>
  <c r="BH7" i="10"/>
  <c r="BH8" i="10" s="1"/>
  <c r="AQ7" i="10"/>
  <c r="AN7" i="10"/>
  <c r="AN8" i="10" s="1"/>
  <c r="AI7" i="10"/>
  <c r="AG7" i="10" s="1"/>
  <c r="AE7" i="10"/>
  <c r="T7" i="10"/>
  <c r="J7" i="10"/>
  <c r="I7" i="10"/>
  <c r="H7" i="10"/>
  <c r="G7" i="10"/>
  <c r="DB6" i="10"/>
  <c r="CX6" i="10"/>
  <c r="CT6" i="10"/>
  <c r="CO6" i="10"/>
  <c r="CR6" i="10" s="1"/>
  <c r="AC6" i="10" s="1"/>
  <c r="BT6" i="10"/>
  <c r="BT7" i="10" s="1"/>
  <c r="BT8" i="10" s="1"/>
  <c r="BT9" i="10" s="1"/>
  <c r="BQ6" i="10"/>
  <c r="BQ7" i="10" s="1"/>
  <c r="BN6" i="10"/>
  <c r="BN7" i="10" s="1"/>
  <c r="BN8" i="10" s="1"/>
  <c r="BN9" i="10" s="1"/>
  <c r="BL9" i="10" s="1"/>
  <c r="BM9" i="10" s="1"/>
  <c r="BK6" i="10"/>
  <c r="BK7" i="10" s="1"/>
  <c r="BH6" i="10"/>
  <c r="AV6" i="10"/>
  <c r="AN6" i="10"/>
  <c r="AL6" i="10" s="1"/>
  <c r="AI6" i="10"/>
  <c r="AG6" i="10"/>
  <c r="AA6" i="10" s="1"/>
  <c r="AE6" i="10"/>
  <c r="T6" i="10"/>
  <c r="I6" i="10"/>
  <c r="J6" i="10" s="1"/>
  <c r="H6" i="10"/>
  <c r="G6" i="10"/>
  <c r="DB5" i="10"/>
  <c r="CX5" i="10"/>
  <c r="CT5" i="10"/>
  <c r="CO5" i="10"/>
  <c r="CR5" i="10" s="1"/>
  <c r="AC5" i="10" s="1"/>
  <c r="BP5" i="10"/>
  <c r="BO5" i="10"/>
  <c r="BI5" i="10"/>
  <c r="BJ5" i="10" s="1"/>
  <c r="BE5" i="10"/>
  <c r="AV5" i="10"/>
  <c r="AL5" i="10"/>
  <c r="AM5" i="10" s="1"/>
  <c r="AK5" i="10"/>
  <c r="AH5" i="10"/>
  <c r="AG5" i="10"/>
  <c r="AA5" i="10" s="1"/>
  <c r="AE5" i="10"/>
  <c r="T5" i="10"/>
  <c r="J5" i="10"/>
  <c r="I5" i="10"/>
  <c r="H5" i="10"/>
  <c r="G5" i="10"/>
  <c r="BT3" i="10"/>
  <c r="BR17" i="10" s="1"/>
  <c r="BS17" i="10" s="1"/>
  <c r="BT2" i="10"/>
  <c r="BR10" i="10" s="1"/>
  <c r="BS10" i="10" s="1"/>
  <c r="BN2" i="10"/>
  <c r="BL11" i="10" s="1"/>
  <c r="BM11" i="10" s="1"/>
  <c r="BH2" i="10"/>
  <c r="BT1" i="10"/>
  <c r="BR6" i="10" s="1"/>
  <c r="BS6" i="10" s="1"/>
  <c r="BN1" i="10"/>
  <c r="BH1" i="10"/>
  <c r="M17" i="9" l="1"/>
  <c r="C17" i="9" s="1"/>
  <c r="L7" i="9"/>
  <c r="L8" i="9"/>
  <c r="C8" i="9" s="1"/>
  <c r="L14" i="9"/>
  <c r="M8" i="9"/>
  <c r="R73" i="25"/>
  <c r="AM41" i="1"/>
  <c r="G41" i="1"/>
  <c r="J41" i="1"/>
  <c r="K41" i="1"/>
  <c r="JU41" i="1"/>
  <c r="AA22" i="10"/>
  <c r="AH22" i="10"/>
  <c r="AH19" i="10"/>
  <c r="AA19" i="10"/>
  <c r="V267" i="8"/>
  <c r="X267" i="8" s="1"/>
  <c r="U267" i="8"/>
  <c r="N324" i="8"/>
  <c r="M324" i="8"/>
  <c r="L324" i="8"/>
  <c r="K324" i="8"/>
  <c r="O324" i="8"/>
  <c r="BK12" i="10"/>
  <c r="BI11" i="10"/>
  <c r="BJ11" i="10" s="1"/>
  <c r="BK17" i="10"/>
  <c r="BI16" i="10"/>
  <c r="BJ16" i="10" s="1"/>
  <c r="S70" i="8"/>
  <c r="T70" i="8" s="1"/>
  <c r="T69" i="8"/>
  <c r="AL8" i="10"/>
  <c r="AN9" i="10"/>
  <c r="AH9" i="10"/>
  <c r="AA9" i="10"/>
  <c r="BL16" i="10"/>
  <c r="BM16" i="10" s="1"/>
  <c r="BL19" i="10"/>
  <c r="BM19" i="10" s="1"/>
  <c r="BL15" i="10"/>
  <c r="BM15" i="10" s="1"/>
  <c r="BL17" i="10"/>
  <c r="BM17" i="10" s="1"/>
  <c r="BL18" i="10"/>
  <c r="BM18" i="10" s="1"/>
  <c r="AA23" i="10"/>
  <c r="AH23" i="10"/>
  <c r="BE7" i="10"/>
  <c r="BK8" i="10"/>
  <c r="BI7" i="10"/>
  <c r="BJ7" i="10" s="1"/>
  <c r="BH9" i="10"/>
  <c r="BE8" i="10"/>
  <c r="AH16" i="10"/>
  <c r="AA16" i="10"/>
  <c r="BF8" i="10"/>
  <c r="AA8" i="10"/>
  <c r="AH8" i="10"/>
  <c r="BQ18" i="10"/>
  <c r="BO17" i="10"/>
  <c r="BP17" i="10" s="1"/>
  <c r="BT19" i="10"/>
  <c r="BR18" i="10"/>
  <c r="BS18" i="10" s="1"/>
  <c r="V268" i="8"/>
  <c r="X268" i="8" s="1"/>
  <c r="U268" i="8"/>
  <c r="BO7" i="10"/>
  <c r="BP7" i="10" s="1"/>
  <c r="BQ8" i="10"/>
  <c r="BL7" i="10"/>
  <c r="BM7" i="10" s="1"/>
  <c r="AM6" i="10"/>
  <c r="Z6" i="10"/>
  <c r="AH12" i="10"/>
  <c r="AA12" i="10"/>
  <c r="Z17" i="10"/>
  <c r="AH21" i="10"/>
  <c r="AA21" i="10"/>
  <c r="AM13" i="10"/>
  <c r="Z13" i="10"/>
  <c r="AA7" i="10"/>
  <c r="AH7" i="10"/>
  <c r="AH13" i="10"/>
  <c r="AA13" i="10"/>
  <c r="AH14" i="10"/>
  <c r="AA14" i="10"/>
  <c r="Z18" i="10"/>
  <c r="AO9" i="2"/>
  <c r="Z18" i="2"/>
  <c r="Y25" i="2"/>
  <c r="FI11" i="1"/>
  <c r="FX11" i="1"/>
  <c r="EZ11" i="1"/>
  <c r="FF11" i="1"/>
  <c r="FU11" i="1"/>
  <c r="EW11" i="1"/>
  <c r="FR11" i="1"/>
  <c r="FC11" i="1"/>
  <c r="FO11" i="1"/>
  <c r="FL11" i="1"/>
  <c r="BF5" i="10"/>
  <c r="BR5" i="10"/>
  <c r="BS5" i="10" s="1"/>
  <c r="BL6" i="10"/>
  <c r="BM6" i="10" s="1"/>
  <c r="BF7" i="10"/>
  <c r="BR9" i="10"/>
  <c r="BS9" i="10" s="1"/>
  <c r="AH11" i="10"/>
  <c r="BG11" i="10"/>
  <c r="BH12" i="10"/>
  <c r="BR13" i="10"/>
  <c r="BS13" i="10" s="1"/>
  <c r="AM14" i="10"/>
  <c r="AM15" i="10"/>
  <c r="BI15" i="10"/>
  <c r="BJ15" i="10" s="1"/>
  <c r="Z16" i="10"/>
  <c r="BO16" i="10"/>
  <c r="BP16" i="10" s="1"/>
  <c r="AH17" i="10"/>
  <c r="K320" i="8"/>
  <c r="AN3" i="2"/>
  <c r="AJ5" i="2"/>
  <c r="G6" i="2"/>
  <c r="AC6" i="2"/>
  <c r="V7" i="2"/>
  <c r="AN7" i="2"/>
  <c r="AI8" i="2"/>
  <c r="V9" i="2"/>
  <c r="C9" i="2" s="1"/>
  <c r="AN9" i="2"/>
  <c r="G9" i="2" s="1"/>
  <c r="G11" i="2"/>
  <c r="AC11" i="2"/>
  <c r="U12" i="2"/>
  <c r="AO12" i="2"/>
  <c r="AJ18" i="2"/>
  <c r="AD20" i="2"/>
  <c r="AD21" i="2"/>
  <c r="AD23" i="2"/>
  <c r="AI25" i="2"/>
  <c r="U26" i="2"/>
  <c r="AN27" i="2"/>
  <c r="Z30" i="2"/>
  <c r="AN35" i="2"/>
  <c r="AN52" i="2"/>
  <c r="G52" i="2" s="1"/>
  <c r="KN13" i="1"/>
  <c r="JB6" i="1"/>
  <c r="JW5" i="1"/>
  <c r="JZ5" i="1" s="1"/>
  <c r="KA5" i="1" s="1"/>
  <c r="DC7" i="1"/>
  <c r="DD7" i="1" s="1"/>
  <c r="DE7" i="1" s="1"/>
  <c r="EG8" i="1"/>
  <c r="EF8" i="1"/>
  <c r="Z20" i="2"/>
  <c r="JY5" i="1"/>
  <c r="Z12" i="10"/>
  <c r="BL14" i="10"/>
  <c r="BM14" i="10" s="1"/>
  <c r="BR15" i="10"/>
  <c r="BS15" i="10" s="1"/>
  <c r="BH16" i="10"/>
  <c r="BR19" i="10"/>
  <c r="BS19" i="10" s="1"/>
  <c r="B5" i="48"/>
  <c r="S6" i="48"/>
  <c r="D6" i="48" s="1"/>
  <c r="AQ7" i="27"/>
  <c r="AI6" i="2"/>
  <c r="Y7" i="2"/>
  <c r="AO7" i="2"/>
  <c r="BA7" i="2"/>
  <c r="AJ8" i="2"/>
  <c r="Y9" i="2"/>
  <c r="U10" i="2"/>
  <c r="AD11" i="2"/>
  <c r="Z12" i="2"/>
  <c r="AO13" i="2"/>
  <c r="G13" i="2"/>
  <c r="AQ13" i="2"/>
  <c r="U14" i="2"/>
  <c r="V15" i="2"/>
  <c r="BA17" i="2"/>
  <c r="G18" i="2"/>
  <c r="V19" i="2"/>
  <c r="AI20" i="2"/>
  <c r="AJ21" i="2"/>
  <c r="V22" i="2"/>
  <c r="BA24" i="2"/>
  <c r="Y26" i="2"/>
  <c r="AC30" i="2"/>
  <c r="AD31" i="2"/>
  <c r="KV10" i="1"/>
  <c r="EA5" i="1"/>
  <c r="DZ5" i="1"/>
  <c r="M56" i="1"/>
  <c r="M57" i="1"/>
  <c r="M53" i="1"/>
  <c r="M49" i="1"/>
  <c r="M47" i="1"/>
  <c r="M45" i="1"/>
  <c r="M46" i="1"/>
  <c r="M48" i="1"/>
  <c r="M42" i="1"/>
  <c r="M44" i="1"/>
  <c r="M40" i="1"/>
  <c r="M43" i="1"/>
  <c r="M41" i="1"/>
  <c r="M34" i="1"/>
  <c r="M38" i="1"/>
  <c r="M35" i="1"/>
  <c r="M39" i="1"/>
  <c r="M36" i="1"/>
  <c r="M33" i="1"/>
  <c r="M37" i="1"/>
  <c r="M32" i="1"/>
  <c r="M31" i="1"/>
  <c r="M30" i="1"/>
  <c r="M29" i="1"/>
  <c r="M28" i="1"/>
  <c r="M26" i="1"/>
  <c r="M25" i="1"/>
  <c r="M24" i="1"/>
  <c r="M23" i="1"/>
  <c r="M22" i="1"/>
  <c r="M21" i="1"/>
  <c r="M14" i="1"/>
  <c r="M20" i="1"/>
  <c r="M13" i="1"/>
  <c r="M27" i="1" s="1"/>
  <c r="M18" i="1"/>
  <c r="M17" i="1"/>
  <c r="M15" i="1"/>
  <c r="M19" i="1"/>
  <c r="M12" i="1"/>
  <c r="M11" i="1"/>
  <c r="M10" i="1"/>
  <c r="M16" i="1"/>
  <c r="M5" i="1"/>
  <c r="M6" i="1"/>
  <c r="M9" i="1"/>
  <c r="M8" i="1"/>
  <c r="M7" i="1"/>
  <c r="GS7" i="1"/>
  <c r="GR7" i="1"/>
  <c r="C7" i="2"/>
  <c r="AJ13" i="2"/>
  <c r="AO17" i="2"/>
  <c r="AN17" i="2"/>
  <c r="G17" i="2" s="1"/>
  <c r="AO45" i="2"/>
  <c r="AH6" i="10"/>
  <c r="BR8" i="10"/>
  <c r="BS8" i="10" s="1"/>
  <c r="AH24" i="10"/>
  <c r="G319" i="8"/>
  <c r="AF319" i="8"/>
  <c r="M320" i="8"/>
  <c r="AG320" i="8" s="1"/>
  <c r="U5" i="2"/>
  <c r="AO5" i="2"/>
  <c r="G5" i="2"/>
  <c r="AJ6" i="2"/>
  <c r="Z7" i="2"/>
  <c r="AQ7" i="2"/>
  <c r="AC9" i="2"/>
  <c r="V10" i="2"/>
  <c r="AC12" i="2"/>
  <c r="U13" i="2"/>
  <c r="AN13" i="2"/>
  <c r="V14" i="2"/>
  <c r="AO14" i="2"/>
  <c r="G14" i="2" s="1"/>
  <c r="Y15" i="2"/>
  <c r="AO15" i="2"/>
  <c r="AO16" i="2"/>
  <c r="U17" i="2"/>
  <c r="Z19" i="2"/>
  <c r="AJ20" i="2"/>
  <c r="Y22" i="2"/>
  <c r="AN23" i="2"/>
  <c r="AQ25" i="2"/>
  <c r="AO25" i="2"/>
  <c r="G25" i="2"/>
  <c r="Z26" i="2"/>
  <c r="BV49" i="1"/>
  <c r="BV44" i="1"/>
  <c r="O44" i="1"/>
  <c r="O46" i="1"/>
  <c r="BV48" i="1"/>
  <c r="O48" i="1"/>
  <c r="BV47" i="1"/>
  <c r="O47" i="1"/>
  <c r="BV45" i="1"/>
  <c r="O49" i="1"/>
  <c r="O43" i="1"/>
  <c r="BV43" i="1"/>
  <c r="O41" i="1"/>
  <c r="O45" i="1"/>
  <c r="BV42" i="1"/>
  <c r="O42" i="1"/>
  <c r="O38" i="1"/>
  <c r="O35" i="1"/>
  <c r="O40" i="1"/>
  <c r="O39" i="1"/>
  <c r="O36" i="1"/>
  <c r="O37" i="1"/>
  <c r="BV30" i="1"/>
  <c r="BV29" i="1"/>
  <c r="O32" i="1"/>
  <c r="O31" i="1"/>
  <c r="O34" i="1"/>
  <c r="O33" i="1"/>
  <c r="O30" i="1"/>
  <c r="O26" i="1"/>
  <c r="O28" i="1"/>
  <c r="O29" i="1"/>
  <c r="O23" i="1"/>
  <c r="O22" i="1"/>
  <c r="O21" i="1"/>
  <c r="BV25" i="1"/>
  <c r="BV24" i="1"/>
  <c r="BV23" i="1"/>
  <c r="O25" i="1"/>
  <c r="O24" i="1"/>
  <c r="O20" i="1"/>
  <c r="BV15" i="1"/>
  <c r="O19" i="1"/>
  <c r="BV14" i="1"/>
  <c r="O17" i="1"/>
  <c r="BV13" i="1"/>
  <c r="BV19" i="1"/>
  <c r="O12" i="1"/>
  <c r="O18" i="1"/>
  <c r="O14" i="1"/>
  <c r="O13" i="1"/>
  <c r="O27" i="1" s="1"/>
  <c r="O10" i="1"/>
  <c r="O16" i="1"/>
  <c r="BV12" i="1"/>
  <c r="O15" i="1"/>
  <c r="BV11" i="1"/>
  <c r="O5" i="1"/>
  <c r="BV7" i="1"/>
  <c r="O6" i="1"/>
  <c r="O9" i="1"/>
  <c r="O8" i="1"/>
  <c r="BV6" i="1"/>
  <c r="O7" i="1"/>
  <c r="O11" i="1"/>
  <c r="BV8" i="1"/>
  <c r="BV5" i="1"/>
  <c r="EA6" i="1"/>
  <c r="DZ6" i="1"/>
  <c r="AJ10" i="2"/>
  <c r="AJ16" i="2"/>
  <c r="FX9" i="1"/>
  <c r="EZ9" i="1"/>
  <c r="FL9" i="1"/>
  <c r="FI9" i="1"/>
  <c r="FR9" i="1"/>
  <c r="EW9" i="1"/>
  <c r="FF9" i="1"/>
  <c r="FO9" i="1"/>
  <c r="FC9" i="1"/>
  <c r="FU9" i="1"/>
  <c r="BE6" i="10"/>
  <c r="Z11" i="10"/>
  <c r="AH18" i="10"/>
  <c r="BO6" i="10"/>
  <c r="BP6" i="10" s="1"/>
  <c r="AL7" i="10"/>
  <c r="AH10" i="10"/>
  <c r="BR11" i="10"/>
  <c r="BS11" i="10" s="1"/>
  <c r="BR16" i="10"/>
  <c r="BS16" i="10" s="1"/>
  <c r="AM17" i="10"/>
  <c r="E59" i="25"/>
  <c r="E84" i="25"/>
  <c r="E76" i="25"/>
  <c r="I80" i="25"/>
  <c r="G88" i="25"/>
  <c r="G80" i="25"/>
  <c r="I83" i="25"/>
  <c r="G81" i="25"/>
  <c r="I75" i="25"/>
  <c r="K59" i="25"/>
  <c r="G52" i="25"/>
  <c r="G83" i="25"/>
  <c r="E81" i="25"/>
  <c r="G75" i="25"/>
  <c r="I59" i="25"/>
  <c r="G57" i="25"/>
  <c r="I55" i="25"/>
  <c r="I53" i="25"/>
  <c r="E52" i="25"/>
  <c r="E49" i="25"/>
  <c r="I46" i="25"/>
  <c r="E44" i="25"/>
  <c r="G59" i="25"/>
  <c r="E57" i="25"/>
  <c r="K47" i="25"/>
  <c r="K40" i="25"/>
  <c r="K39" i="25"/>
  <c r="K84" i="25"/>
  <c r="I82" i="25"/>
  <c r="K76" i="25"/>
  <c r="I74" i="25"/>
  <c r="E53" i="25"/>
  <c r="G50" i="25"/>
  <c r="I47" i="25"/>
  <c r="E46" i="25"/>
  <c r="K41" i="25"/>
  <c r="I40" i="25"/>
  <c r="I39" i="25"/>
  <c r="K88" i="25"/>
  <c r="G86" i="25"/>
  <c r="I84" i="25"/>
  <c r="K80" i="25"/>
  <c r="I76" i="25"/>
  <c r="K51" i="25"/>
  <c r="E47" i="25"/>
  <c r="K42" i="25"/>
  <c r="G40" i="25"/>
  <c r="G39" i="25"/>
  <c r="E88" i="25"/>
  <c r="E82" i="25"/>
  <c r="E80" i="25"/>
  <c r="E74" i="25"/>
  <c r="G58" i="25"/>
  <c r="K56" i="25"/>
  <c r="G54" i="25"/>
  <c r="I51" i="25"/>
  <c r="K48" i="25"/>
  <c r="K43" i="25"/>
  <c r="I42" i="25"/>
  <c r="G41" i="25"/>
  <c r="E40" i="25"/>
  <c r="E39" i="25"/>
  <c r="G62" i="25"/>
  <c r="E56" i="25"/>
  <c r="K52" i="25"/>
  <c r="G51" i="25"/>
  <c r="K44" i="25"/>
  <c r="G42" i="25"/>
  <c r="K85" i="25"/>
  <c r="K83" i="25"/>
  <c r="K77" i="25"/>
  <c r="K75" i="25"/>
  <c r="I52" i="25"/>
  <c r="E51" i="25"/>
  <c r="K45" i="25"/>
  <c r="I44" i="25"/>
  <c r="G43" i="25"/>
  <c r="E42" i="25"/>
  <c r="Y5" i="48"/>
  <c r="T5" i="48" s="1"/>
  <c r="W5" i="48" s="1"/>
  <c r="F5" i="48" s="1"/>
  <c r="V6" i="48"/>
  <c r="T6" i="48" s="1"/>
  <c r="W6" i="48" s="1"/>
  <c r="F6" i="48" s="1"/>
  <c r="S7" i="48"/>
  <c r="AN2" i="2"/>
  <c r="AC54" i="2"/>
  <c r="Z53" i="2"/>
  <c r="Y52" i="2"/>
  <c r="V51" i="2"/>
  <c r="U50" i="2"/>
  <c r="AJ49" i="2"/>
  <c r="AI48" i="2"/>
  <c r="AD47" i="2"/>
  <c r="AC46" i="2"/>
  <c r="Z45" i="2"/>
  <c r="AN44" i="2"/>
  <c r="V44" i="2"/>
  <c r="U43" i="2"/>
  <c r="AJ42" i="2"/>
  <c r="AD41" i="2"/>
  <c r="AC40" i="2"/>
  <c r="AO39" i="2"/>
  <c r="Y39" i="2"/>
  <c r="U38" i="2"/>
  <c r="AJ37" i="2"/>
  <c r="AI36" i="2"/>
  <c r="AD35" i="2"/>
  <c r="Z34" i="2"/>
  <c r="Y33" i="2"/>
  <c r="V32" i="2"/>
  <c r="U31" i="2"/>
  <c r="AI30" i="2"/>
  <c r="AC29" i="2"/>
  <c r="Y28" i="2"/>
  <c r="U27" i="2"/>
  <c r="AI26" i="2"/>
  <c r="AC25" i="2"/>
  <c r="E25" i="2" s="1"/>
  <c r="AN24" i="2"/>
  <c r="V24" i="2"/>
  <c r="AJ23" i="2"/>
  <c r="AD22" i="2"/>
  <c r="Z21" i="2"/>
  <c r="V20" i="2"/>
  <c r="AJ19" i="2"/>
  <c r="AD18" i="2"/>
  <c r="Z17" i="2"/>
  <c r="V16" i="2"/>
  <c r="AJ15" i="2"/>
  <c r="AD14" i="2"/>
  <c r="E14" i="2" s="1"/>
  <c r="Z13" i="2"/>
  <c r="V12" i="2"/>
  <c r="AJ11" i="2"/>
  <c r="AD10" i="2"/>
  <c r="Z9" i="2"/>
  <c r="V8" i="2"/>
  <c r="AJ7" i="2"/>
  <c r="AD6" i="2"/>
  <c r="Z5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Z54" i="2"/>
  <c r="Y53" i="2"/>
  <c r="V52" i="2"/>
  <c r="U51" i="2"/>
  <c r="AJ50" i="2"/>
  <c r="AI49" i="2"/>
  <c r="F49" i="2" s="1"/>
  <c r="AD48" i="2"/>
  <c r="AC47" i="2"/>
  <c r="Z46" i="2"/>
  <c r="Y45" i="2"/>
  <c r="U44" i="2"/>
  <c r="AJ43" i="2"/>
  <c r="AI42" i="2"/>
  <c r="F42" i="2" s="1"/>
  <c r="AC41" i="2"/>
  <c r="E41" i="2" s="1"/>
  <c r="Z40" i="2"/>
  <c r="AN39" i="2"/>
  <c r="G39" i="2" s="1"/>
  <c r="V39" i="2"/>
  <c r="AJ38" i="2"/>
  <c r="AI37" i="2"/>
  <c r="AD36" i="2"/>
  <c r="AC35" i="2"/>
  <c r="E35" i="2" s="1"/>
  <c r="AO34" i="2"/>
  <c r="Y34" i="2"/>
  <c r="V33" i="2"/>
  <c r="U32" i="2"/>
  <c r="AJ31" i="2"/>
  <c r="AD30" i="2"/>
  <c r="Z29" i="2"/>
  <c r="V28" i="2"/>
  <c r="AJ27" i="2"/>
  <c r="AD26" i="2"/>
  <c r="Z25" i="2"/>
  <c r="U24" i="2"/>
  <c r="AI23" i="2"/>
  <c r="AC22" i="2"/>
  <c r="E22" i="2" s="1"/>
  <c r="Y21" i="2"/>
  <c r="D21" i="2" s="1"/>
  <c r="U20" i="2"/>
  <c r="AI19" i="2"/>
  <c r="F19" i="2" s="1"/>
  <c r="AC18" i="2"/>
  <c r="Y17" i="2"/>
  <c r="D17" i="2" s="1"/>
  <c r="AC103" i="2"/>
  <c r="AC102" i="2"/>
  <c r="E102" i="2" s="1"/>
  <c r="AC101" i="2"/>
  <c r="AC100" i="2"/>
  <c r="E100" i="2" s="1"/>
  <c r="AC99" i="2"/>
  <c r="E99" i="2" s="1"/>
  <c r="AC98" i="2"/>
  <c r="E98" i="2" s="1"/>
  <c r="AC97" i="2"/>
  <c r="E97" i="2" s="1"/>
  <c r="AC96" i="2"/>
  <c r="E96" i="2" s="1"/>
  <c r="AC95" i="2"/>
  <c r="AC94" i="2"/>
  <c r="E94" i="2" s="1"/>
  <c r="AC93" i="2"/>
  <c r="AC92" i="2"/>
  <c r="E92" i="2" s="1"/>
  <c r="AC91" i="2"/>
  <c r="E91" i="2" s="1"/>
  <c r="AC90" i="2"/>
  <c r="E90" i="2" s="1"/>
  <c r="AC89" i="2"/>
  <c r="E89" i="2" s="1"/>
  <c r="AC88" i="2"/>
  <c r="E88" i="2" s="1"/>
  <c r="AC87" i="2"/>
  <c r="AC86" i="2"/>
  <c r="E86" i="2" s="1"/>
  <c r="AC85" i="2"/>
  <c r="AC84" i="2"/>
  <c r="E84" i="2" s="1"/>
  <c r="AC83" i="2"/>
  <c r="E83" i="2" s="1"/>
  <c r="AC82" i="2"/>
  <c r="E82" i="2" s="1"/>
  <c r="AC81" i="2"/>
  <c r="E81" i="2" s="1"/>
  <c r="AC80" i="2"/>
  <c r="E80" i="2" s="1"/>
  <c r="AC79" i="2"/>
  <c r="AC78" i="2"/>
  <c r="E78" i="2" s="1"/>
  <c r="AC77" i="2"/>
  <c r="AC76" i="2"/>
  <c r="E76" i="2" s="1"/>
  <c r="AC75" i="2"/>
  <c r="E75" i="2" s="1"/>
  <c r="AC74" i="2"/>
  <c r="E74" i="2" s="1"/>
  <c r="AC73" i="2"/>
  <c r="E73" i="2" s="1"/>
  <c r="AC72" i="2"/>
  <c r="E72" i="2" s="1"/>
  <c r="AC71" i="2"/>
  <c r="AC70" i="2"/>
  <c r="E70" i="2" s="1"/>
  <c r="AC69" i="2"/>
  <c r="AC68" i="2"/>
  <c r="E68" i="2" s="1"/>
  <c r="AC67" i="2"/>
  <c r="E67" i="2" s="1"/>
  <c r="AC66" i="2"/>
  <c r="E66" i="2" s="1"/>
  <c r="AC65" i="2"/>
  <c r="E65" i="2" s="1"/>
  <c r="AC64" i="2"/>
  <c r="E64" i="2" s="1"/>
  <c r="AC63" i="2"/>
  <c r="AC62" i="2"/>
  <c r="E62" i="2" s="1"/>
  <c r="AC61" i="2"/>
  <c r="AC60" i="2"/>
  <c r="E60" i="2" s="1"/>
  <c r="AC59" i="2"/>
  <c r="E59" i="2" s="1"/>
  <c r="AC58" i="2"/>
  <c r="E58" i="2" s="1"/>
  <c r="AC57" i="2"/>
  <c r="E57" i="2" s="1"/>
  <c r="AC56" i="2"/>
  <c r="E56" i="2" s="1"/>
  <c r="AC55" i="2"/>
  <c r="AO54" i="2"/>
  <c r="Y54" i="2"/>
  <c r="V53" i="2"/>
  <c r="U52" i="2"/>
  <c r="C52" i="2" s="1"/>
  <c r="AJ51" i="2"/>
  <c r="AI50" i="2"/>
  <c r="AD49" i="2"/>
  <c r="AC48" i="2"/>
  <c r="AO47" i="2"/>
  <c r="Z47" i="2"/>
  <c r="Y46" i="2"/>
  <c r="V45" i="2"/>
  <c r="AJ44" i="2"/>
  <c r="AI43" i="2"/>
  <c r="AD42" i="2"/>
  <c r="Z41" i="2"/>
  <c r="Y40" i="2"/>
  <c r="D40" i="2" s="1"/>
  <c r="U39" i="2"/>
  <c r="AI38" i="2"/>
  <c r="AD37" i="2"/>
  <c r="AC36" i="2"/>
  <c r="E36" i="2" s="1"/>
  <c r="AO35" i="2"/>
  <c r="Z35" i="2"/>
  <c r="AN34" i="2"/>
  <c r="V34" i="2"/>
  <c r="U33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AN54" i="2"/>
  <c r="G54" i="2" s="1"/>
  <c r="V54" i="2"/>
  <c r="U53" i="2"/>
  <c r="AJ52" i="2"/>
  <c r="AI51" i="2"/>
  <c r="AD50" i="2"/>
  <c r="AC49" i="2"/>
  <c r="E49" i="2" s="1"/>
  <c r="AO48" i="2"/>
  <c r="Z48" i="2"/>
  <c r="AN47" i="2"/>
  <c r="Y47" i="2"/>
  <c r="V46" i="2"/>
  <c r="U45" i="2"/>
  <c r="AI44" i="2"/>
  <c r="AD43" i="2"/>
  <c r="AC42" i="2"/>
  <c r="E42" i="2" s="1"/>
  <c r="AO41" i="2"/>
  <c r="Y41" i="2"/>
  <c r="D41" i="2" s="1"/>
  <c r="V40" i="2"/>
  <c r="AJ39" i="2"/>
  <c r="AD38" i="2"/>
  <c r="AQ37" i="2"/>
  <c r="AC37" i="2"/>
  <c r="E37" i="2" s="1"/>
  <c r="AO36" i="2"/>
  <c r="Z36" i="2"/>
  <c r="Y103" i="2"/>
  <c r="Y102" i="2"/>
  <c r="D102" i="2" s="1"/>
  <c r="Y101" i="2"/>
  <c r="D101" i="2" s="1"/>
  <c r="Y100" i="2"/>
  <c r="D100" i="2" s="1"/>
  <c r="Y99" i="2"/>
  <c r="D99" i="2" s="1"/>
  <c r="Y98" i="2"/>
  <c r="D98" i="2" s="1"/>
  <c r="Y97" i="2"/>
  <c r="Y96" i="2"/>
  <c r="Y95" i="2"/>
  <c r="Y94" i="2"/>
  <c r="D94" i="2" s="1"/>
  <c r="Y93" i="2"/>
  <c r="D93" i="2" s="1"/>
  <c r="Y92" i="2"/>
  <c r="D92" i="2" s="1"/>
  <c r="Y91" i="2"/>
  <c r="D91" i="2" s="1"/>
  <c r="Y90" i="2"/>
  <c r="D90" i="2" s="1"/>
  <c r="Y89" i="2"/>
  <c r="Y88" i="2"/>
  <c r="Y87" i="2"/>
  <c r="Y86" i="2"/>
  <c r="D86" i="2" s="1"/>
  <c r="Y85" i="2"/>
  <c r="D85" i="2" s="1"/>
  <c r="Y84" i="2"/>
  <c r="D84" i="2" s="1"/>
  <c r="Y83" i="2"/>
  <c r="D83" i="2" s="1"/>
  <c r="Y82" i="2"/>
  <c r="D82" i="2" s="1"/>
  <c r="Y81" i="2"/>
  <c r="Y80" i="2"/>
  <c r="Y79" i="2"/>
  <c r="Y78" i="2"/>
  <c r="D78" i="2" s="1"/>
  <c r="Y77" i="2"/>
  <c r="D77" i="2" s="1"/>
  <c r="Y76" i="2"/>
  <c r="D76" i="2" s="1"/>
  <c r="Y75" i="2"/>
  <c r="D75" i="2" s="1"/>
  <c r="Y74" i="2"/>
  <c r="D74" i="2" s="1"/>
  <c r="Y73" i="2"/>
  <c r="Y72" i="2"/>
  <c r="Y71" i="2"/>
  <c r="Y70" i="2"/>
  <c r="D70" i="2" s="1"/>
  <c r="Y69" i="2"/>
  <c r="D69" i="2" s="1"/>
  <c r="Y68" i="2"/>
  <c r="D68" i="2" s="1"/>
  <c r="Y67" i="2"/>
  <c r="D67" i="2" s="1"/>
  <c r="Y66" i="2"/>
  <c r="D66" i="2" s="1"/>
  <c r="Y65" i="2"/>
  <c r="Y64" i="2"/>
  <c r="Y63" i="2"/>
  <c r="Y62" i="2"/>
  <c r="D62" i="2" s="1"/>
  <c r="Y61" i="2"/>
  <c r="D61" i="2" s="1"/>
  <c r="Y60" i="2"/>
  <c r="D60" i="2" s="1"/>
  <c r="Y59" i="2"/>
  <c r="D59" i="2" s="1"/>
  <c r="Y58" i="2"/>
  <c r="D58" i="2" s="1"/>
  <c r="Y57" i="2"/>
  <c r="Y56" i="2"/>
  <c r="Y55" i="2"/>
  <c r="U54" i="2"/>
  <c r="C54" i="2" s="1"/>
  <c r="AJ53" i="2"/>
  <c r="AI52" i="2"/>
  <c r="F52" i="2" s="1"/>
  <c r="AD51" i="2"/>
  <c r="AC50" i="2"/>
  <c r="Z49" i="2"/>
  <c r="AN48" i="2"/>
  <c r="Y48" i="2"/>
  <c r="D48" i="2" s="1"/>
  <c r="V47" i="2"/>
  <c r="U46" i="2"/>
  <c r="AJ45" i="2"/>
  <c r="AD44" i="2"/>
  <c r="AC43" i="2"/>
  <c r="Z42" i="2"/>
  <c r="AN41" i="2"/>
  <c r="V41" i="2"/>
  <c r="U40" i="2"/>
  <c r="C40" i="2" s="1"/>
  <c r="AI39" i="2"/>
  <c r="AC38" i="2"/>
  <c r="E38" i="2" s="1"/>
  <c r="Z37" i="2"/>
  <c r="AN36" i="2"/>
  <c r="Y36" i="2"/>
  <c r="D36" i="2" s="1"/>
  <c r="V35" i="2"/>
  <c r="AJ34" i="2"/>
  <c r="AI33" i="2"/>
  <c r="AD32" i="2"/>
  <c r="AC31" i="2"/>
  <c r="E31" i="2" s="1"/>
  <c r="AN30" i="2"/>
  <c r="Y30" i="2"/>
  <c r="D30" i="2" s="1"/>
  <c r="U29" i="2"/>
  <c r="AI28" i="2"/>
  <c r="AC27" i="2"/>
  <c r="AN26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AJ54" i="2"/>
  <c r="AI53" i="2"/>
  <c r="AD52" i="2"/>
  <c r="AC51" i="2"/>
  <c r="E51" i="2" s="1"/>
  <c r="AO50" i="2"/>
  <c r="Z50" i="2"/>
  <c r="Y49" i="2"/>
  <c r="D49" i="2" s="1"/>
  <c r="V48" i="2"/>
  <c r="U47" i="2"/>
  <c r="AJ46" i="2"/>
  <c r="AI45" i="2"/>
  <c r="AC44" i="2"/>
  <c r="E44" i="2" s="1"/>
  <c r="AO43" i="2"/>
  <c r="Z43" i="2"/>
  <c r="Y42" i="2"/>
  <c r="D42" i="2" s="1"/>
  <c r="U41" i="2"/>
  <c r="AJ40" i="2"/>
  <c r="AD39" i="2"/>
  <c r="Z38" i="2"/>
  <c r="Y37" i="2"/>
  <c r="D37" i="2" s="1"/>
  <c r="V36" i="2"/>
  <c r="U35" i="2"/>
  <c r="C35" i="2" s="1"/>
  <c r="AI34" i="2"/>
  <c r="F34" i="2" s="1"/>
  <c r="AD33" i="2"/>
  <c r="AC32" i="2"/>
  <c r="E32" i="2" s="1"/>
  <c r="AO31" i="2"/>
  <c r="Z31" i="2"/>
  <c r="V30" i="2"/>
  <c r="AJ29" i="2"/>
  <c r="AD28" i="2"/>
  <c r="AO27" i="2"/>
  <c r="Z27" i="2"/>
  <c r="V26" i="2"/>
  <c r="AJ25" i="2"/>
  <c r="AC24" i="2"/>
  <c r="E24" i="2" s="1"/>
  <c r="Y23" i="2"/>
  <c r="AL22" i="2"/>
  <c r="U22" i="2"/>
  <c r="C22" i="2" s="1"/>
  <c r="AI21" i="2"/>
  <c r="AC20" i="2"/>
  <c r="Y19" i="2"/>
  <c r="D19" i="2" s="1"/>
  <c r="U18" i="2"/>
  <c r="AI17" i="2"/>
  <c r="F17" i="2" s="1"/>
  <c r="AC16" i="2"/>
  <c r="U103" i="2"/>
  <c r="C103" i="2" s="1"/>
  <c r="U102" i="2"/>
  <c r="C102" i="2" s="1"/>
  <c r="U101" i="2"/>
  <c r="C101" i="2" s="1"/>
  <c r="U100" i="2"/>
  <c r="U99" i="2"/>
  <c r="U98" i="2"/>
  <c r="U97" i="2"/>
  <c r="C97" i="2" s="1"/>
  <c r="U96" i="2"/>
  <c r="U95" i="2"/>
  <c r="C95" i="2" s="1"/>
  <c r="U94" i="2"/>
  <c r="C94" i="2" s="1"/>
  <c r="U93" i="2"/>
  <c r="C93" i="2" s="1"/>
  <c r="U92" i="2"/>
  <c r="U91" i="2"/>
  <c r="U90" i="2"/>
  <c r="U89" i="2"/>
  <c r="C89" i="2" s="1"/>
  <c r="U88" i="2"/>
  <c r="U87" i="2"/>
  <c r="C87" i="2" s="1"/>
  <c r="U86" i="2"/>
  <c r="C86" i="2" s="1"/>
  <c r="U85" i="2"/>
  <c r="C85" i="2" s="1"/>
  <c r="U84" i="2"/>
  <c r="U83" i="2"/>
  <c r="U82" i="2"/>
  <c r="U81" i="2"/>
  <c r="C81" i="2" s="1"/>
  <c r="U80" i="2"/>
  <c r="U79" i="2"/>
  <c r="C79" i="2" s="1"/>
  <c r="U78" i="2"/>
  <c r="C78" i="2" s="1"/>
  <c r="U77" i="2"/>
  <c r="C77" i="2" s="1"/>
  <c r="U76" i="2"/>
  <c r="U75" i="2"/>
  <c r="U74" i="2"/>
  <c r="U73" i="2"/>
  <c r="C73" i="2" s="1"/>
  <c r="U72" i="2"/>
  <c r="U71" i="2"/>
  <c r="C71" i="2" s="1"/>
  <c r="U70" i="2"/>
  <c r="C70" i="2" s="1"/>
  <c r="U69" i="2"/>
  <c r="C69" i="2" s="1"/>
  <c r="U68" i="2"/>
  <c r="U67" i="2"/>
  <c r="U66" i="2"/>
  <c r="U65" i="2"/>
  <c r="C65" i="2" s="1"/>
  <c r="U64" i="2"/>
  <c r="U63" i="2"/>
  <c r="C63" i="2" s="1"/>
  <c r="U62" i="2"/>
  <c r="C62" i="2" s="1"/>
  <c r="U61" i="2"/>
  <c r="C61" i="2" s="1"/>
  <c r="U60" i="2"/>
  <c r="U59" i="2"/>
  <c r="U58" i="2"/>
  <c r="U57" i="2"/>
  <c r="C57" i="2" s="1"/>
  <c r="U56" i="2"/>
  <c r="U55" i="2"/>
  <c r="C55" i="2" s="1"/>
  <c r="AI54" i="2"/>
  <c r="F54" i="2" s="1"/>
  <c r="AD53" i="2"/>
  <c r="AC52" i="2"/>
  <c r="E52" i="2" s="1"/>
  <c r="AO51" i="2"/>
  <c r="Z51" i="2"/>
  <c r="AN50" i="2"/>
  <c r="Y50" i="2"/>
  <c r="D50" i="2" s="1"/>
  <c r="V49" i="2"/>
  <c r="U48" i="2"/>
  <c r="AJ47" i="2"/>
  <c r="AI46" i="2"/>
  <c r="AD45" i="2"/>
  <c r="Z44" i="2"/>
  <c r="AN43" i="2"/>
  <c r="Y43" i="2"/>
  <c r="V42" i="2"/>
  <c r="AJ41" i="2"/>
  <c r="AI40" i="2"/>
  <c r="AC39" i="2"/>
  <c r="E39" i="2" s="1"/>
  <c r="AO38" i="2"/>
  <c r="Y38" i="2"/>
  <c r="V37" i="2"/>
  <c r="U36" i="2"/>
  <c r="C36" i="2" s="1"/>
  <c r="AJ35" i="2"/>
  <c r="AD34" i="2"/>
  <c r="AC33" i="2"/>
  <c r="E33" i="2" s="1"/>
  <c r="AO32" i="2"/>
  <c r="Z32" i="2"/>
  <c r="AN31" i="2"/>
  <c r="Y31" i="2"/>
  <c r="D31" i="2" s="1"/>
  <c r="U30" i="2"/>
  <c r="C30" i="2" s="1"/>
  <c r="AI29" i="2"/>
  <c r="AC28" i="2"/>
  <c r="AD54" i="2"/>
  <c r="AC53" i="2"/>
  <c r="E53" i="2" s="1"/>
  <c r="Z52" i="2"/>
  <c r="AN51" i="2"/>
  <c r="Y51" i="2"/>
  <c r="D51" i="2" s="1"/>
  <c r="V50" i="2"/>
  <c r="U49" i="2"/>
  <c r="AJ48" i="2"/>
  <c r="AI47" i="2"/>
  <c r="F47" i="2" s="1"/>
  <c r="AD46" i="2"/>
  <c r="AC45" i="2"/>
  <c r="AO44" i="2"/>
  <c r="Y44" i="2"/>
  <c r="D44" i="2" s="1"/>
  <c r="V43" i="2"/>
  <c r="U42" i="2"/>
  <c r="AI41" i="2"/>
  <c r="AD40" i="2"/>
  <c r="Z39" i="2"/>
  <c r="AN38" i="2"/>
  <c r="V38" i="2"/>
  <c r="U37" i="2"/>
  <c r="AJ36" i="2"/>
  <c r="AI35" i="2"/>
  <c r="AC34" i="2"/>
  <c r="E34" i="2" s="1"/>
  <c r="Z33" i="2"/>
  <c r="AN32" i="2"/>
  <c r="G32" i="2" s="1"/>
  <c r="Y32" i="2"/>
  <c r="V31" i="2"/>
  <c r="AJ30" i="2"/>
  <c r="AD29" i="2"/>
  <c r="Z28" i="2"/>
  <c r="V27" i="2"/>
  <c r="AJ26" i="2"/>
  <c r="AD25" i="2"/>
  <c r="AO24" i="2"/>
  <c r="Y24" i="2"/>
  <c r="U23" i="2"/>
  <c r="AI22" i="2"/>
  <c r="AC21" i="2"/>
  <c r="E21" i="2" s="1"/>
  <c r="AN20" i="2"/>
  <c r="Y20" i="2"/>
  <c r="D20" i="2" s="1"/>
  <c r="U19" i="2"/>
  <c r="C19" i="2" s="1"/>
  <c r="AI18" i="2"/>
  <c r="AC17" i="2"/>
  <c r="AN16" i="2"/>
  <c r="Y16" i="2"/>
  <c r="D16" i="2" s="1"/>
  <c r="U15" i="2"/>
  <c r="C15" i="2" s="1"/>
  <c r="AI14" i="2"/>
  <c r="AC13" i="2"/>
  <c r="E13" i="2" s="1"/>
  <c r="AN12" i="2"/>
  <c r="G12" i="2" s="1"/>
  <c r="Y12" i="2"/>
  <c r="D12" i="2" s="1"/>
  <c r="V5" i="2"/>
  <c r="AN5" i="2"/>
  <c r="G7" i="2"/>
  <c r="AC7" i="2"/>
  <c r="U8" i="2"/>
  <c r="C8" i="2" s="1"/>
  <c r="AD9" i="2"/>
  <c r="BA9" i="2"/>
  <c r="AL14" i="2" s="1"/>
  <c r="Y10" i="2"/>
  <c r="AO10" i="2"/>
  <c r="BA10" i="2"/>
  <c r="AL49" i="2" s="1"/>
  <c r="AD12" i="2"/>
  <c r="V13" i="2"/>
  <c r="Y14" i="2"/>
  <c r="D14" i="2" s="1"/>
  <c r="AQ14" i="2"/>
  <c r="Z15" i="2"/>
  <c r="U16" i="2"/>
  <c r="C16" i="2" s="1"/>
  <c r="V17" i="2"/>
  <c r="AN18" i="2"/>
  <c r="BA18" i="2"/>
  <c r="AC19" i="2"/>
  <c r="AO21" i="2"/>
  <c r="G21" i="2"/>
  <c r="AN21" i="2"/>
  <c r="AQ21" i="2"/>
  <c r="Z22" i="2"/>
  <c r="AO23" i="2"/>
  <c r="BA23" i="2"/>
  <c r="Z24" i="2"/>
  <c r="AN25" i="2"/>
  <c r="AC26" i="2"/>
  <c r="V29" i="2"/>
  <c r="AO37" i="2"/>
  <c r="FC5" i="1"/>
  <c r="FR5" i="1"/>
  <c r="FI5" i="1"/>
  <c r="FX5" i="1"/>
  <c r="EZ5" i="1"/>
  <c r="FO5" i="1"/>
  <c r="FF5" i="1"/>
  <c r="FU5" i="1"/>
  <c r="EW5" i="1"/>
  <c r="FL5" i="1"/>
  <c r="FO6" i="1"/>
  <c r="FF6" i="1"/>
  <c r="FU6" i="1"/>
  <c r="EW6" i="1"/>
  <c r="FL6" i="1"/>
  <c r="FC6" i="1"/>
  <c r="FR6" i="1"/>
  <c r="FI6" i="1"/>
  <c r="FX6" i="1"/>
  <c r="EZ6" i="1"/>
  <c r="AD26" i="1"/>
  <c r="AD27" i="1"/>
  <c r="AD28" i="1" s="1"/>
  <c r="EA7" i="1"/>
  <c r="DZ7" i="1"/>
  <c r="GR8" i="1"/>
  <c r="GS8" i="1"/>
  <c r="FR12" i="1"/>
  <c r="FF12" i="1"/>
  <c r="FI12" i="1"/>
  <c r="EW12" i="1"/>
  <c r="FO12" i="1"/>
  <c r="FL12" i="1"/>
  <c r="FU12" i="1"/>
  <c r="EZ12" i="1"/>
  <c r="FC12" i="1"/>
  <c r="FX12" i="1"/>
  <c r="AC23" i="2"/>
  <c r="E23" i="2" s="1"/>
  <c r="BF6" i="10"/>
  <c r="BR12" i="10"/>
  <c r="BS12" i="10" s="1"/>
  <c r="BL13" i="10"/>
  <c r="BM13" i="10" s="1"/>
  <c r="BH3" i="10"/>
  <c r="Z5" i="10"/>
  <c r="BL5" i="10"/>
  <c r="BM5" i="10" s="1"/>
  <c r="BR7" i="10"/>
  <c r="BS7" i="10" s="1"/>
  <c r="BL8" i="10"/>
  <c r="BM8" i="10" s="1"/>
  <c r="BF9" i="10"/>
  <c r="BI10" i="10"/>
  <c r="BL12" i="10"/>
  <c r="BM12" i="10" s="1"/>
  <c r="B6" i="48"/>
  <c r="T7" i="48"/>
  <c r="W7" i="48" s="1"/>
  <c r="F7" i="48" s="1"/>
  <c r="Q6" i="22"/>
  <c r="AN1" i="2"/>
  <c r="AP2" i="2"/>
  <c r="Y5" i="2"/>
  <c r="D5" i="2" s="1"/>
  <c r="AQ5" i="2"/>
  <c r="U6" i="2"/>
  <c r="AD7" i="2"/>
  <c r="Y8" i="2"/>
  <c r="D8" i="2" s="1"/>
  <c r="AN8" i="2"/>
  <c r="AI9" i="2"/>
  <c r="F9" i="2" s="1"/>
  <c r="Z10" i="2"/>
  <c r="U11" i="2"/>
  <c r="AI12" i="2"/>
  <c r="Y13" i="2"/>
  <c r="D13" i="2" s="1"/>
  <c r="Z14" i="2"/>
  <c r="AC15" i="2"/>
  <c r="Z16" i="2"/>
  <c r="AD17" i="2"/>
  <c r="AO18" i="2"/>
  <c r="AD19" i="2"/>
  <c r="AJ22" i="2"/>
  <c r="AQ23" i="2"/>
  <c r="AD24" i="2"/>
  <c r="Y27" i="2"/>
  <c r="D27" i="2" s="1"/>
  <c r="U28" i="2"/>
  <c r="C28" i="2" s="1"/>
  <c r="Y29" i="2"/>
  <c r="D29" i="2" s="1"/>
  <c r="AO30" i="2"/>
  <c r="AI32" i="2"/>
  <c r="AO49" i="2"/>
  <c r="IX6" i="1"/>
  <c r="GP6" i="1"/>
  <c r="GO6" i="1"/>
  <c r="AE27" i="1"/>
  <c r="AE28" i="1" s="1"/>
  <c r="AE26" i="1"/>
  <c r="GY9" i="1"/>
  <c r="GX9" i="1"/>
  <c r="Z11" i="2"/>
  <c r="AO53" i="2"/>
  <c r="KG8" i="1"/>
  <c r="KF8" i="1"/>
  <c r="BI6" i="10"/>
  <c r="BJ6" i="10" s="1"/>
  <c r="Z10" i="10"/>
  <c r="BO13" i="10"/>
  <c r="BP13" i="10" s="1"/>
  <c r="Q5" i="22"/>
  <c r="V6" i="2"/>
  <c r="AI7" i="2"/>
  <c r="F7" i="2" s="1"/>
  <c r="Z8" i="2"/>
  <c r="AJ9" i="2"/>
  <c r="AC10" i="2"/>
  <c r="V11" i="2"/>
  <c r="AJ12" i="2"/>
  <c r="AD13" i="2"/>
  <c r="AD15" i="2"/>
  <c r="AD16" i="2"/>
  <c r="AJ17" i="2"/>
  <c r="V18" i="2"/>
  <c r="AN19" i="2"/>
  <c r="AO20" i="2"/>
  <c r="BA20" i="2"/>
  <c r="BA21" i="2"/>
  <c r="AQ22" i="2"/>
  <c r="V23" i="2"/>
  <c r="AI24" i="2"/>
  <c r="F24" i="2" s="1"/>
  <c r="U25" i="2"/>
  <c r="BA25" i="2"/>
  <c r="AD27" i="2"/>
  <c r="AJ28" i="2"/>
  <c r="AO29" i="2"/>
  <c r="G29" i="2" s="1"/>
  <c r="AJ32" i="2"/>
  <c r="AJ33" i="2"/>
  <c r="Y35" i="2"/>
  <c r="D35" i="2" s="1"/>
  <c r="AO42" i="2"/>
  <c r="IY6" i="1"/>
  <c r="AF26" i="1"/>
  <c r="AF27" i="1"/>
  <c r="AF28" i="1" s="1"/>
  <c r="FC19" i="1"/>
  <c r="FI19" i="1"/>
  <c r="FX19" i="1"/>
  <c r="EZ19" i="1"/>
  <c r="FO19" i="1"/>
  <c r="FU19" i="1"/>
  <c r="EW19" i="1"/>
  <c r="FL19" i="1"/>
  <c r="FF19" i="1"/>
  <c r="FR19" i="1"/>
  <c r="IS64" i="1"/>
  <c r="IW60" i="1"/>
  <c r="IW64" i="1"/>
  <c r="IW61" i="1"/>
  <c r="IV64" i="1"/>
  <c r="IW62" i="1"/>
  <c r="IV61" i="1"/>
  <c r="IT64" i="1"/>
  <c r="IV63" i="1"/>
  <c r="IU63" i="1"/>
  <c r="IT62" i="1"/>
  <c r="IT63" i="1"/>
  <c r="IS62" i="1"/>
  <c r="IS63" i="1"/>
  <c r="IV60" i="1"/>
  <c r="IT59" i="1"/>
  <c r="IV62" i="1"/>
  <c r="IU60" i="1"/>
  <c r="IS59" i="1"/>
  <c r="IU62" i="1"/>
  <c r="IT60" i="1"/>
  <c r="IU61" i="1"/>
  <c r="IT61" i="1"/>
  <c r="IW58" i="1"/>
  <c r="IU64" i="1"/>
  <c r="IT57" i="1"/>
  <c r="IV55" i="1"/>
  <c r="IS60" i="1"/>
  <c r="IV58" i="1"/>
  <c r="IS57" i="1"/>
  <c r="IU58" i="1"/>
  <c r="IW56" i="1"/>
  <c r="IT55" i="1"/>
  <c r="IV54" i="1"/>
  <c r="IW59" i="1"/>
  <c r="IT58" i="1"/>
  <c r="IV56" i="1"/>
  <c r="IV59" i="1"/>
  <c r="IS58" i="1"/>
  <c r="IU56" i="1"/>
  <c r="IT54" i="1"/>
  <c r="IW63" i="1"/>
  <c r="IS61" i="1"/>
  <c r="IU59" i="1"/>
  <c r="IW57" i="1"/>
  <c r="IT56" i="1"/>
  <c r="IV57" i="1"/>
  <c r="IS56" i="1"/>
  <c r="IU55" i="1"/>
  <c r="IS53" i="1"/>
  <c r="IV52" i="1"/>
  <c r="IW51" i="1"/>
  <c r="IS55" i="1"/>
  <c r="IW54" i="1"/>
  <c r="IU52" i="1"/>
  <c r="IV51" i="1"/>
  <c r="IU57" i="1"/>
  <c r="IU54" i="1"/>
  <c r="IT52" i="1"/>
  <c r="IU51" i="1"/>
  <c r="IS54" i="1"/>
  <c r="IS52" i="1"/>
  <c r="IT51" i="1"/>
  <c r="IW50" i="1"/>
  <c r="IW49" i="1"/>
  <c r="IW53" i="1"/>
  <c r="IS51" i="1"/>
  <c r="IV50" i="1"/>
  <c r="IV49" i="1"/>
  <c r="IV53" i="1"/>
  <c r="IU50" i="1"/>
  <c r="IU49" i="1"/>
  <c r="IU48" i="1"/>
  <c r="IU53" i="1"/>
  <c r="IT53" i="1"/>
  <c r="IU44" i="1"/>
  <c r="IW43" i="1"/>
  <c r="IW55" i="1"/>
  <c r="IT44" i="1"/>
  <c r="IV43" i="1"/>
  <c r="IW48" i="1"/>
  <c r="IW45" i="1"/>
  <c r="IS44" i="1"/>
  <c r="IW52" i="1"/>
  <c r="IV48" i="1"/>
  <c r="IT50" i="1"/>
  <c r="IT48" i="1"/>
  <c r="IS43" i="1"/>
  <c r="IS50" i="1"/>
  <c r="IT49" i="1"/>
  <c r="IS48" i="1"/>
  <c r="IT45" i="1"/>
  <c r="IS49" i="1"/>
  <c r="IV45" i="1"/>
  <c r="IW44" i="1"/>
  <c r="IS45" i="1"/>
  <c r="IV44" i="1"/>
  <c r="IU43" i="1"/>
  <c r="IT43" i="1"/>
  <c r="IT6" i="1"/>
  <c r="IW5" i="1"/>
  <c r="IW2" i="1" s="1"/>
  <c r="IV5" i="1"/>
  <c r="IV2" i="1" s="1"/>
  <c r="IU5" i="1"/>
  <c r="IU2" i="1" s="1"/>
  <c r="IT5" i="1"/>
  <c r="IT2" i="1" s="1"/>
  <c r="IS5" i="1"/>
  <c r="IW6" i="1"/>
  <c r="AD5" i="2"/>
  <c r="E5" i="2" s="1"/>
  <c r="Y6" i="2"/>
  <c r="D6" i="2" s="1"/>
  <c r="AL7" i="2"/>
  <c r="AC8" i="2"/>
  <c r="E8" i="2" s="1"/>
  <c r="AI10" i="2"/>
  <c r="Y11" i="2"/>
  <c r="BA11" i="2"/>
  <c r="AI13" i="2"/>
  <c r="AJ14" i="2"/>
  <c r="AI15" i="2"/>
  <c r="AI16" i="2"/>
  <c r="Y18" i="2"/>
  <c r="D18" i="2" s="1"/>
  <c r="AO19" i="2"/>
  <c r="BA19" i="2"/>
  <c r="U21" i="2"/>
  <c r="C21" i="2" s="1"/>
  <c r="AN22" i="2"/>
  <c r="G22" i="2" s="1"/>
  <c r="BA22" i="2"/>
  <c r="Z23" i="2"/>
  <c r="AJ24" i="2"/>
  <c r="V25" i="2"/>
  <c r="AO26" i="2"/>
  <c r="AI27" i="2"/>
  <c r="F27" i="2" s="1"/>
  <c r="AN29" i="2"/>
  <c r="U34" i="2"/>
  <c r="C34" i="2" s="1"/>
  <c r="IZ6" i="1"/>
  <c r="GS5" i="1"/>
  <c r="GR5" i="1"/>
  <c r="FL7" i="1"/>
  <c r="FC7" i="1"/>
  <c r="FR7" i="1"/>
  <c r="FI7" i="1"/>
  <c r="FX7" i="1"/>
  <c r="EZ7" i="1"/>
  <c r="FO7" i="1"/>
  <c r="FF7" i="1"/>
  <c r="FU7" i="1"/>
  <c r="EW7" i="1"/>
  <c r="EC9" i="1"/>
  <c r="ED9" i="1"/>
  <c r="G28" i="2"/>
  <c r="AO28" i="2"/>
  <c r="G33" i="2"/>
  <c r="AO33" i="2"/>
  <c r="AQ45" i="2"/>
  <c r="AO52" i="2"/>
  <c r="AQ53" i="2"/>
  <c r="JC64" i="1"/>
  <c r="JC63" i="1"/>
  <c r="JC60" i="1"/>
  <c r="JC61" i="1"/>
  <c r="JC62" i="1"/>
  <c r="JC59" i="1"/>
  <c r="JC58" i="1"/>
  <c r="JC56" i="1"/>
  <c r="JC57" i="1"/>
  <c r="JC52" i="1"/>
  <c r="JC51" i="1"/>
  <c r="JC55" i="1"/>
  <c r="JC50" i="1"/>
  <c r="JC49" i="1"/>
  <c r="JC48" i="1"/>
  <c r="JC54" i="1"/>
  <c r="JC53" i="1"/>
  <c r="JC44" i="1"/>
  <c r="JC43" i="1"/>
  <c r="P5" i="1"/>
  <c r="IY5" i="1"/>
  <c r="IY2" i="1" s="1"/>
  <c r="Q6" i="1"/>
  <c r="CZ6" i="1"/>
  <c r="DA6" i="1" s="1"/>
  <c r="DB6" i="1" s="1"/>
  <c r="DT6" i="1"/>
  <c r="IV6" i="1"/>
  <c r="KC6" i="1"/>
  <c r="KL6" i="1"/>
  <c r="AC7" i="1"/>
  <c r="GL7" i="1"/>
  <c r="KS7" i="1"/>
  <c r="Z8" i="1"/>
  <c r="GO9" i="1"/>
  <c r="FX10" i="1"/>
  <c r="GV10" i="1"/>
  <c r="GU10" i="1"/>
  <c r="KK15" i="1"/>
  <c r="GS16" i="1"/>
  <c r="GR16" i="1"/>
  <c r="IZ5" i="1"/>
  <c r="IZ2" i="1" s="1"/>
  <c r="KD6" i="1"/>
  <c r="KK7" i="1"/>
  <c r="GL8" i="1"/>
  <c r="KS8" i="1"/>
  <c r="Z9" i="1"/>
  <c r="P10" i="1"/>
  <c r="EC11" i="1"/>
  <c r="ED11" i="1"/>
  <c r="FU15" i="1"/>
  <c r="EW15" i="1"/>
  <c r="FL15" i="1"/>
  <c r="FC15" i="1"/>
  <c r="FI15" i="1"/>
  <c r="FR15" i="1"/>
  <c r="EZ15" i="1"/>
  <c r="FO15" i="1"/>
  <c r="FF15" i="1"/>
  <c r="AN37" i="2"/>
  <c r="AN42" i="2"/>
  <c r="AN49" i="2"/>
  <c r="G49" i="2" s="1"/>
  <c r="P64" i="1"/>
  <c r="P59" i="1"/>
  <c r="P60" i="1"/>
  <c r="P62" i="1"/>
  <c r="P61" i="1"/>
  <c r="P57" i="1"/>
  <c r="BT57" i="1" s="1"/>
  <c r="P63" i="1"/>
  <c r="P56" i="1"/>
  <c r="BT56" i="1" s="1"/>
  <c r="BT53" i="1"/>
  <c r="P52" i="1"/>
  <c r="P55" i="1"/>
  <c r="BT55" i="1" s="1"/>
  <c r="P51" i="1"/>
  <c r="P50" i="1"/>
  <c r="P54" i="1"/>
  <c r="P44" i="1"/>
  <c r="P58" i="1"/>
  <c r="P46" i="1"/>
  <c r="P48" i="1"/>
  <c r="BT48" i="1" s="1"/>
  <c r="P49" i="1"/>
  <c r="BT49" i="1" s="1"/>
  <c r="P47" i="1"/>
  <c r="BT47" i="1" s="1"/>
  <c r="P43" i="1"/>
  <c r="P41" i="1"/>
  <c r="P45" i="1"/>
  <c r="P42" i="1"/>
  <c r="P31" i="1"/>
  <c r="P30" i="1"/>
  <c r="P29" i="1"/>
  <c r="P28" i="1"/>
  <c r="P38" i="1"/>
  <c r="P26" i="1"/>
  <c r="P25" i="1"/>
  <c r="P24" i="1"/>
  <c r="P23" i="1"/>
  <c r="P21" i="1"/>
  <c r="P13" i="1"/>
  <c r="P27" i="1" s="1"/>
  <c r="P19" i="1"/>
  <c r="P22" i="1"/>
  <c r="P18" i="1"/>
  <c r="P16" i="1"/>
  <c r="P12" i="1"/>
  <c r="P17" i="1"/>
  <c r="P20" i="1"/>
  <c r="P14" i="1"/>
  <c r="P15" i="1"/>
  <c r="JE3" i="1"/>
  <c r="JJ3" i="1" s="1"/>
  <c r="GL5" i="1"/>
  <c r="JA5" i="1"/>
  <c r="JA2" i="1" s="1"/>
  <c r="GI6" i="1"/>
  <c r="JV6" i="1"/>
  <c r="P7" i="1"/>
  <c r="CY7" i="1"/>
  <c r="KC7" i="1"/>
  <c r="CX8" i="1"/>
  <c r="DZ8" i="1"/>
  <c r="KK8" i="1"/>
  <c r="JW9" i="1"/>
  <c r="KK9" i="1"/>
  <c r="KT10" i="1"/>
  <c r="KW10" i="1" s="1"/>
  <c r="JX10" i="1"/>
  <c r="JW10" i="1" s="1"/>
  <c r="GN13" i="1"/>
  <c r="GQ13" i="1" s="1"/>
  <c r="GT13" i="1" s="1"/>
  <c r="GW13" i="1" s="1"/>
  <c r="GZ13" i="1" s="1"/>
  <c r="HC13" i="1" s="1"/>
  <c r="HF13" i="1" s="1"/>
  <c r="HI13" i="1" s="1"/>
  <c r="HL13" i="1" s="1"/>
  <c r="HO13" i="1" s="1"/>
  <c r="HR13" i="1" s="1"/>
  <c r="HU13" i="1" s="1"/>
  <c r="HX13" i="1" s="1"/>
  <c r="IA13" i="1" s="1"/>
  <c r="ID13" i="1" s="1"/>
  <c r="IG13" i="1" s="1"/>
  <c r="IJ13" i="1" s="1"/>
  <c r="IM13" i="1" s="1"/>
  <c r="GI19" i="1"/>
  <c r="G37" i="2"/>
  <c r="G42" i="2"/>
  <c r="CZ50" i="1"/>
  <c r="DA50" i="1" s="1"/>
  <c r="DB50" i="1" s="1"/>
  <c r="CZ47" i="1"/>
  <c r="DA47" i="1" s="1"/>
  <c r="DB47" i="1" s="1"/>
  <c r="CZ49" i="1"/>
  <c r="DA49" i="1" s="1"/>
  <c r="DB49" i="1" s="1"/>
  <c r="IX64" i="1"/>
  <c r="IX61" i="1"/>
  <c r="IX62" i="1"/>
  <c r="IX63" i="1"/>
  <c r="IX59" i="1"/>
  <c r="IX60" i="1"/>
  <c r="IX58" i="1"/>
  <c r="IX54" i="1"/>
  <c r="IX56" i="1"/>
  <c r="IX57" i="1"/>
  <c r="IX55" i="1"/>
  <c r="IX53" i="1"/>
  <c r="IX52" i="1"/>
  <c r="IX48" i="1"/>
  <c r="IX51" i="1"/>
  <c r="IX50" i="1"/>
  <c r="IX49" i="1"/>
  <c r="IX44" i="1"/>
  <c r="IX43" i="1"/>
  <c r="BN5" i="1"/>
  <c r="BO5" i="1" s="1"/>
  <c r="CZ5" i="1"/>
  <c r="DA5" i="1" s="1"/>
  <c r="DB5" i="1" s="1"/>
  <c r="DO5" i="1"/>
  <c r="JB5" i="1"/>
  <c r="JB2" i="1" s="1"/>
  <c r="KS5" i="1"/>
  <c r="DW6" i="1"/>
  <c r="Q7" i="1"/>
  <c r="DT7" i="1"/>
  <c r="GO7" i="1"/>
  <c r="KD7" i="1"/>
  <c r="BN8" i="1"/>
  <c r="BO8" i="1" s="1"/>
  <c r="BN9" i="1"/>
  <c r="BO9" i="1" s="1"/>
  <c r="DW9" i="1"/>
  <c r="DT10" i="1"/>
  <c r="GN10" i="1"/>
  <c r="GQ10" i="1" s="1"/>
  <c r="GT10" i="1" s="1"/>
  <c r="GW10" i="1" s="1"/>
  <c r="GZ10" i="1" s="1"/>
  <c r="HC10" i="1" s="1"/>
  <c r="HF10" i="1" s="1"/>
  <c r="HI10" i="1" s="1"/>
  <c r="HL10" i="1" s="1"/>
  <c r="HO10" i="1" s="1"/>
  <c r="HR10" i="1" s="1"/>
  <c r="HU10" i="1" s="1"/>
  <c r="HX10" i="1" s="1"/>
  <c r="IA10" i="1" s="1"/>
  <c r="ID10" i="1" s="1"/>
  <c r="IG10" i="1" s="1"/>
  <c r="IJ10" i="1" s="1"/>
  <c r="IM10" i="1" s="1"/>
  <c r="JV10" i="1"/>
  <c r="BN11" i="1"/>
  <c r="BO11" i="1" s="1"/>
  <c r="EF12" i="1"/>
  <c r="GO13" i="1"/>
  <c r="FF14" i="1"/>
  <c r="FU14" i="1"/>
  <c r="EW14" i="1"/>
  <c r="FL14" i="1"/>
  <c r="FR14" i="1"/>
  <c r="FX14" i="1"/>
  <c r="FC14" i="1"/>
  <c r="EZ14" i="1"/>
  <c r="FI14" i="1"/>
  <c r="KC55" i="1"/>
  <c r="KC54" i="1"/>
  <c r="KC56" i="1"/>
  <c r="KD56" i="1" s="1"/>
  <c r="KC57" i="1"/>
  <c r="KC52" i="1"/>
  <c r="KC51" i="1"/>
  <c r="KC50" i="1"/>
  <c r="KC49" i="1"/>
  <c r="KC53" i="1"/>
  <c r="KC43" i="1"/>
  <c r="KC45" i="1"/>
  <c r="KD45" i="1" s="1"/>
  <c r="KC48" i="1"/>
  <c r="KC47" i="1"/>
  <c r="KC41" i="1"/>
  <c r="KC38" i="1"/>
  <c r="KC42" i="1"/>
  <c r="KC39" i="1"/>
  <c r="KC40" i="1"/>
  <c r="KC46" i="1"/>
  <c r="KC36" i="1"/>
  <c r="KC44" i="1"/>
  <c r="KC33" i="1"/>
  <c r="KC37" i="1"/>
  <c r="KC34" i="1"/>
  <c r="KC30" i="1"/>
  <c r="KC35" i="1"/>
  <c r="KC32" i="1"/>
  <c r="KC31" i="1"/>
  <c r="KC28" i="1"/>
  <c r="KC26" i="1"/>
  <c r="KC25" i="1"/>
  <c r="KC29" i="1"/>
  <c r="KC27" i="1"/>
  <c r="KC22" i="1"/>
  <c r="KC21" i="1"/>
  <c r="KD21" i="1" s="1"/>
  <c r="KC20" i="1"/>
  <c r="KD20" i="1" s="1"/>
  <c r="KC24" i="1"/>
  <c r="KC23" i="1"/>
  <c r="KC13" i="1"/>
  <c r="KC17" i="1"/>
  <c r="KC15" i="1"/>
  <c r="KC14" i="1"/>
  <c r="KC11" i="1"/>
  <c r="KC19" i="1"/>
  <c r="KC12" i="1"/>
  <c r="KC10" i="1"/>
  <c r="KC18" i="1"/>
  <c r="KC16" i="1"/>
  <c r="IY62" i="1"/>
  <c r="IY63" i="1"/>
  <c r="IY61" i="1"/>
  <c r="IY64" i="1"/>
  <c r="IY56" i="1"/>
  <c r="IY59" i="1"/>
  <c r="IY57" i="1"/>
  <c r="IY55" i="1"/>
  <c r="IY54" i="1"/>
  <c r="IY50" i="1"/>
  <c r="IY49" i="1"/>
  <c r="IY48" i="1"/>
  <c r="IY58" i="1"/>
  <c r="IY53" i="1"/>
  <c r="IY60" i="1"/>
  <c r="IY52" i="1"/>
  <c r="IY51" i="1"/>
  <c r="IY44" i="1"/>
  <c r="IY43" i="1"/>
  <c r="JG3" i="1"/>
  <c r="JL3" i="1" s="1"/>
  <c r="JD4" i="1"/>
  <c r="JD6" i="1" s="1"/>
  <c r="Z5" i="1"/>
  <c r="DT5" i="1"/>
  <c r="JC5" i="1"/>
  <c r="JC2" i="1" s="1"/>
  <c r="KK5" i="1"/>
  <c r="KT5" i="1"/>
  <c r="JX6" i="1"/>
  <c r="JW6" i="1" s="1"/>
  <c r="BS7" i="1"/>
  <c r="BN7" i="1" s="1"/>
  <c r="BO7" i="1" s="1"/>
  <c r="JV7" i="1"/>
  <c r="JY7" i="1" s="1"/>
  <c r="P8" i="1"/>
  <c r="EB8" i="1"/>
  <c r="EE8" i="1" s="1"/>
  <c r="EH8" i="1" s="1"/>
  <c r="EK8" i="1" s="1"/>
  <c r="EN8" i="1" s="1"/>
  <c r="EQ8" i="1" s="1"/>
  <c r="ET8" i="1" s="1"/>
  <c r="GO8" i="1"/>
  <c r="KD8" i="1"/>
  <c r="GI9" i="1"/>
  <c r="GR9" i="1"/>
  <c r="JZ9" i="1"/>
  <c r="KA9" i="1" s="1"/>
  <c r="DW10" i="1"/>
  <c r="GL10" i="1"/>
  <c r="JW11" i="1"/>
  <c r="JZ11" i="1" s="1"/>
  <c r="KA11" i="1" s="1"/>
  <c r="EJ12" i="1"/>
  <c r="EI12" i="1"/>
  <c r="JW12" i="1"/>
  <c r="FX15" i="1"/>
  <c r="AN40" i="2"/>
  <c r="AN46" i="2"/>
  <c r="KK56" i="1"/>
  <c r="KK52" i="1"/>
  <c r="KK54" i="1"/>
  <c r="KK51" i="1"/>
  <c r="KK55" i="1"/>
  <c r="KK57" i="1"/>
  <c r="KK50" i="1"/>
  <c r="KK49" i="1"/>
  <c r="KK48" i="1"/>
  <c r="KK53" i="1"/>
  <c r="KK46" i="1"/>
  <c r="KK44" i="1"/>
  <c r="KL44" i="1" s="1"/>
  <c r="KK45" i="1"/>
  <c r="KK47" i="1"/>
  <c r="KK43" i="1"/>
  <c r="KK41" i="1"/>
  <c r="KK38" i="1"/>
  <c r="KK42" i="1"/>
  <c r="KK39" i="1"/>
  <c r="KK40" i="1"/>
  <c r="KK35" i="1"/>
  <c r="KK36" i="1"/>
  <c r="KK37" i="1"/>
  <c r="KK34" i="1"/>
  <c r="KK33" i="1"/>
  <c r="KK30" i="1"/>
  <c r="KK29" i="1"/>
  <c r="KK28" i="1"/>
  <c r="KL28" i="1" s="1"/>
  <c r="KK27" i="1"/>
  <c r="KK32" i="1"/>
  <c r="KK31" i="1"/>
  <c r="KK26" i="1"/>
  <c r="KK25" i="1"/>
  <c r="KK24" i="1"/>
  <c r="KK23" i="1"/>
  <c r="KK22" i="1"/>
  <c r="KL22" i="1" s="1"/>
  <c r="KK21" i="1"/>
  <c r="KL21" i="1" s="1"/>
  <c r="KK20" i="1"/>
  <c r="KL20" i="1" s="1"/>
  <c r="KK18" i="1"/>
  <c r="KK17" i="1"/>
  <c r="KK19" i="1"/>
  <c r="KK16" i="1"/>
  <c r="KK11" i="1"/>
  <c r="KK10" i="1"/>
  <c r="KL10" i="1" s="1"/>
  <c r="KK12" i="1"/>
  <c r="KK14" i="1"/>
  <c r="IZ63" i="1"/>
  <c r="IZ64" i="1"/>
  <c r="IZ62" i="1"/>
  <c r="IZ61" i="1"/>
  <c r="IZ58" i="1"/>
  <c r="IZ59" i="1"/>
  <c r="IZ57" i="1"/>
  <c r="IZ55" i="1"/>
  <c r="IZ60" i="1"/>
  <c r="IZ54" i="1"/>
  <c r="IZ50" i="1"/>
  <c r="IZ49" i="1"/>
  <c r="IZ48" i="1"/>
  <c r="IZ53" i="1"/>
  <c r="IZ52" i="1"/>
  <c r="IZ51" i="1"/>
  <c r="IZ56" i="1"/>
  <c r="IZ44" i="1"/>
  <c r="IZ45" i="1"/>
  <c r="IZ43" i="1"/>
  <c r="JH3" i="1"/>
  <c r="AB5" i="1"/>
  <c r="CQ5" i="1"/>
  <c r="AH5" i="1" s="1"/>
  <c r="GO5" i="1"/>
  <c r="KC5" i="1"/>
  <c r="KL5" i="1"/>
  <c r="GL6" i="1"/>
  <c r="IS6" i="1"/>
  <c r="JA6" i="1"/>
  <c r="BT7" i="1"/>
  <c r="GI7" i="1"/>
  <c r="EC8" i="1"/>
  <c r="JV8" i="1"/>
  <c r="P9" i="1"/>
  <c r="BS9" i="1"/>
  <c r="BV9" i="1" s="1"/>
  <c r="DZ9" i="1"/>
  <c r="KS9" i="1"/>
  <c r="GM11" i="1"/>
  <c r="GL11" i="1"/>
  <c r="JY11" i="1"/>
  <c r="FX13" i="1"/>
  <c r="EZ13" i="1"/>
  <c r="FF13" i="1"/>
  <c r="FL13" i="1"/>
  <c r="EW13" i="1"/>
  <c r="FU13" i="1"/>
  <c r="FI13" i="1"/>
  <c r="FC13" i="1"/>
  <c r="FO13" i="1"/>
  <c r="G40" i="2"/>
  <c r="AO40" i="2"/>
  <c r="AN45" i="2"/>
  <c r="G46" i="2"/>
  <c r="AO46" i="2"/>
  <c r="AN53" i="2"/>
  <c r="DW55" i="1"/>
  <c r="DT55" i="1"/>
  <c r="EF55" i="1"/>
  <c r="DZ55" i="1"/>
  <c r="DT46" i="1"/>
  <c r="DT44" i="1"/>
  <c r="DT42" i="1"/>
  <c r="DT41" i="1"/>
  <c r="DZ37" i="1"/>
  <c r="DW39" i="1"/>
  <c r="DT34" i="1"/>
  <c r="DW31" i="1"/>
  <c r="DW37" i="1"/>
  <c r="DT31" i="1"/>
  <c r="DT30" i="1"/>
  <c r="DW28" i="1"/>
  <c r="DT26" i="1"/>
  <c r="DW30" i="1"/>
  <c r="DW29" i="1"/>
  <c r="DT29" i="1"/>
  <c r="DZ25" i="1"/>
  <c r="DZ24" i="1"/>
  <c r="DZ23" i="1"/>
  <c r="DT21" i="1"/>
  <c r="DW25" i="1"/>
  <c r="DW24" i="1"/>
  <c r="DW23" i="1"/>
  <c r="DT28" i="1"/>
  <c r="DW22" i="1"/>
  <c r="DT25" i="1"/>
  <c r="DT24" i="1"/>
  <c r="DT23" i="1"/>
  <c r="DT20" i="1"/>
  <c r="DW19" i="1"/>
  <c r="DT22" i="1"/>
  <c r="DW17" i="1"/>
  <c r="DT13" i="1"/>
  <c r="DZ27" i="1"/>
  <c r="DT19" i="1"/>
  <c r="DT18" i="1"/>
  <c r="DW15" i="1"/>
  <c r="DT16" i="1"/>
  <c r="DT12" i="1"/>
  <c r="DT11" i="1"/>
  <c r="DZ19" i="1"/>
  <c r="DW13" i="1"/>
  <c r="DW18" i="1"/>
  <c r="DT15" i="1"/>
  <c r="DT9" i="1"/>
  <c r="DT17" i="1"/>
  <c r="DT14" i="1"/>
  <c r="DZ15" i="1"/>
  <c r="KS57" i="1"/>
  <c r="KT57" i="1" s="1"/>
  <c r="KS55" i="1"/>
  <c r="KS54" i="1"/>
  <c r="KS56" i="1"/>
  <c r="KS52" i="1"/>
  <c r="KS51" i="1"/>
  <c r="KS46" i="1"/>
  <c r="KS44" i="1"/>
  <c r="KS53" i="1"/>
  <c r="KS48" i="1"/>
  <c r="KS50" i="1"/>
  <c r="KS49" i="1"/>
  <c r="KS45" i="1"/>
  <c r="KS47" i="1"/>
  <c r="KS41" i="1"/>
  <c r="KS42" i="1"/>
  <c r="KS43" i="1"/>
  <c r="KS39" i="1"/>
  <c r="KS38" i="1"/>
  <c r="KS35" i="1"/>
  <c r="KS40" i="1"/>
  <c r="KS36" i="1"/>
  <c r="KS37" i="1"/>
  <c r="KS32" i="1"/>
  <c r="KS34" i="1"/>
  <c r="KT34" i="1" s="1"/>
  <c r="KS33" i="1"/>
  <c r="KS30" i="1"/>
  <c r="KS29" i="1"/>
  <c r="KS27" i="1"/>
  <c r="KS28" i="1"/>
  <c r="KS31" i="1"/>
  <c r="KS24" i="1"/>
  <c r="KS23" i="1"/>
  <c r="KT23" i="1" s="1"/>
  <c r="KS25" i="1"/>
  <c r="KS22" i="1"/>
  <c r="KS21" i="1"/>
  <c r="KS20" i="1"/>
  <c r="KS26" i="1"/>
  <c r="KS17" i="1"/>
  <c r="KS15" i="1"/>
  <c r="KS14" i="1"/>
  <c r="KT14" i="1" s="1"/>
  <c r="KS13" i="1"/>
  <c r="KT13" i="1" s="1"/>
  <c r="KS12" i="1"/>
  <c r="KS18" i="1"/>
  <c r="KS19" i="1"/>
  <c r="KS16" i="1"/>
  <c r="KS11" i="1"/>
  <c r="JA64" i="1"/>
  <c r="JA62" i="1"/>
  <c r="JA61" i="1"/>
  <c r="JA59" i="1"/>
  <c r="JA60" i="1"/>
  <c r="JA63" i="1"/>
  <c r="JA57" i="1"/>
  <c r="JA58" i="1"/>
  <c r="JA56" i="1"/>
  <c r="JA53" i="1"/>
  <c r="JA52" i="1"/>
  <c r="JA51" i="1"/>
  <c r="JA55" i="1"/>
  <c r="JA48" i="1"/>
  <c r="JA50" i="1"/>
  <c r="JA44" i="1"/>
  <c r="JA49" i="1"/>
  <c r="JA43" i="1"/>
  <c r="JA54" i="1"/>
  <c r="JA45" i="1"/>
  <c r="GD5" i="1"/>
  <c r="KD5" i="1"/>
  <c r="CH6" i="1"/>
  <c r="KS6" i="1"/>
  <c r="LB6" i="1"/>
  <c r="DW7" i="1"/>
  <c r="JX7" i="1"/>
  <c r="JW7" i="1" s="1"/>
  <c r="GI8" i="1"/>
  <c r="GU9" i="1"/>
  <c r="KC9" i="1"/>
  <c r="KD9" i="1" s="1"/>
  <c r="DX10" i="1"/>
  <c r="FR10" i="1"/>
  <c r="FO10" i="1"/>
  <c r="FF10" i="1"/>
  <c r="FC10" i="1"/>
  <c r="KD10" i="1"/>
  <c r="BT11" i="1"/>
  <c r="DW11" i="1"/>
  <c r="DW12" i="1"/>
  <c r="G45" i="2"/>
  <c r="G53" i="2"/>
  <c r="BN31" i="1"/>
  <c r="BO31" i="1" s="1"/>
  <c r="BN30" i="1"/>
  <c r="BO30" i="1" s="1"/>
  <c r="BN29" i="1"/>
  <c r="BO29" i="1" s="1"/>
  <c r="BN25" i="1"/>
  <c r="BO25" i="1" s="1"/>
  <c r="BN24" i="1"/>
  <c r="BO24" i="1" s="1"/>
  <c r="BN23" i="1"/>
  <c r="BO23" i="1" s="1"/>
  <c r="BN22" i="1"/>
  <c r="BO22" i="1" s="1"/>
  <c r="BN19" i="1"/>
  <c r="BO19" i="1" s="1"/>
  <c r="BN20" i="1"/>
  <c r="BO20" i="1" s="1"/>
  <c r="BN12" i="1"/>
  <c r="BO12" i="1" s="1"/>
  <c r="BN10" i="1"/>
  <c r="BO10" i="1" s="1"/>
  <c r="BN15" i="1"/>
  <c r="BO15" i="1" s="1"/>
  <c r="BN13" i="1"/>
  <c r="GI46" i="1"/>
  <c r="GI44" i="1"/>
  <c r="GI42" i="1"/>
  <c r="GL40" i="1"/>
  <c r="GI31" i="1"/>
  <c r="GI30" i="1"/>
  <c r="GI29" i="1"/>
  <c r="GI28" i="1"/>
  <c r="GO34" i="1"/>
  <c r="GL34" i="1"/>
  <c r="GL32" i="1"/>
  <c r="GL31" i="1"/>
  <c r="GI26" i="1"/>
  <c r="GI25" i="1"/>
  <c r="GR29" i="1"/>
  <c r="GL28" i="1"/>
  <c r="GI21" i="1"/>
  <c r="GL30" i="1"/>
  <c r="GO22" i="1"/>
  <c r="GO21" i="1"/>
  <c r="GL29" i="1"/>
  <c r="GL26" i="1"/>
  <c r="GL22" i="1"/>
  <c r="GL20" i="1"/>
  <c r="GL25" i="1"/>
  <c r="GI22" i="1"/>
  <c r="GI20" i="1"/>
  <c r="GI24" i="1"/>
  <c r="GL17" i="1"/>
  <c r="GI18" i="1"/>
  <c r="GB12" i="1"/>
  <c r="GB13" i="1" s="1"/>
  <c r="GB14" i="1" s="1"/>
  <c r="GI17" i="1"/>
  <c r="GI16" i="1"/>
  <c r="GL13" i="1"/>
  <c r="GL21" i="1"/>
  <c r="GI23" i="1"/>
  <c r="GI10" i="1"/>
  <c r="GO17" i="1"/>
  <c r="GO14" i="1"/>
  <c r="GL16" i="1"/>
  <c r="GI12" i="1"/>
  <c r="GI15" i="1"/>
  <c r="GI14" i="1"/>
  <c r="GI13" i="1"/>
  <c r="GI11" i="1"/>
  <c r="LA2" i="1"/>
  <c r="JB64" i="1"/>
  <c r="JB62" i="1"/>
  <c r="JB63" i="1"/>
  <c r="JB59" i="1"/>
  <c r="JB57" i="1"/>
  <c r="JB55" i="1"/>
  <c r="JB61" i="1"/>
  <c r="JB54" i="1"/>
  <c r="JB60" i="1"/>
  <c r="JB58" i="1"/>
  <c r="JB56" i="1"/>
  <c r="JB52" i="1"/>
  <c r="JB51" i="1"/>
  <c r="JB50" i="1"/>
  <c r="JB44" i="1"/>
  <c r="JB49" i="1"/>
  <c r="JB45" i="1"/>
  <c r="JB48" i="1"/>
  <c r="JB43" i="1"/>
  <c r="JB53" i="1"/>
  <c r="DW5" i="1"/>
  <c r="GI5" i="1"/>
  <c r="IX5" i="1"/>
  <c r="IX2" i="1" s="1"/>
  <c r="P6" i="1"/>
  <c r="IU6" i="1"/>
  <c r="JC6" i="1"/>
  <c r="KK6" i="1"/>
  <c r="BS10" i="1"/>
  <c r="BV10" i="1" s="1"/>
  <c r="BT10" i="1"/>
  <c r="FU10" i="1"/>
  <c r="GR10" i="1"/>
  <c r="DZ11" i="1"/>
  <c r="DX14" i="1"/>
  <c r="DW14" i="1"/>
  <c r="GL14" i="1"/>
  <c r="JY14" i="1"/>
  <c r="JX14" i="1"/>
  <c r="JW14" i="1" s="1"/>
  <c r="JV14" i="1"/>
  <c r="KD14" i="1"/>
  <c r="KL14" i="1"/>
  <c r="FL18" i="1"/>
  <c r="FR18" i="1"/>
  <c r="FI18" i="1"/>
  <c r="FX18" i="1"/>
  <c r="EZ18" i="1"/>
  <c r="FF18" i="1"/>
  <c r="FU18" i="1"/>
  <c r="EW18" i="1"/>
  <c r="FC18" i="1"/>
  <c r="FO18" i="1"/>
  <c r="FI20" i="1"/>
  <c r="FO20" i="1"/>
  <c r="FU20" i="1"/>
  <c r="EW20" i="1"/>
  <c r="FC20" i="1"/>
  <c r="FR20" i="1"/>
  <c r="FX20" i="1"/>
  <c r="FF20" i="1"/>
  <c r="FL20" i="1"/>
  <c r="EZ20" i="1"/>
  <c r="GO15" i="1"/>
  <c r="Z16" i="1"/>
  <c r="JX17" i="1"/>
  <c r="JW17" i="1" s="1"/>
  <c r="JV17" i="1"/>
  <c r="KL17" i="1"/>
  <c r="JV20" i="1"/>
  <c r="JX20" i="1"/>
  <c r="JY20" i="1"/>
  <c r="KL13" i="1"/>
  <c r="JX13" i="1"/>
  <c r="JW13" i="1" s="1"/>
  <c r="JZ13" i="1" s="1"/>
  <c r="KA13" i="1" s="1"/>
  <c r="EC15" i="1"/>
  <c r="FL16" i="1"/>
  <c r="FC16" i="1"/>
  <c r="FR16" i="1"/>
  <c r="FX16" i="1"/>
  <c r="EZ16" i="1"/>
  <c r="FU17" i="1"/>
  <c r="EW17" i="1"/>
  <c r="FC17" i="1"/>
  <c r="FR17" i="1"/>
  <c r="FI17" i="1"/>
  <c r="FO17" i="1"/>
  <c r="FF17" i="1"/>
  <c r="JY18" i="1"/>
  <c r="JZ18" i="1" s="1"/>
  <c r="KA18" i="1" s="1"/>
  <c r="GP20" i="1"/>
  <c r="GO20" i="1"/>
  <c r="DZ12" i="1"/>
  <c r="BT13" i="1"/>
  <c r="DZ13" i="1"/>
  <c r="ED15" i="1"/>
  <c r="EW16" i="1"/>
  <c r="GL19" i="1"/>
  <c r="JX19" i="1"/>
  <c r="KT19" i="1"/>
  <c r="KD19" i="1"/>
  <c r="KL19" i="1"/>
  <c r="JV19" i="1"/>
  <c r="JY19" i="1" s="1"/>
  <c r="BT20" i="1"/>
  <c r="BS20" i="1"/>
  <c r="BV20" i="1" s="1"/>
  <c r="Z20" i="1"/>
  <c r="FO23" i="1"/>
  <c r="FF23" i="1"/>
  <c r="FU23" i="1"/>
  <c r="EW23" i="1"/>
  <c r="FL23" i="1"/>
  <c r="FC23" i="1"/>
  <c r="FI23" i="1"/>
  <c r="FX23" i="1"/>
  <c r="EZ23" i="1"/>
  <c r="FR23" i="1"/>
  <c r="KT11" i="1"/>
  <c r="JY13" i="1"/>
  <c r="GS14" i="1"/>
  <c r="GR14" i="1"/>
  <c r="GL15" i="1"/>
  <c r="JX15" i="1"/>
  <c r="JV15" i="1"/>
  <c r="JY16" i="1"/>
  <c r="BT17" i="1"/>
  <c r="BS17" i="1"/>
  <c r="BN17" i="1" s="1"/>
  <c r="BO17" i="1" s="1"/>
  <c r="EA17" i="1"/>
  <c r="DZ17" i="1"/>
  <c r="EZ17" i="1"/>
  <c r="GN17" i="1"/>
  <c r="GQ17" i="1" s="1"/>
  <c r="GT17" i="1" s="1"/>
  <c r="GW17" i="1" s="1"/>
  <c r="GZ17" i="1" s="1"/>
  <c r="HC17" i="1" s="1"/>
  <c r="HF17" i="1" s="1"/>
  <c r="HI17" i="1" s="1"/>
  <c r="HL17" i="1" s="1"/>
  <c r="HO17" i="1" s="1"/>
  <c r="HR17" i="1" s="1"/>
  <c r="HU17" i="1" s="1"/>
  <c r="HX17" i="1" s="1"/>
  <c r="IA17" i="1" s="1"/>
  <c r="ID17" i="1" s="1"/>
  <c r="IG17" i="1" s="1"/>
  <c r="IJ17" i="1" s="1"/>
  <c r="IM17" i="1" s="1"/>
  <c r="GM18" i="1"/>
  <c r="GL18" i="1"/>
  <c r="EC19" i="1"/>
  <c r="FL29" i="1"/>
  <c r="FR29" i="1"/>
  <c r="FI29" i="1"/>
  <c r="FO29" i="1"/>
  <c r="FX29" i="1"/>
  <c r="FF29" i="1"/>
  <c r="FU29" i="1"/>
  <c r="FC29" i="1"/>
  <c r="EZ29" i="1"/>
  <c r="EW29" i="1"/>
  <c r="GL12" i="1"/>
  <c r="GR13" i="1"/>
  <c r="DX16" i="1"/>
  <c r="DW16" i="1"/>
  <c r="FO16" i="1"/>
  <c r="GR17" i="1"/>
  <c r="GP19" i="1"/>
  <c r="GO19" i="1"/>
  <c r="FR21" i="1"/>
  <c r="FX21" i="1"/>
  <c r="EZ21" i="1"/>
  <c r="FO21" i="1"/>
  <c r="FF21" i="1"/>
  <c r="FL21" i="1"/>
  <c r="FC21" i="1"/>
  <c r="EW21" i="1"/>
  <c r="FU21" i="1"/>
  <c r="EG23" i="1"/>
  <c r="EF23" i="1"/>
  <c r="KD11" i="1"/>
  <c r="KD13" i="1"/>
  <c r="GS15" i="1"/>
  <c r="GR15" i="1"/>
  <c r="GO16" i="1"/>
  <c r="JW16" i="1"/>
  <c r="JZ16" i="1" s="1"/>
  <c r="KA16" i="1" s="1"/>
  <c r="EG19" i="1"/>
  <c r="EF19" i="1"/>
  <c r="EA20" i="1"/>
  <c r="DZ20" i="1"/>
  <c r="EC12" i="1"/>
  <c r="GM12" i="1"/>
  <c r="JV12" i="1"/>
  <c r="KT12" i="1"/>
  <c r="EA13" i="1"/>
  <c r="GS13" i="1"/>
  <c r="FU16" i="1"/>
  <c r="Z17" i="1"/>
  <c r="FL17" i="1"/>
  <c r="GS17" i="1"/>
  <c r="ED18" i="1"/>
  <c r="EC18" i="1"/>
  <c r="DW20" i="1"/>
  <c r="EC24" i="1"/>
  <c r="GL24" i="1"/>
  <c r="EE25" i="1"/>
  <c r="EH25" i="1" s="1"/>
  <c r="EK25" i="1" s="1"/>
  <c r="EN25" i="1" s="1"/>
  <c r="EQ25" i="1" s="1"/>
  <c r="ET25" i="1" s="1"/>
  <c r="Z13" i="1"/>
  <c r="Z27" i="1" s="1"/>
  <c r="BS14" i="1"/>
  <c r="BN14" i="1" s="1"/>
  <c r="BO14" i="1" s="1"/>
  <c r="KD16" i="1"/>
  <c r="DZ18" i="1"/>
  <c r="KT18" i="1"/>
  <c r="GN20" i="1"/>
  <c r="GQ20" i="1" s="1"/>
  <c r="GT20" i="1" s="1"/>
  <c r="GW20" i="1" s="1"/>
  <c r="GZ20" i="1" s="1"/>
  <c r="HC20" i="1" s="1"/>
  <c r="HF20" i="1" s="1"/>
  <c r="HI20" i="1" s="1"/>
  <c r="HL20" i="1" s="1"/>
  <c r="HO20" i="1" s="1"/>
  <c r="HR20" i="1" s="1"/>
  <c r="HU20" i="1" s="1"/>
  <c r="HX20" i="1" s="1"/>
  <c r="IA20" i="1" s="1"/>
  <c r="ID20" i="1" s="1"/>
  <c r="IG20" i="1" s="1"/>
  <c r="IJ20" i="1" s="1"/>
  <c r="IM20" i="1" s="1"/>
  <c r="BT22" i="1"/>
  <c r="BS22" i="1"/>
  <c r="BV22" i="1" s="1"/>
  <c r="EA22" i="1"/>
  <c r="DZ22" i="1"/>
  <c r="EC23" i="1"/>
  <c r="GL23" i="1"/>
  <c r="ED24" i="1"/>
  <c r="EI25" i="1"/>
  <c r="EJ25" i="1"/>
  <c r="GS27" i="1"/>
  <c r="GR27" i="1"/>
  <c r="BS16" i="1"/>
  <c r="BV16" i="1" s="1"/>
  <c r="KD18" i="1"/>
  <c r="BS21" i="1"/>
  <c r="BN21" i="1" s="1"/>
  <c r="BO21" i="1" s="1"/>
  <c r="BT21" i="1"/>
  <c r="GN22" i="1"/>
  <c r="GQ22" i="1" s="1"/>
  <c r="GT22" i="1" s="1"/>
  <c r="GW22" i="1" s="1"/>
  <c r="GZ22" i="1" s="1"/>
  <c r="HC22" i="1" s="1"/>
  <c r="HF22" i="1" s="1"/>
  <c r="HI22" i="1" s="1"/>
  <c r="HL22" i="1" s="1"/>
  <c r="HO22" i="1" s="1"/>
  <c r="HR22" i="1" s="1"/>
  <c r="HU22" i="1" s="1"/>
  <c r="HX22" i="1" s="1"/>
  <c r="IA22" i="1" s="1"/>
  <c r="ID22" i="1" s="1"/>
  <c r="IG22" i="1" s="1"/>
  <c r="IJ22" i="1" s="1"/>
  <c r="IM22" i="1" s="1"/>
  <c r="GS23" i="1"/>
  <c r="GR23" i="1"/>
  <c r="FR27" i="1"/>
  <c r="FI27" i="1"/>
  <c r="FX27" i="1"/>
  <c r="EZ27" i="1"/>
  <c r="FO27" i="1"/>
  <c r="FL27" i="1"/>
  <c r="FC27" i="1"/>
  <c r="EW27" i="1"/>
  <c r="FU27" i="1"/>
  <c r="GS21" i="1"/>
  <c r="GR21" i="1"/>
  <c r="Z22" i="1"/>
  <c r="GR22" i="1"/>
  <c r="FR26" i="1"/>
  <c r="FX26" i="1"/>
  <c r="EZ26" i="1"/>
  <c r="FO26" i="1"/>
  <c r="FL26" i="1"/>
  <c r="FC26" i="1"/>
  <c r="FU26" i="1"/>
  <c r="EW26" i="1"/>
  <c r="FI26" i="1"/>
  <c r="BS18" i="1"/>
  <c r="BV18" i="1" s="1"/>
  <c r="FI22" i="1"/>
  <c r="FX22" i="1"/>
  <c r="EZ22" i="1"/>
  <c r="FO22" i="1"/>
  <c r="FF22" i="1"/>
  <c r="FU22" i="1"/>
  <c r="EW22" i="1"/>
  <c r="FC22" i="1"/>
  <c r="FR22" i="1"/>
  <c r="GV22" i="1"/>
  <c r="GU22" i="1"/>
  <c r="KT24" i="1"/>
  <c r="FF26" i="1"/>
  <c r="FF27" i="1"/>
  <c r="JV26" i="1"/>
  <c r="JY26" i="1" s="1"/>
  <c r="KL26" i="1"/>
  <c r="KT26" i="1"/>
  <c r="JX26" i="1"/>
  <c r="KD26" i="1"/>
  <c r="DX21" i="1"/>
  <c r="DW21" i="1"/>
  <c r="JV21" i="1"/>
  <c r="KT21" i="1"/>
  <c r="JX21" i="1"/>
  <c r="JW21" i="1" s="1"/>
  <c r="KD22" i="1"/>
  <c r="DY24" i="1"/>
  <c r="EB24" i="1" s="1"/>
  <c r="EE24" i="1" s="1"/>
  <c r="EH24" i="1" s="1"/>
  <c r="EK24" i="1" s="1"/>
  <c r="EN24" i="1" s="1"/>
  <c r="EQ24" i="1" s="1"/>
  <c r="ET24" i="1" s="1"/>
  <c r="GP25" i="1"/>
  <c r="GO25" i="1"/>
  <c r="JV25" i="1"/>
  <c r="KL25" i="1"/>
  <c r="KT25" i="1"/>
  <c r="JX25" i="1"/>
  <c r="KD25" i="1"/>
  <c r="JV22" i="1"/>
  <c r="JW22" i="1" s="1"/>
  <c r="GO23" i="1"/>
  <c r="KL23" i="1"/>
  <c r="GO24" i="1"/>
  <c r="KL24" i="1"/>
  <c r="EC25" i="1"/>
  <c r="KD23" i="1"/>
  <c r="GP24" i="1"/>
  <c r="KD24" i="1"/>
  <c r="R60" i="25"/>
  <c r="JU27" i="1"/>
  <c r="BT27" i="1"/>
  <c r="BS27" i="1"/>
  <c r="BV27" i="1" s="1"/>
  <c r="DT27" i="1"/>
  <c r="G27" i="1"/>
  <c r="CG27" i="1"/>
  <c r="GL27" i="1"/>
  <c r="BT23" i="1"/>
  <c r="BT25" i="1"/>
  <c r="DX26" i="1"/>
  <c r="DW26" i="1"/>
  <c r="K34" i="1"/>
  <c r="Z33" i="1"/>
  <c r="JX23" i="1"/>
  <c r="JW23" i="1" s="1"/>
  <c r="EF25" i="1"/>
  <c r="BS26" i="1"/>
  <c r="BN26" i="1" s="1"/>
  <c r="BO26" i="1" s="1"/>
  <c r="BT26" i="1"/>
  <c r="FL28" i="1"/>
  <c r="FR28" i="1"/>
  <c r="FI28" i="1"/>
  <c r="FO28" i="1"/>
  <c r="FF28" i="1"/>
  <c r="FU28" i="1"/>
  <c r="FC28" i="1"/>
  <c r="EZ28" i="1"/>
  <c r="FX28" i="1"/>
  <c r="EA29" i="1"/>
  <c r="DZ29" i="1"/>
  <c r="JV56" i="1"/>
  <c r="KL56" i="1"/>
  <c r="KT51" i="1"/>
  <c r="JX56" i="1"/>
  <c r="KD54" i="1"/>
  <c r="JX51" i="1"/>
  <c r="JW51" i="1" s="1"/>
  <c r="KD55" i="1"/>
  <c r="KT54" i="1"/>
  <c r="JV51" i="1"/>
  <c r="KD48" i="1"/>
  <c r="KL45" i="1"/>
  <c r="JV50" i="1"/>
  <c r="JV49" i="1"/>
  <c r="KT47" i="1"/>
  <c r="JV48" i="1"/>
  <c r="JX44" i="1"/>
  <c r="JW44" i="1" s="1"/>
  <c r="JX43" i="1"/>
  <c r="JW43" i="1" s="1"/>
  <c r="JV42" i="1"/>
  <c r="JV43" i="1"/>
  <c r="KT42" i="1"/>
  <c r="JX45" i="1"/>
  <c r="KT43" i="1"/>
  <c r="KL46" i="1"/>
  <c r="KD44" i="1"/>
  <c r="JX42" i="1"/>
  <c r="JW42" i="1" s="1"/>
  <c r="KL48" i="1"/>
  <c r="KD41" i="1"/>
  <c r="JX31" i="1"/>
  <c r="JW31" i="1" s="1"/>
  <c r="KL30" i="1"/>
  <c r="KD34" i="1"/>
  <c r="KL29" i="1"/>
  <c r="KT22" i="1"/>
  <c r="JY24" i="1"/>
  <c r="JZ24" i="1" s="1"/>
  <c r="KA24" i="1" s="1"/>
  <c r="GO26" i="1"/>
  <c r="GS26" i="1"/>
  <c r="GR26" i="1"/>
  <c r="EW28" i="1"/>
  <c r="Z26" i="1"/>
  <c r="ED27" i="1"/>
  <c r="EC27" i="1"/>
  <c r="EA30" i="1"/>
  <c r="DZ30" i="1"/>
  <c r="DW27" i="1"/>
  <c r="GU29" i="1"/>
  <c r="BO45" i="1"/>
  <c r="EW31" i="1"/>
  <c r="EW32" i="1"/>
  <c r="GS36" i="1"/>
  <c r="GR36" i="1"/>
  <c r="EG37" i="1"/>
  <c r="EF37" i="1"/>
  <c r="ED28" i="1"/>
  <c r="EC28" i="1"/>
  <c r="JX28" i="1"/>
  <c r="GY29" i="1"/>
  <c r="GX29" i="1"/>
  <c r="EW30" i="1"/>
  <c r="FF35" i="1"/>
  <c r="FU35" i="1"/>
  <c r="EW35" i="1"/>
  <c r="FL35" i="1"/>
  <c r="FC35" i="1"/>
  <c r="FR35" i="1"/>
  <c r="FI35" i="1"/>
  <c r="FX35" i="1"/>
  <c r="EZ35" i="1"/>
  <c r="FO35" i="1"/>
  <c r="GM28" i="1"/>
  <c r="BT31" i="1"/>
  <c r="BS31" i="1"/>
  <c r="BV31" i="1" s="1"/>
  <c r="EA31" i="1"/>
  <c r="DZ31" i="1"/>
  <c r="EA32" i="1"/>
  <c r="DZ32" i="1"/>
  <c r="EA34" i="1"/>
  <c r="DZ34" i="1"/>
  <c r="FO38" i="1"/>
  <c r="FC38" i="1"/>
  <c r="FI38" i="1"/>
  <c r="FR38" i="1"/>
  <c r="EW38" i="1"/>
  <c r="FF38" i="1"/>
  <c r="FX38" i="1"/>
  <c r="FL38" i="1"/>
  <c r="FU38" i="1"/>
  <c r="EZ38" i="1"/>
  <c r="GO27" i="1"/>
  <c r="GO29" i="1"/>
  <c r="JX29" i="1"/>
  <c r="FI33" i="1"/>
  <c r="FX33" i="1"/>
  <c r="EZ33" i="1"/>
  <c r="FO33" i="1"/>
  <c r="FL33" i="1"/>
  <c r="FC33" i="1"/>
  <c r="FR33" i="1"/>
  <c r="EW33" i="1"/>
  <c r="FF33" i="1"/>
  <c r="FL30" i="1"/>
  <c r="FR30" i="1"/>
  <c r="FI30" i="1"/>
  <c r="FX30" i="1"/>
  <c r="EZ30" i="1"/>
  <c r="FO30" i="1"/>
  <c r="FF30" i="1"/>
  <c r="JX30" i="1"/>
  <c r="JW30" i="1" s="1"/>
  <c r="FL31" i="1"/>
  <c r="FC31" i="1"/>
  <c r="FR31" i="1"/>
  <c r="FI31" i="1"/>
  <c r="FX31" i="1"/>
  <c r="EZ31" i="1"/>
  <c r="FO31" i="1"/>
  <c r="FF31" i="1"/>
  <c r="FL32" i="1"/>
  <c r="FC32" i="1"/>
  <c r="FR32" i="1"/>
  <c r="FI32" i="1"/>
  <c r="FX32" i="1"/>
  <c r="EZ32" i="1"/>
  <c r="FO32" i="1"/>
  <c r="FF32" i="1"/>
  <c r="GI33" i="1"/>
  <c r="FX36" i="1"/>
  <c r="EZ36" i="1"/>
  <c r="FO36" i="1"/>
  <c r="FF36" i="1"/>
  <c r="FU36" i="1"/>
  <c r="EW36" i="1"/>
  <c r="FL36" i="1"/>
  <c r="FC36" i="1"/>
  <c r="FR36" i="1"/>
  <c r="FI36" i="1"/>
  <c r="GI27" i="1"/>
  <c r="BS28" i="1"/>
  <c r="BN28" i="1" s="1"/>
  <c r="BO28" i="1" s="1"/>
  <c r="DZ28" i="1"/>
  <c r="FU30" i="1"/>
  <c r="EJ33" i="1"/>
  <c r="EI33" i="1"/>
  <c r="GP38" i="1"/>
  <c r="GO38" i="1"/>
  <c r="FI39" i="1"/>
  <c r="FX39" i="1"/>
  <c r="EZ39" i="1"/>
  <c r="FO39" i="1"/>
  <c r="FU39" i="1"/>
  <c r="EW39" i="1"/>
  <c r="FL39" i="1"/>
  <c r="FF39" i="1"/>
  <c r="FC39" i="1"/>
  <c r="FR39" i="1"/>
  <c r="GM30" i="1"/>
  <c r="GM31" i="1"/>
  <c r="KT31" i="1"/>
  <c r="GM32" i="1"/>
  <c r="EC33" i="1"/>
  <c r="GQ34" i="1"/>
  <c r="GT34" i="1" s="1"/>
  <c r="GW34" i="1" s="1"/>
  <c r="GZ34" i="1" s="1"/>
  <c r="HC34" i="1" s="1"/>
  <c r="HF34" i="1" s="1"/>
  <c r="HI34" i="1" s="1"/>
  <c r="HL34" i="1" s="1"/>
  <c r="HO34" i="1" s="1"/>
  <c r="HR34" i="1" s="1"/>
  <c r="HU34" i="1" s="1"/>
  <c r="HX34" i="1" s="1"/>
  <c r="IA34" i="1" s="1"/>
  <c r="ID34" i="1" s="1"/>
  <c r="IG34" i="1" s="1"/>
  <c r="IJ34" i="1" s="1"/>
  <c r="IM34" i="1" s="1"/>
  <c r="FR37" i="1"/>
  <c r="FI37" i="1"/>
  <c r="FX37" i="1"/>
  <c r="EZ37" i="1"/>
  <c r="FO37" i="1"/>
  <c r="FF37" i="1"/>
  <c r="FU37" i="1"/>
  <c r="EW37" i="1"/>
  <c r="FL37" i="1"/>
  <c r="EB43" i="1"/>
  <c r="EE43" i="1" s="1"/>
  <c r="EH43" i="1" s="1"/>
  <c r="EK43" i="1" s="1"/>
  <c r="EN43" i="1" s="1"/>
  <c r="EQ43" i="1" s="1"/>
  <c r="ET43" i="1" s="1"/>
  <c r="KT28" i="1"/>
  <c r="KT29" i="1"/>
  <c r="KT30" i="1"/>
  <c r="KL31" i="1"/>
  <c r="BS32" i="1"/>
  <c r="BN32" i="1" s="1"/>
  <c r="BO32" i="1" s="1"/>
  <c r="P33" i="1"/>
  <c r="KD31" i="1"/>
  <c r="BT32" i="1"/>
  <c r="DT32" i="1"/>
  <c r="JU32" i="1"/>
  <c r="R65" i="25"/>
  <c r="JU33" i="1"/>
  <c r="DT33" i="1"/>
  <c r="BT33" i="1"/>
  <c r="BS33" i="1"/>
  <c r="BN33" i="1" s="1"/>
  <c r="BO33" i="1" s="1"/>
  <c r="CG33" i="1"/>
  <c r="DW33" i="1"/>
  <c r="FL34" i="1"/>
  <c r="FC34" i="1"/>
  <c r="FR34" i="1"/>
  <c r="FI34" i="1"/>
  <c r="FO34" i="1"/>
  <c r="FF34" i="1"/>
  <c r="KD28" i="1"/>
  <c r="KD29" i="1"/>
  <c r="KD30" i="1"/>
  <c r="JV31" i="1"/>
  <c r="JY31" i="1" s="1"/>
  <c r="P32" i="1"/>
  <c r="R67" i="25"/>
  <c r="CG35" i="1"/>
  <c r="P35" i="1"/>
  <c r="DW35" i="1"/>
  <c r="GI35" i="1"/>
  <c r="JU35" i="1"/>
  <c r="DT35" i="1"/>
  <c r="DX36" i="1"/>
  <c r="DW36" i="1"/>
  <c r="FC37" i="1"/>
  <c r="JV28" i="1"/>
  <c r="JV29" i="1"/>
  <c r="JV30" i="1"/>
  <c r="GI32" i="1"/>
  <c r="G33" i="1"/>
  <c r="DZ33" i="1"/>
  <c r="GL33" i="1"/>
  <c r="GV34" i="1"/>
  <c r="GU34" i="1"/>
  <c r="DZ35" i="1"/>
  <c r="GP39" i="1"/>
  <c r="GO39" i="1"/>
  <c r="FI42" i="1"/>
  <c r="FX42" i="1"/>
  <c r="EZ42" i="1"/>
  <c r="FO42" i="1"/>
  <c r="FF42" i="1"/>
  <c r="FU42" i="1"/>
  <c r="EW42" i="1"/>
  <c r="FL42" i="1"/>
  <c r="FC42" i="1"/>
  <c r="FR42" i="1"/>
  <c r="I64" i="25"/>
  <c r="G64" i="25"/>
  <c r="K64" i="25"/>
  <c r="E64" i="25"/>
  <c r="DW32" i="1"/>
  <c r="EF33" i="1"/>
  <c r="GP33" i="1"/>
  <c r="GO33" i="1"/>
  <c r="GP35" i="1"/>
  <c r="GO35" i="1"/>
  <c r="GO36" i="1"/>
  <c r="EA38" i="1"/>
  <c r="DZ38" i="1"/>
  <c r="GP42" i="1"/>
  <c r="GO42" i="1"/>
  <c r="DX44" i="1"/>
  <c r="DW44" i="1"/>
  <c r="Z34" i="1"/>
  <c r="J35" i="1"/>
  <c r="FX34" i="1"/>
  <c r="JX34" i="1"/>
  <c r="JW34" i="1" s="1"/>
  <c r="JV34" i="1"/>
  <c r="JY34" i="1" s="1"/>
  <c r="KL34" i="1"/>
  <c r="EA35" i="1"/>
  <c r="GM37" i="1"/>
  <c r="GL37" i="1"/>
  <c r="R70" i="25"/>
  <c r="GL38" i="1"/>
  <c r="GI38" i="1"/>
  <c r="DT38" i="1"/>
  <c r="G38" i="1"/>
  <c r="JU38" i="1"/>
  <c r="GS40" i="1"/>
  <c r="GR40" i="1"/>
  <c r="K66" i="25"/>
  <c r="G66" i="25"/>
  <c r="E66" i="25"/>
  <c r="I66" i="25"/>
  <c r="P34" i="1"/>
  <c r="GI36" i="1"/>
  <c r="R71" i="25"/>
  <c r="JU39" i="1"/>
  <c r="DT39" i="1"/>
  <c r="CG39" i="1"/>
  <c r="P39" i="1"/>
  <c r="R72" i="25"/>
  <c r="GI40" i="1"/>
  <c r="JU40" i="1"/>
  <c r="DT40" i="1"/>
  <c r="G40" i="1"/>
  <c r="FF44" i="1"/>
  <c r="FU44" i="1"/>
  <c r="EW44" i="1"/>
  <c r="FL44" i="1"/>
  <c r="FR44" i="1"/>
  <c r="FO44" i="1"/>
  <c r="FI44" i="1"/>
  <c r="FX44" i="1"/>
  <c r="FC44" i="1"/>
  <c r="BS34" i="1"/>
  <c r="BN34" i="1" s="1"/>
  <c r="BO34" i="1" s="1"/>
  <c r="I69" i="25"/>
  <c r="G69" i="25"/>
  <c r="K69" i="25"/>
  <c r="E69" i="25"/>
  <c r="P37" i="1"/>
  <c r="CG37" i="1"/>
  <c r="GP41" i="1"/>
  <c r="BO43" i="1"/>
  <c r="GO43" i="1"/>
  <c r="GP43" i="1"/>
  <c r="EC39" i="1"/>
  <c r="DW40" i="1"/>
  <c r="FO41" i="1"/>
  <c r="FF41" i="1"/>
  <c r="FU41" i="1"/>
  <c r="EW41" i="1"/>
  <c r="FL41" i="1"/>
  <c r="FC41" i="1"/>
  <c r="FR41" i="1"/>
  <c r="FI41" i="1"/>
  <c r="G68" i="25"/>
  <c r="E68" i="25"/>
  <c r="K68" i="25"/>
  <c r="I68" i="25"/>
  <c r="P36" i="1"/>
  <c r="CG36" i="1"/>
  <c r="GL36" i="1"/>
  <c r="DZ39" i="1"/>
  <c r="KD42" i="1"/>
  <c r="GI34" i="1"/>
  <c r="DT37" i="1"/>
  <c r="JU37" i="1"/>
  <c r="ED39" i="1"/>
  <c r="GI39" i="1"/>
  <c r="P40" i="1"/>
  <c r="ED40" i="1"/>
  <c r="EC40" i="1"/>
  <c r="GO41" i="1"/>
  <c r="BO42" i="1"/>
  <c r="FF46" i="1"/>
  <c r="FU46" i="1"/>
  <c r="EW46" i="1"/>
  <c r="FL46" i="1"/>
  <c r="FC46" i="1"/>
  <c r="FR46" i="1"/>
  <c r="FI46" i="1"/>
  <c r="FX46" i="1"/>
  <c r="EZ46" i="1"/>
  <c r="FO46" i="1"/>
  <c r="DW34" i="1"/>
  <c r="GR34" i="1"/>
  <c r="GL35" i="1"/>
  <c r="G36" i="1"/>
  <c r="GN36" i="1"/>
  <c r="GQ36" i="1" s="1"/>
  <c r="GT36" i="1" s="1"/>
  <c r="GW36" i="1" s="1"/>
  <c r="GZ36" i="1" s="1"/>
  <c r="HC36" i="1" s="1"/>
  <c r="HF36" i="1" s="1"/>
  <c r="HI36" i="1" s="1"/>
  <c r="HL36" i="1" s="1"/>
  <c r="HO36" i="1" s="1"/>
  <c r="HR36" i="1" s="1"/>
  <c r="HU36" i="1" s="1"/>
  <c r="HX36" i="1" s="1"/>
  <c r="IA36" i="1" s="1"/>
  <c r="ID36" i="1" s="1"/>
  <c r="IG36" i="1" s="1"/>
  <c r="IJ36" i="1" s="1"/>
  <c r="IM36" i="1" s="1"/>
  <c r="EC37" i="1"/>
  <c r="DW38" i="1"/>
  <c r="GL39" i="1"/>
  <c r="FL40" i="1"/>
  <c r="FC40" i="1"/>
  <c r="FR40" i="1"/>
  <c r="FI40" i="1"/>
  <c r="FX40" i="1"/>
  <c r="EZ40" i="1"/>
  <c r="FO40" i="1"/>
  <c r="FF40" i="1"/>
  <c r="EZ41" i="1"/>
  <c r="KL41" i="1"/>
  <c r="KT41" i="1"/>
  <c r="JX41" i="1"/>
  <c r="JV41" i="1"/>
  <c r="JY41" i="1" s="1"/>
  <c r="DT36" i="1"/>
  <c r="JU36" i="1"/>
  <c r="GI37" i="1"/>
  <c r="AH43" i="1"/>
  <c r="BO44" i="1"/>
  <c r="FR45" i="1"/>
  <c r="FI45" i="1"/>
  <c r="FX45" i="1"/>
  <c r="EZ45" i="1"/>
  <c r="FF45" i="1"/>
  <c r="EW45" i="1"/>
  <c r="FL45" i="1"/>
  <c r="FU45" i="1"/>
  <c r="FC45" i="1"/>
  <c r="FO45" i="1"/>
  <c r="FC47" i="1"/>
  <c r="FR47" i="1"/>
  <c r="FI47" i="1"/>
  <c r="FX47" i="1"/>
  <c r="EZ47" i="1"/>
  <c r="FO47" i="1"/>
  <c r="FF47" i="1"/>
  <c r="FU47" i="1"/>
  <c r="EW47" i="1"/>
  <c r="FL47" i="1"/>
  <c r="GV47" i="1"/>
  <c r="GU47" i="1"/>
  <c r="FX51" i="1"/>
  <c r="EZ51" i="1"/>
  <c r="FO51" i="1"/>
  <c r="FF51" i="1"/>
  <c r="FU51" i="1"/>
  <c r="EW51" i="1"/>
  <c r="FL51" i="1"/>
  <c r="FC51" i="1"/>
  <c r="FR51" i="1"/>
  <c r="FI51" i="1"/>
  <c r="K46" i="25"/>
  <c r="I63" i="25"/>
  <c r="DZ40" i="1"/>
  <c r="DW42" i="1"/>
  <c r="CU46" i="1"/>
  <c r="CS46" i="1"/>
  <c r="CH47" i="1"/>
  <c r="CQ46" i="1"/>
  <c r="AB46" i="1"/>
  <c r="JX47" i="1"/>
  <c r="Z48" i="1"/>
  <c r="Z50" i="1"/>
  <c r="BS50" i="1"/>
  <c r="BN50" i="1" s="1"/>
  <c r="BO50" i="1" s="1"/>
  <c r="FC50" i="1"/>
  <c r="FR50" i="1"/>
  <c r="FX50" i="1"/>
  <c r="EZ50" i="1"/>
  <c r="FO50" i="1"/>
  <c r="FF50" i="1"/>
  <c r="FU50" i="1"/>
  <c r="EW50" i="1"/>
  <c r="FL50" i="1"/>
  <c r="FI50" i="1"/>
  <c r="GN40" i="1"/>
  <c r="GQ40" i="1" s="1"/>
  <c r="GT40" i="1" s="1"/>
  <c r="GW40" i="1" s="1"/>
  <c r="GZ40" i="1" s="1"/>
  <c r="HC40" i="1" s="1"/>
  <c r="HF40" i="1" s="1"/>
  <c r="HI40" i="1" s="1"/>
  <c r="HL40" i="1" s="1"/>
  <c r="HO40" i="1" s="1"/>
  <c r="HR40" i="1" s="1"/>
  <c r="HU40" i="1" s="1"/>
  <c r="HX40" i="1" s="1"/>
  <c r="IA40" i="1" s="1"/>
  <c r="ID40" i="1" s="1"/>
  <c r="IG40" i="1" s="1"/>
  <c r="IJ40" i="1" s="1"/>
  <c r="IM40" i="1" s="1"/>
  <c r="BS41" i="1"/>
  <c r="BN41" i="1" s="1"/>
  <c r="BO41" i="1" s="1"/>
  <c r="GI41" i="1"/>
  <c r="DX42" i="1"/>
  <c r="BT43" i="1"/>
  <c r="Z43" i="1"/>
  <c r="DZ45" i="1"/>
  <c r="JV45" i="1"/>
  <c r="BS51" i="1"/>
  <c r="BN51" i="1" s="1"/>
  <c r="BO51" i="1" s="1"/>
  <c r="Z51" i="1"/>
  <c r="GO40" i="1"/>
  <c r="DW41" i="1"/>
  <c r="GL42" i="1"/>
  <c r="GP46" i="1"/>
  <c r="GO46" i="1"/>
  <c r="EA47" i="1"/>
  <c r="DZ47" i="1"/>
  <c r="BO49" i="1"/>
  <c r="FC49" i="1"/>
  <c r="FR49" i="1"/>
  <c r="FO49" i="1"/>
  <c r="FF49" i="1"/>
  <c r="FL49" i="1"/>
  <c r="FI49" i="1"/>
  <c r="FX49" i="1"/>
  <c r="FU49" i="1"/>
  <c r="EZ49" i="1"/>
  <c r="GV50" i="1"/>
  <c r="GU50" i="1"/>
  <c r="DX41" i="1"/>
  <c r="KD43" i="1"/>
  <c r="Z44" i="1"/>
  <c r="EA45" i="1"/>
  <c r="BT46" i="1"/>
  <c r="BS46" i="1"/>
  <c r="BN46" i="1" s="1"/>
  <c r="BO46" i="1" s="1"/>
  <c r="CZ48" i="1"/>
  <c r="DA48" i="1" s="1"/>
  <c r="DB48" i="1" s="1"/>
  <c r="GU48" i="1"/>
  <c r="GV48" i="1"/>
  <c r="EW49" i="1"/>
  <c r="CG41" i="1"/>
  <c r="GL41" i="1"/>
  <c r="GL43" i="1"/>
  <c r="KT44" i="1"/>
  <c r="BO47" i="1"/>
  <c r="GN47" i="1"/>
  <c r="GQ47" i="1" s="1"/>
  <c r="GT47" i="1" s="1"/>
  <c r="GW47" i="1" s="1"/>
  <c r="GZ47" i="1" s="1"/>
  <c r="HC47" i="1" s="1"/>
  <c r="HF47" i="1" s="1"/>
  <c r="HI47" i="1" s="1"/>
  <c r="HL47" i="1" s="1"/>
  <c r="HO47" i="1" s="1"/>
  <c r="HR47" i="1" s="1"/>
  <c r="HU47" i="1" s="1"/>
  <c r="HX47" i="1" s="1"/>
  <c r="IA47" i="1" s="1"/>
  <c r="ID47" i="1" s="1"/>
  <c r="IG47" i="1" s="1"/>
  <c r="IJ47" i="1" s="1"/>
  <c r="IM47" i="1" s="1"/>
  <c r="ED48" i="1"/>
  <c r="K73" i="25"/>
  <c r="I73" i="25"/>
  <c r="E73" i="25"/>
  <c r="G73" i="25"/>
  <c r="EG43" i="1"/>
  <c r="GM44" i="1"/>
  <c r="GL44" i="1"/>
  <c r="JV44" i="1"/>
  <c r="JY44" i="1" s="1"/>
  <c r="GM45" i="1"/>
  <c r="GL45" i="1"/>
  <c r="KT46" i="1"/>
  <c r="BO48" i="1"/>
  <c r="FR48" i="1"/>
  <c r="FF48" i="1"/>
  <c r="FX48" i="1"/>
  <c r="FC48" i="1"/>
  <c r="FL48" i="1"/>
  <c r="FU48" i="1"/>
  <c r="EZ48" i="1"/>
  <c r="FI48" i="1"/>
  <c r="EW48" i="1"/>
  <c r="GP49" i="1"/>
  <c r="GO49" i="1"/>
  <c r="DW49" i="1"/>
  <c r="GN49" i="1"/>
  <c r="GQ49" i="1" s="1"/>
  <c r="GT49" i="1" s="1"/>
  <c r="GW49" i="1" s="1"/>
  <c r="GZ49" i="1" s="1"/>
  <c r="HC49" i="1" s="1"/>
  <c r="HF49" i="1" s="1"/>
  <c r="HI49" i="1" s="1"/>
  <c r="HL49" i="1" s="1"/>
  <c r="HO49" i="1" s="1"/>
  <c r="HR49" i="1" s="1"/>
  <c r="HU49" i="1" s="1"/>
  <c r="HX49" i="1" s="1"/>
  <c r="IA49" i="1" s="1"/>
  <c r="ID49" i="1" s="1"/>
  <c r="IG49" i="1" s="1"/>
  <c r="IJ49" i="1" s="1"/>
  <c r="IM49" i="1" s="1"/>
  <c r="JX49" i="1"/>
  <c r="JW49" i="1" s="1"/>
  <c r="EA53" i="1"/>
  <c r="DZ53" i="1"/>
  <c r="FC58" i="1"/>
  <c r="FX58" i="1"/>
  <c r="EZ58" i="1"/>
  <c r="FO58" i="1"/>
  <c r="FL58" i="1"/>
  <c r="FU58" i="1"/>
  <c r="FI58" i="1"/>
  <c r="FR58" i="1"/>
  <c r="EW58" i="1"/>
  <c r="FF60" i="1"/>
  <c r="FU60" i="1"/>
  <c r="EW60" i="1"/>
  <c r="FL60" i="1"/>
  <c r="FR60" i="1"/>
  <c r="FI60" i="1"/>
  <c r="FX60" i="1"/>
  <c r="FC60" i="1"/>
  <c r="EZ60" i="1"/>
  <c r="FO60" i="1"/>
  <c r="FC63" i="1"/>
  <c r="FR63" i="1"/>
  <c r="FI63" i="1"/>
  <c r="FO63" i="1"/>
  <c r="FF63" i="1"/>
  <c r="FU63" i="1"/>
  <c r="EW63" i="1"/>
  <c r="EZ63" i="1"/>
  <c r="FX63" i="1"/>
  <c r="FL63" i="1"/>
  <c r="JV46" i="1"/>
  <c r="JY46" i="1" s="1"/>
  <c r="DW50" i="1"/>
  <c r="JX50" i="1"/>
  <c r="CZ51" i="1"/>
  <c r="DA51" i="1" s="1"/>
  <c r="DB51" i="1" s="1"/>
  <c r="FO52" i="1"/>
  <c r="FF52" i="1"/>
  <c r="FU52" i="1"/>
  <c r="EW52" i="1"/>
  <c r="FL52" i="1"/>
  <c r="FC52" i="1"/>
  <c r="FR52" i="1"/>
  <c r="FI52" i="1"/>
  <c r="GS52" i="1"/>
  <c r="GR52" i="1"/>
  <c r="JY53" i="1"/>
  <c r="FR56" i="1"/>
  <c r="FI56" i="1"/>
  <c r="FX56" i="1"/>
  <c r="EZ56" i="1"/>
  <c r="FO56" i="1"/>
  <c r="FF56" i="1"/>
  <c r="FU56" i="1"/>
  <c r="EW56" i="1"/>
  <c r="FL56" i="1"/>
  <c r="FC56" i="1"/>
  <c r="FU57" i="1"/>
  <c r="EW57" i="1"/>
  <c r="FL57" i="1"/>
  <c r="FC57" i="1"/>
  <c r="FR57" i="1"/>
  <c r="FI57" i="1"/>
  <c r="FX57" i="1"/>
  <c r="EZ57" i="1"/>
  <c r="FO57" i="1"/>
  <c r="FF57" i="1"/>
  <c r="FF58" i="1"/>
  <c r="JY43" i="1"/>
  <c r="IU45" i="1"/>
  <c r="JC45" i="1"/>
  <c r="KT45" i="1"/>
  <c r="AC46" i="1"/>
  <c r="KL47" i="1"/>
  <c r="DX49" i="1"/>
  <c r="GN50" i="1"/>
  <c r="GQ50" i="1" s="1"/>
  <c r="GT50" i="1" s="1"/>
  <c r="GW50" i="1" s="1"/>
  <c r="GZ50" i="1" s="1"/>
  <c r="HC50" i="1" s="1"/>
  <c r="HF50" i="1" s="1"/>
  <c r="HI50" i="1" s="1"/>
  <c r="HL50" i="1" s="1"/>
  <c r="HO50" i="1" s="1"/>
  <c r="HR50" i="1" s="1"/>
  <c r="HU50" i="1" s="1"/>
  <c r="HX50" i="1" s="1"/>
  <c r="IA50" i="1" s="1"/>
  <c r="ID50" i="1" s="1"/>
  <c r="IG50" i="1" s="1"/>
  <c r="IJ50" i="1" s="1"/>
  <c r="IM50" i="1" s="1"/>
  <c r="FL53" i="1"/>
  <c r="FC53" i="1"/>
  <c r="FR53" i="1"/>
  <c r="FI53" i="1"/>
  <c r="FX53" i="1"/>
  <c r="EZ53" i="1"/>
  <c r="FO53" i="1"/>
  <c r="FF53" i="1"/>
  <c r="DY54" i="1"/>
  <c r="EB54" i="1" s="1"/>
  <c r="EE54" i="1" s="1"/>
  <c r="EH54" i="1" s="1"/>
  <c r="EK54" i="1" s="1"/>
  <c r="EN54" i="1" s="1"/>
  <c r="EQ54" i="1" s="1"/>
  <c r="ET54" i="1" s="1"/>
  <c r="GV55" i="1"/>
  <c r="GU55" i="1"/>
  <c r="DW46" i="1"/>
  <c r="JX46" i="1"/>
  <c r="JW46" i="1" s="1"/>
  <c r="GO47" i="1"/>
  <c r="KD47" i="1"/>
  <c r="DZ48" i="1"/>
  <c r="GL48" i="1"/>
  <c r="DX50" i="1"/>
  <c r="CU52" i="1"/>
  <c r="CS52" i="1"/>
  <c r="CQ52" i="1"/>
  <c r="AH52" i="1" s="1"/>
  <c r="BO53" i="1"/>
  <c r="ES55" i="1"/>
  <c r="ER55" i="1"/>
  <c r="Z45" i="1"/>
  <c r="DX46" i="1"/>
  <c r="Z47" i="1"/>
  <c r="JV47" i="1"/>
  <c r="Q48" i="1"/>
  <c r="CY48" i="1"/>
  <c r="AH49" i="1"/>
  <c r="GS51" i="1"/>
  <c r="GR51" i="1"/>
  <c r="EZ52" i="1"/>
  <c r="GO52" i="1"/>
  <c r="KL43" i="1"/>
  <c r="CQ45" i="1"/>
  <c r="AH45" i="1" s="1"/>
  <c r="IX45" i="1"/>
  <c r="GL46" i="1"/>
  <c r="GO48" i="1"/>
  <c r="KD51" i="1"/>
  <c r="KL52" i="1"/>
  <c r="KT52" i="1"/>
  <c r="JX52" i="1"/>
  <c r="JV52" i="1"/>
  <c r="GS53" i="1"/>
  <c r="GR53" i="1"/>
  <c r="IY45" i="1"/>
  <c r="JX48" i="1"/>
  <c r="JW48" i="1" s="1"/>
  <c r="KT48" i="1"/>
  <c r="AH50" i="1"/>
  <c r="DX51" i="1"/>
  <c r="DW51" i="1"/>
  <c r="EA52" i="1"/>
  <c r="DZ52" i="1"/>
  <c r="KD52" i="1"/>
  <c r="ED57" i="1"/>
  <c r="EC57" i="1"/>
  <c r="CQ54" i="1"/>
  <c r="CS54" i="1"/>
  <c r="CH55" i="1"/>
  <c r="FR62" i="1"/>
  <c r="FI62" i="1"/>
  <c r="FX62" i="1"/>
  <c r="EZ62" i="1"/>
  <c r="FU62" i="1"/>
  <c r="EW62" i="1"/>
  <c r="FL62" i="1"/>
  <c r="FF62" i="1"/>
  <c r="FC62" i="1"/>
  <c r="FO62" i="1"/>
  <c r="KT49" i="1"/>
  <c r="KT50" i="1"/>
  <c r="CS51" i="1"/>
  <c r="AH51" i="1" s="1"/>
  <c r="BS52" i="1"/>
  <c r="BN52" i="1" s="1"/>
  <c r="BO52" i="1" s="1"/>
  <c r="KL53" i="1"/>
  <c r="GO54" i="1"/>
  <c r="EI55" i="1"/>
  <c r="BO57" i="1"/>
  <c r="AH58" i="1"/>
  <c r="KL49" i="1"/>
  <c r="KL50" i="1"/>
  <c r="DW52" i="1"/>
  <c r="GO53" i="1"/>
  <c r="KD53" i="1"/>
  <c r="DZ54" i="1"/>
  <c r="KD49" i="1"/>
  <c r="KD50" i="1"/>
  <c r="CU51" i="1"/>
  <c r="Z53" i="1"/>
  <c r="JV53" i="1"/>
  <c r="GS54" i="1"/>
  <c r="Z56" i="1"/>
  <c r="ED54" i="1"/>
  <c r="EO55" i="1"/>
  <c r="BO56" i="1"/>
  <c r="BT58" i="1"/>
  <c r="BN58" i="1"/>
  <c r="BO58" i="1" s="1"/>
  <c r="BT61" i="1"/>
  <c r="BN61" i="1"/>
  <c r="BO61" i="1" s="1"/>
  <c r="CY51" i="1"/>
  <c r="KL51" i="1"/>
  <c r="CX52" i="1"/>
  <c r="DW53" i="1"/>
  <c r="JX53" i="1"/>
  <c r="BS54" i="1"/>
  <c r="BN54" i="1" s="1"/>
  <c r="BO54" i="1" s="1"/>
  <c r="CU54" i="1"/>
  <c r="JV54" i="1"/>
  <c r="KL54" i="1"/>
  <c r="JX54" i="1"/>
  <c r="JW54" i="1" s="1"/>
  <c r="BS55" i="1"/>
  <c r="DY55" i="1"/>
  <c r="EB55" i="1" s="1"/>
  <c r="EE55" i="1" s="1"/>
  <c r="EH55" i="1" s="1"/>
  <c r="EK55" i="1" s="1"/>
  <c r="EN55" i="1" s="1"/>
  <c r="EQ55" i="1" s="1"/>
  <c r="ET55" i="1" s="1"/>
  <c r="EL55" i="1"/>
  <c r="GO55" i="1"/>
  <c r="KL55" i="1"/>
  <c r="JX55" i="1"/>
  <c r="JV55" i="1"/>
  <c r="KT55" i="1"/>
  <c r="GP57" i="1"/>
  <c r="GO57" i="1"/>
  <c r="EC55" i="1"/>
  <c r="GM56" i="1"/>
  <c r="GL56" i="1"/>
  <c r="EB59" i="1"/>
  <c r="EE59" i="1" s="1"/>
  <c r="EH59" i="1" s="1"/>
  <c r="EK59" i="1" s="1"/>
  <c r="EN59" i="1" s="1"/>
  <c r="EQ59" i="1" s="1"/>
  <c r="ET59" i="1" s="1"/>
  <c r="FI61" i="1"/>
  <c r="FX61" i="1"/>
  <c r="FO61" i="1"/>
  <c r="FC61" i="1"/>
  <c r="FL61" i="1"/>
  <c r="EZ61" i="1"/>
  <c r="FU61" i="1"/>
  <c r="EW61" i="1"/>
  <c r="FR61" i="1"/>
  <c r="FF61" i="1"/>
  <c r="DX56" i="1"/>
  <c r="JY56" i="1"/>
  <c r="KL57" i="1"/>
  <c r="GM60" i="1"/>
  <c r="GL60" i="1"/>
  <c r="Z57" i="1"/>
  <c r="KD57" i="1"/>
  <c r="DX60" i="1"/>
  <c r="KT56" i="1"/>
  <c r="JV57" i="1"/>
  <c r="BT59" i="1"/>
  <c r="GP62" i="1"/>
  <c r="GO62" i="1"/>
  <c r="DW60" i="1"/>
  <c r="JX57" i="1"/>
  <c r="JW57" i="1" s="1"/>
  <c r="GP58" i="1"/>
  <c r="ED59" i="1"/>
  <c r="DX58" i="1"/>
  <c r="CH60" i="1"/>
  <c r="CQ59" i="1"/>
  <c r="AH59" i="1" s="1"/>
  <c r="AB59" i="1"/>
  <c r="GS59" i="1"/>
  <c r="GR59" i="1"/>
  <c r="FL64" i="1"/>
  <c r="FX64" i="1"/>
  <c r="FO64" i="1"/>
  <c r="FF64" i="1"/>
  <c r="EW64" i="1"/>
  <c r="FC64" i="1"/>
  <c r="FU64" i="1"/>
  <c r="FR64" i="1"/>
  <c r="FI64" i="1"/>
  <c r="EZ64" i="1"/>
  <c r="GP61" i="1"/>
  <c r="GO61" i="1"/>
  <c r="ED62" i="1"/>
  <c r="EC62" i="1"/>
  <c r="GM64" i="1"/>
  <c r="GL64" i="1"/>
  <c r="ED61" i="1"/>
  <c r="BN62" i="1"/>
  <c r="BO62" i="1" s="1"/>
  <c r="GS63" i="1"/>
  <c r="DX64" i="1"/>
  <c r="DW64" i="1"/>
  <c r="BS64" i="1"/>
  <c r="Z64" i="1"/>
  <c r="D5" i="45"/>
  <c r="C6" i="45" s="1"/>
  <c r="C5" i="45"/>
  <c r="F5" i="45" s="1"/>
  <c r="Q10" i="31"/>
  <c r="Z61" i="1"/>
  <c r="BT63" i="1"/>
  <c r="BN63" i="1"/>
  <c r="BO63" i="1" s="1"/>
  <c r="EA63" i="1"/>
  <c r="DZ63" i="1"/>
  <c r="G5" i="31"/>
  <c r="DD7" i="31"/>
  <c r="DC7" i="31" s="1"/>
  <c r="AA5" i="31" s="1"/>
  <c r="DA7" i="31"/>
  <c r="CZ7" i="31"/>
  <c r="DA31" i="31"/>
  <c r="DD31" i="31"/>
  <c r="CZ31" i="31"/>
  <c r="BJ7" i="31" s="1"/>
  <c r="DD77" i="31"/>
  <c r="DA77" i="31"/>
  <c r="CZ77" i="31"/>
  <c r="Z12" i="31" s="1"/>
  <c r="Z62" i="1"/>
  <c r="DD10" i="31"/>
  <c r="DC10" i="31" s="1"/>
  <c r="BB5" i="31" s="1"/>
  <c r="DA10" i="31"/>
  <c r="CZ10" i="31"/>
  <c r="Y18" i="47"/>
  <c r="Z18" i="49"/>
  <c r="U18" i="9"/>
  <c r="N18" i="33"/>
  <c r="X18" i="24"/>
  <c r="AB18" i="25"/>
  <c r="DC21" i="31"/>
  <c r="BK6" i="31" s="1"/>
  <c r="X7" i="47"/>
  <c r="Y7" i="49"/>
  <c r="T7" i="9"/>
  <c r="P7" i="9" s="1"/>
  <c r="M7" i="33"/>
  <c r="I10" i="33" s="1"/>
  <c r="AA7" i="25"/>
  <c r="DO12" i="31"/>
  <c r="DO6" i="31"/>
  <c r="DC38" i="31"/>
  <c r="AJ8" i="31" s="1"/>
  <c r="DD73" i="31"/>
  <c r="DC73" i="31" s="1"/>
  <c r="CC11" i="31" s="1"/>
  <c r="DD8" i="31"/>
  <c r="DC8" i="31" s="1"/>
  <c r="AJ5" i="31" s="1"/>
  <c r="DD12" i="31"/>
  <c r="DC12" i="31" s="1"/>
  <c r="BT5" i="31" s="1"/>
  <c r="DA12" i="31"/>
  <c r="CZ12" i="31"/>
  <c r="N7" i="33"/>
  <c r="Z7" i="49"/>
  <c r="AA7" i="49" s="1"/>
  <c r="U7" i="9"/>
  <c r="Y7" i="47"/>
  <c r="DE78" i="31"/>
  <c r="AK12" i="31" s="1"/>
  <c r="DE72" i="31"/>
  <c r="BU11" i="31" s="1"/>
  <c r="DE58" i="31"/>
  <c r="AK10" i="31" s="1"/>
  <c r="DE52" i="31"/>
  <c r="BU9" i="31" s="1"/>
  <c r="DE38" i="31"/>
  <c r="AK8" i="31" s="1"/>
  <c r="AB7" i="25"/>
  <c r="DE77" i="31"/>
  <c r="AB12" i="31" s="1"/>
  <c r="DE71" i="31"/>
  <c r="BL11" i="31" s="1"/>
  <c r="DE57" i="31"/>
  <c r="AB10" i="31" s="1"/>
  <c r="DE51" i="31"/>
  <c r="BL9" i="31" s="1"/>
  <c r="DE37" i="31"/>
  <c r="AB8" i="31" s="1"/>
  <c r="DE27" i="31"/>
  <c r="AB7" i="31" s="1"/>
  <c r="DE24" i="31"/>
  <c r="CM6" i="31" s="1"/>
  <c r="DE76" i="31"/>
  <c r="S12" i="31" s="1"/>
  <c r="DE70" i="31"/>
  <c r="BC11" i="31" s="1"/>
  <c r="DE56" i="31"/>
  <c r="S10" i="31" s="1"/>
  <c r="DE50" i="31"/>
  <c r="BC9" i="31" s="1"/>
  <c r="DE69" i="31"/>
  <c r="AT11" i="31" s="1"/>
  <c r="DE63" i="31"/>
  <c r="CD10" i="31" s="1"/>
  <c r="DE55" i="31"/>
  <c r="J10" i="31" s="1"/>
  <c r="DE49" i="31"/>
  <c r="AT9" i="31" s="1"/>
  <c r="DE43" i="31"/>
  <c r="CD8" i="31" s="1"/>
  <c r="DE35" i="31"/>
  <c r="J8" i="31" s="1"/>
  <c r="DE68" i="31"/>
  <c r="AK11" i="31" s="1"/>
  <c r="DD63" i="31"/>
  <c r="DE62" i="31"/>
  <c r="BU10" i="31" s="1"/>
  <c r="DD55" i="31"/>
  <c r="DC55" i="31" s="1"/>
  <c r="I10" i="31" s="1"/>
  <c r="DE48" i="31"/>
  <c r="AK9" i="31" s="1"/>
  <c r="DD43" i="31"/>
  <c r="DC43" i="31" s="1"/>
  <c r="CC8" i="31" s="1"/>
  <c r="DE42" i="31"/>
  <c r="BU8" i="31" s="1"/>
  <c r="DD35" i="31"/>
  <c r="DD26" i="31"/>
  <c r="DE23" i="31"/>
  <c r="CD6" i="31" s="1"/>
  <c r="DD82" i="31"/>
  <c r="DE81" i="31"/>
  <c r="BL12" i="31" s="1"/>
  <c r="DD68" i="31"/>
  <c r="DE67" i="31"/>
  <c r="AB11" i="31" s="1"/>
  <c r="DD62" i="31"/>
  <c r="DE61" i="31"/>
  <c r="BL10" i="31" s="1"/>
  <c r="DE54" i="31"/>
  <c r="CM9" i="31" s="1"/>
  <c r="DD48" i="31"/>
  <c r="DC48" i="31" s="1"/>
  <c r="AJ9" i="31" s="1"/>
  <c r="DE47" i="31"/>
  <c r="AB9" i="31" s="1"/>
  <c r="DE80" i="31"/>
  <c r="BC12" i="31" s="1"/>
  <c r="DE66" i="31"/>
  <c r="S11" i="31" s="1"/>
  <c r="DE60" i="31"/>
  <c r="BC10" i="31" s="1"/>
  <c r="DE46" i="31"/>
  <c r="S9" i="31" s="1"/>
  <c r="DE40" i="31"/>
  <c r="BC8" i="31" s="1"/>
  <c r="DE31" i="31"/>
  <c r="BL7" i="31" s="1"/>
  <c r="DE28" i="31"/>
  <c r="AK7" i="31" s="1"/>
  <c r="DE25" i="31"/>
  <c r="J7" i="31" s="1"/>
  <c r="DE22" i="31"/>
  <c r="BU6" i="31" s="1"/>
  <c r="DP15" i="31"/>
  <c r="DA17" i="31"/>
  <c r="Z6" i="31" s="1"/>
  <c r="DE19" i="31"/>
  <c r="AT6" i="31" s="1"/>
  <c r="DA21" i="31"/>
  <c r="BJ6" i="31" s="1"/>
  <c r="Z25" i="49"/>
  <c r="AA25" i="49" s="1"/>
  <c r="N25" i="33"/>
  <c r="Y25" i="47"/>
  <c r="U25" i="9"/>
  <c r="X25" i="24"/>
  <c r="AB25" i="25"/>
  <c r="DE34" i="31"/>
  <c r="CM7" i="31" s="1"/>
  <c r="DA42" i="31"/>
  <c r="CZ42" i="31"/>
  <c r="DD49" i="31"/>
  <c r="DC49" i="31" s="1"/>
  <c r="AS9" i="31" s="1"/>
  <c r="DD79" i="31"/>
  <c r="DC79" i="31" s="1"/>
  <c r="AS12" i="31" s="1"/>
  <c r="G74" i="25"/>
  <c r="G82" i="25"/>
  <c r="DP13" i="31"/>
  <c r="DD14" i="31"/>
  <c r="DE16" i="31"/>
  <c r="N19" i="33"/>
  <c r="Y19" i="47"/>
  <c r="X19" i="24"/>
  <c r="U19" i="9"/>
  <c r="Z19" i="49"/>
  <c r="AB19" i="25"/>
  <c r="DD20" i="31"/>
  <c r="DC20" i="31" s="1"/>
  <c r="BB6" i="31" s="1"/>
  <c r="DE26" i="31"/>
  <c r="S7" i="31" s="1"/>
  <c r="DD27" i="31"/>
  <c r="DC27" i="31" s="1"/>
  <c r="AA7" i="31" s="1"/>
  <c r="DD32" i="31"/>
  <c r="DA64" i="31"/>
  <c r="CZ64" i="31"/>
  <c r="DD70" i="31"/>
  <c r="DE73" i="31"/>
  <c r="CD11" i="31" s="1"/>
  <c r="DD80" i="31"/>
  <c r="DC80" i="31" s="1"/>
  <c r="BB12" i="31" s="1"/>
  <c r="E48" i="25"/>
  <c r="M8" i="33"/>
  <c r="Y8" i="49"/>
  <c r="X8" i="47"/>
  <c r="T8" i="9"/>
  <c r="W8" i="24"/>
  <c r="AA8" i="25"/>
  <c r="DE14" i="31"/>
  <c r="CM5" i="31" s="1"/>
  <c r="DE20" i="31"/>
  <c r="BC6" i="31" s="1"/>
  <c r="DA23" i="31"/>
  <c r="CB6" i="31" s="1"/>
  <c r="DA24" i="31"/>
  <c r="CK6" i="31" s="1"/>
  <c r="Y26" i="47"/>
  <c r="Z26" i="49"/>
  <c r="N26" i="33"/>
  <c r="U26" i="9"/>
  <c r="X26" i="24"/>
  <c r="AB26" i="25"/>
  <c r="DD42" i="31"/>
  <c r="DC42" i="31" s="1"/>
  <c r="BT8" i="31" s="1"/>
  <c r="DD45" i="31"/>
  <c r="DC45" i="31" s="1"/>
  <c r="I9" i="31" s="1"/>
  <c r="DD72" i="31"/>
  <c r="DD76" i="31"/>
  <c r="DE79" i="31"/>
  <c r="AT12" i="31" s="1"/>
  <c r="I41" i="25"/>
  <c r="DE9" i="31"/>
  <c r="AT5" i="31" s="1"/>
  <c r="CZ13" i="31"/>
  <c r="CB5" i="31" s="1"/>
  <c r="DP16" i="31"/>
  <c r="CZ19" i="31"/>
  <c r="AR6" i="31" s="1"/>
  <c r="Z20" i="49"/>
  <c r="AA20" i="49" s="1"/>
  <c r="N20" i="33"/>
  <c r="Y20" i="47"/>
  <c r="X20" i="24"/>
  <c r="U20" i="9"/>
  <c r="AB20" i="25"/>
  <c r="DD28" i="31"/>
  <c r="DC28" i="31" s="1"/>
  <c r="AJ7" i="31" s="1"/>
  <c r="DE29" i="31"/>
  <c r="DE30" i="31"/>
  <c r="DD36" i="31"/>
  <c r="DD46" i="31"/>
  <c r="DC46" i="31" s="1"/>
  <c r="R9" i="31" s="1"/>
  <c r="DD51" i="31"/>
  <c r="DC51" i="31" s="1"/>
  <c r="BK9" i="31" s="1"/>
  <c r="DA51" i="31"/>
  <c r="CZ51" i="31"/>
  <c r="DD57" i="31"/>
  <c r="DC57" i="31" s="1"/>
  <c r="AA10" i="31" s="1"/>
  <c r="DA57" i="31"/>
  <c r="CZ57" i="31"/>
  <c r="DD69" i="31"/>
  <c r="DD78" i="31"/>
  <c r="DC78" i="31" s="1"/>
  <c r="AJ12" i="31" s="1"/>
  <c r="I50" i="25"/>
  <c r="I58" i="25"/>
  <c r="N6" i="33"/>
  <c r="Y6" i="47"/>
  <c r="Z6" i="49"/>
  <c r="AA6" i="49" s="1"/>
  <c r="U6" i="9"/>
  <c r="AB6" i="25"/>
  <c r="X6" i="24"/>
  <c r="Y9" i="49"/>
  <c r="X9" i="47"/>
  <c r="T9" i="9"/>
  <c r="W9" i="24"/>
  <c r="M9" i="33"/>
  <c r="AA9" i="25"/>
  <c r="DD11" i="31"/>
  <c r="DE12" i="31"/>
  <c r="BU5" i="31" s="1"/>
  <c r="DP14" i="31"/>
  <c r="DE17" i="31"/>
  <c r="AB6" i="31" s="1"/>
  <c r="DE21" i="31"/>
  <c r="BL6" i="31" s="1"/>
  <c r="DD23" i="31"/>
  <c r="DC23" i="31" s="1"/>
  <c r="CC6" i="31" s="1"/>
  <c r="DD37" i="31"/>
  <c r="DC37" i="31" s="1"/>
  <c r="AA8" i="31" s="1"/>
  <c r="DE45" i="31"/>
  <c r="J9" i="31" s="1"/>
  <c r="DD59" i="31"/>
  <c r="DA84" i="31"/>
  <c r="CZ84" i="31"/>
  <c r="CK12" i="31" s="1"/>
  <c r="E43" i="25"/>
  <c r="G78" i="25"/>
  <c r="DE10" i="31"/>
  <c r="BC5" i="31" s="1"/>
  <c r="DE11" i="31"/>
  <c r="BL5" i="31" s="1"/>
  <c r="DD15" i="31"/>
  <c r="Z17" i="49"/>
  <c r="AA17" i="49" s="1"/>
  <c r="N17" i="33"/>
  <c r="Y17" i="47"/>
  <c r="U17" i="9"/>
  <c r="X17" i="24"/>
  <c r="AB17" i="25"/>
  <c r="DD18" i="31"/>
  <c r="N21" i="33"/>
  <c r="Y21" i="47"/>
  <c r="Z21" i="49"/>
  <c r="AA21" i="49" s="1"/>
  <c r="U21" i="9"/>
  <c r="X21" i="24"/>
  <c r="AB21" i="25"/>
  <c r="DD22" i="31"/>
  <c r="N23" i="33"/>
  <c r="X23" i="24"/>
  <c r="Y23" i="47"/>
  <c r="U23" i="9"/>
  <c r="Z23" i="49"/>
  <c r="AA23" i="49" s="1"/>
  <c r="AB23" i="25"/>
  <c r="DD24" i="31"/>
  <c r="DD33" i="31"/>
  <c r="DC33" i="31" s="1"/>
  <c r="CC7" i="31" s="1"/>
  <c r="CZ33" i="31"/>
  <c r="CB7" i="31" s="1"/>
  <c r="DD39" i="31"/>
  <c r="DC39" i="31" s="1"/>
  <c r="AS8" i="31" s="1"/>
  <c r="DA39" i="31"/>
  <c r="CZ39" i="31"/>
  <c r="DE41" i="31"/>
  <c r="BL8" i="31" s="1"/>
  <c r="DD44" i="31"/>
  <c r="CZ44" i="31"/>
  <c r="CK8" i="31" s="1"/>
  <c r="DD60" i="31"/>
  <c r="DD83" i="31"/>
  <c r="G44" i="25"/>
  <c r="X10" i="47"/>
  <c r="M10" i="33"/>
  <c r="Y10" i="49"/>
  <c r="T10" i="9"/>
  <c r="W10" i="24"/>
  <c r="AA10" i="25"/>
  <c r="Y11" i="49"/>
  <c r="M11" i="33"/>
  <c r="X11" i="47"/>
  <c r="T11" i="9"/>
  <c r="W11" i="24"/>
  <c r="AA11" i="25"/>
  <c r="DP12" i="31"/>
  <c r="DE32" i="31" s="1"/>
  <c r="BU7" i="31" s="1"/>
  <c r="DD13" i="31"/>
  <c r="DC13" i="31" s="1"/>
  <c r="CC5" i="31" s="1"/>
  <c r="DE15" i="31"/>
  <c r="J6" i="31" s="1"/>
  <c r="DE18" i="31"/>
  <c r="AK6" i="31" s="1"/>
  <c r="U22" i="9"/>
  <c r="N22" i="33"/>
  <c r="Y22" i="47"/>
  <c r="Z22" i="49"/>
  <c r="AA22" i="49" s="1"/>
  <c r="X22" i="24"/>
  <c r="AB22" i="25"/>
  <c r="N24" i="33"/>
  <c r="Z24" i="49"/>
  <c r="AA24" i="49" s="1"/>
  <c r="Y24" i="47"/>
  <c r="U24" i="9"/>
  <c r="X24" i="24"/>
  <c r="AB24" i="25"/>
  <c r="DE36" i="31"/>
  <c r="S8" i="31" s="1"/>
  <c r="DD40" i="31"/>
  <c r="DD50" i="31"/>
  <c r="DC50" i="31" s="1"/>
  <c r="BB9" i="31" s="1"/>
  <c r="DE53" i="31"/>
  <c r="CD9" i="31" s="1"/>
  <c r="DD56" i="31"/>
  <c r="DE59" i="31"/>
  <c r="AT10" i="31" s="1"/>
  <c r="DD66" i="31"/>
  <c r="DC66" i="31" s="1"/>
  <c r="R11" i="31" s="1"/>
  <c r="DD71" i="31"/>
  <c r="DC71" i="31" s="1"/>
  <c r="BK11" i="31" s="1"/>
  <c r="DA71" i="31"/>
  <c r="CZ71" i="31"/>
  <c r="BJ11" i="31" s="1"/>
  <c r="I45" i="25"/>
  <c r="K53" i="25"/>
  <c r="W30" i="24"/>
  <c r="X30" i="24" s="1"/>
  <c r="W7" i="24"/>
  <c r="S19" i="24" s="1"/>
  <c r="L19" i="24" s="1"/>
  <c r="K19" i="24" s="1"/>
  <c r="F19" i="24" s="1"/>
  <c r="K57" i="25"/>
  <c r="I61" i="25"/>
  <c r="G61" i="25"/>
  <c r="K79" i="25"/>
  <c r="G79" i="25"/>
  <c r="E79" i="25"/>
  <c r="K87" i="25"/>
  <c r="G87" i="25"/>
  <c r="E87" i="25"/>
  <c r="DA36" i="31"/>
  <c r="Q8" i="31" s="1"/>
  <c r="DD41" i="31"/>
  <c r="DD47" i="31"/>
  <c r="DA50" i="31"/>
  <c r="BA9" i="31" s="1"/>
  <c r="DD54" i="31"/>
  <c r="DC54" i="31" s="1"/>
  <c r="CL9" i="31" s="1"/>
  <c r="DA56" i="31"/>
  <c r="DD61" i="31"/>
  <c r="DC61" i="31" s="1"/>
  <c r="BK10" i="31" s="1"/>
  <c r="DD67" i="31"/>
  <c r="DC67" i="31" s="1"/>
  <c r="AA11" i="31" s="1"/>
  <c r="DA70" i="31"/>
  <c r="BA11" i="31" s="1"/>
  <c r="DA76" i="31"/>
  <c r="Q12" i="31" s="1"/>
  <c r="DD81" i="31"/>
  <c r="E41" i="25"/>
  <c r="I43" i="25"/>
  <c r="K49" i="25"/>
  <c r="I49" i="25"/>
  <c r="E58" i="25"/>
  <c r="E75" i="25"/>
  <c r="K81" i="25"/>
  <c r="E83" i="25"/>
  <c r="P19" i="24"/>
  <c r="P8" i="9"/>
  <c r="P13" i="9"/>
  <c r="I77" i="25"/>
  <c r="G77" i="25"/>
  <c r="I85" i="25"/>
  <c r="G85" i="25"/>
  <c r="S18" i="24"/>
  <c r="L18" i="24" s="1"/>
  <c r="K18" i="24" s="1"/>
  <c r="F18" i="24" s="1"/>
  <c r="DA30" i="31"/>
  <c r="DA38" i="31"/>
  <c r="AI8" i="31" s="1"/>
  <c r="CZ45" i="31"/>
  <c r="H9" i="31" s="1"/>
  <c r="DA52" i="31"/>
  <c r="BS9" i="31" s="1"/>
  <c r="CZ53" i="31"/>
  <c r="DA58" i="31"/>
  <c r="AI10" i="31" s="1"/>
  <c r="CZ59" i="31"/>
  <c r="CZ65" i="31"/>
  <c r="DA72" i="31"/>
  <c r="BS11" i="31" s="1"/>
  <c r="CZ73" i="31"/>
  <c r="CB11" i="31" s="1"/>
  <c r="DA78" i="31"/>
  <c r="AI12" i="31" s="1"/>
  <c r="CZ79" i="31"/>
  <c r="E50" i="25"/>
  <c r="I56" i="25"/>
  <c r="K62" i="25"/>
  <c r="I62" i="25"/>
  <c r="E62" i="25"/>
  <c r="P15" i="24"/>
  <c r="P17" i="24"/>
  <c r="P30" i="24"/>
  <c r="DA45" i="31"/>
  <c r="DA53" i="31"/>
  <c r="DA59" i="31"/>
  <c r="DA65" i="31"/>
  <c r="DA73" i="31"/>
  <c r="DA79" i="31"/>
  <c r="I48" i="25"/>
  <c r="G48" i="25"/>
  <c r="K54" i="25"/>
  <c r="I54" i="25"/>
  <c r="E54" i="25"/>
  <c r="K58" i="25"/>
  <c r="I88" i="25"/>
  <c r="P9" i="24"/>
  <c r="Q15" i="24"/>
  <c r="C7" i="9"/>
  <c r="P17" i="9"/>
  <c r="CZ81" i="31"/>
  <c r="BJ12" i="31" s="1"/>
  <c r="E45" i="25"/>
  <c r="G46" i="25"/>
  <c r="G53" i="25"/>
  <c r="E61" i="25"/>
  <c r="K74" i="25"/>
  <c r="K78" i="25"/>
  <c r="I78" i="25"/>
  <c r="E78" i="25"/>
  <c r="K82" i="25"/>
  <c r="K86" i="25"/>
  <c r="I86" i="25"/>
  <c r="E86" i="25"/>
  <c r="P5" i="24"/>
  <c r="P11" i="24"/>
  <c r="C11" i="24" s="1"/>
  <c r="CZ48" i="31"/>
  <c r="AI9" i="31" s="1"/>
  <c r="CZ62" i="31"/>
  <c r="BS10" i="31" s="1"/>
  <c r="CZ68" i="31"/>
  <c r="AI11" i="31" s="1"/>
  <c r="CZ82" i="31"/>
  <c r="BS12" i="31" s="1"/>
  <c r="G45" i="25"/>
  <c r="K50" i="25"/>
  <c r="K61" i="25"/>
  <c r="K63" i="25"/>
  <c r="G63" i="25"/>
  <c r="E63" i="25"/>
  <c r="G76" i="25"/>
  <c r="G84" i="25"/>
  <c r="Q42" i="24"/>
  <c r="P41" i="24"/>
  <c r="C41" i="24" s="1"/>
  <c r="Q35" i="24"/>
  <c r="Q28" i="24"/>
  <c r="Q39" i="24"/>
  <c r="P43" i="24"/>
  <c r="C43" i="24" s="1"/>
  <c r="P40" i="24"/>
  <c r="C40" i="24" s="1"/>
  <c r="Q37" i="24"/>
  <c r="Q32" i="24"/>
  <c r="Q29" i="24"/>
  <c r="P26" i="24"/>
  <c r="P24" i="24"/>
  <c r="S41" i="24"/>
  <c r="L41" i="24" s="1"/>
  <c r="K41" i="24" s="1"/>
  <c r="F41" i="24" s="1"/>
  <c r="P37" i="24"/>
  <c r="C37" i="24" s="1"/>
  <c r="P32" i="24"/>
  <c r="C32" i="24" s="1"/>
  <c r="P29" i="24"/>
  <c r="Q22" i="24"/>
  <c r="Q20" i="24"/>
  <c r="Q18" i="24"/>
  <c r="Q16" i="24"/>
  <c r="Q14" i="24"/>
  <c r="Q12" i="24"/>
  <c r="Q10" i="24"/>
  <c r="Q8" i="24"/>
  <c r="Q41" i="24"/>
  <c r="Q31" i="24"/>
  <c r="Q25" i="24"/>
  <c r="P22" i="24"/>
  <c r="P20" i="24"/>
  <c r="P18" i="24"/>
  <c r="C18" i="24" s="1"/>
  <c r="P16" i="24"/>
  <c r="P14" i="24"/>
  <c r="P12" i="24"/>
  <c r="C12" i="24" s="1"/>
  <c r="P10" i="24"/>
  <c r="C10" i="24" s="1"/>
  <c r="P8" i="24"/>
  <c r="C8" i="24" s="1"/>
  <c r="Q38" i="24"/>
  <c r="P35" i="24"/>
  <c r="S34" i="24"/>
  <c r="L34" i="24" s="1"/>
  <c r="P31" i="24"/>
  <c r="P28" i="24"/>
  <c r="C28" i="24" s="1"/>
  <c r="P25" i="24"/>
  <c r="C25" i="24" s="1"/>
  <c r="P38" i="24"/>
  <c r="C38" i="24" s="1"/>
  <c r="Q34" i="24"/>
  <c r="Q27" i="24"/>
  <c r="Q23" i="24"/>
  <c r="S17" i="24"/>
  <c r="L17" i="24" s="1"/>
  <c r="K17" i="24" s="1"/>
  <c r="F17" i="24" s="1"/>
  <c r="Q13" i="24"/>
  <c r="P6" i="24"/>
  <c r="P42" i="24"/>
  <c r="C42" i="24" s="1"/>
  <c r="Q36" i="24"/>
  <c r="P34" i="24"/>
  <c r="Q33" i="24"/>
  <c r="Q30" i="24"/>
  <c r="P27" i="24"/>
  <c r="P23" i="24"/>
  <c r="Q19" i="24"/>
  <c r="Q17" i="24"/>
  <c r="P13" i="24"/>
  <c r="C13" i="24" s="1"/>
  <c r="Q11" i="24"/>
  <c r="Q9" i="24"/>
  <c r="P39" i="24"/>
  <c r="C39" i="24" s="1"/>
  <c r="P36" i="24"/>
  <c r="C36" i="24" s="1"/>
  <c r="P33" i="24"/>
  <c r="C33" i="24" s="1"/>
  <c r="Q43" i="24"/>
  <c r="Q40" i="24"/>
  <c r="Q26" i="24"/>
  <c r="Q24" i="24"/>
  <c r="P21" i="24"/>
  <c r="C21" i="24" s="1"/>
  <c r="Q5" i="24"/>
  <c r="Q6" i="24"/>
  <c r="AJ24" i="24"/>
  <c r="AM24" i="24" s="1"/>
  <c r="AJ22" i="24"/>
  <c r="AM22" i="24" s="1"/>
  <c r="AJ12" i="24"/>
  <c r="AM12" i="24" s="1"/>
  <c r="AJ23" i="24"/>
  <c r="AM23" i="24" s="1"/>
  <c r="AJ21" i="24"/>
  <c r="AM21" i="24" s="1"/>
  <c r="P16" i="9"/>
  <c r="G47" i="25"/>
  <c r="G49" i="25"/>
  <c r="K55" i="25"/>
  <c r="G55" i="25"/>
  <c r="E55" i="25"/>
  <c r="E77" i="25"/>
  <c r="I79" i="25"/>
  <c r="E85" i="25"/>
  <c r="I87" i="25"/>
  <c r="P7" i="24"/>
  <c r="C7" i="24" s="1"/>
  <c r="AM7" i="24"/>
  <c r="Q21" i="24"/>
  <c r="AA8" i="49"/>
  <c r="U7" i="49" s="1"/>
  <c r="AA10" i="49"/>
  <c r="AA5" i="49"/>
  <c r="L34" i="46"/>
  <c r="R34" i="46"/>
  <c r="S33" i="46" s="1"/>
  <c r="M33" i="46"/>
  <c r="G56" i="25"/>
  <c r="I57" i="25"/>
  <c r="I81" i="25"/>
  <c r="L10" i="9"/>
  <c r="M14" i="9"/>
  <c r="C14" i="9" s="1"/>
  <c r="M15" i="9"/>
  <c r="M18" i="9"/>
  <c r="C18" i="9" s="1"/>
  <c r="L15" i="9"/>
  <c r="P9" i="9"/>
  <c r="M10" i="9"/>
  <c r="M11" i="9"/>
  <c r="S9" i="46"/>
  <c r="L6" i="9"/>
  <c r="M6" i="49"/>
  <c r="AA9" i="49"/>
  <c r="AA11" i="49"/>
  <c r="Q5" i="47"/>
  <c r="Q6" i="47"/>
  <c r="M6" i="9"/>
  <c r="H4" i="30"/>
  <c r="C5" i="33"/>
  <c r="B5" i="33"/>
  <c r="U3" i="46"/>
  <c r="U4" i="46" s="1"/>
  <c r="U5" i="46" s="1"/>
  <c r="U6" i="46" s="1"/>
  <c r="U7" i="46" s="1"/>
  <c r="U8" i="46" s="1"/>
  <c r="U9" i="46" s="1"/>
  <c r="U10" i="46" s="1"/>
  <c r="U11" i="46" s="1"/>
  <c r="T43" i="46"/>
  <c r="U43" i="46" s="1"/>
  <c r="M32" i="46"/>
  <c r="L7" i="47"/>
  <c r="C7" i="33"/>
  <c r="B7" i="33"/>
  <c r="K7" i="49"/>
  <c r="Q38" i="46"/>
  <c r="Q39" i="46" s="1"/>
  <c r="Q40" i="46" s="1"/>
  <c r="T44" i="46"/>
  <c r="U44" i="46" s="1"/>
  <c r="R33" i="46"/>
  <c r="S32" i="46" s="1"/>
  <c r="L9" i="9"/>
  <c r="L12" i="9"/>
  <c r="L16" i="9"/>
  <c r="C16" i="9" s="1"/>
  <c r="N5" i="49"/>
  <c r="N6" i="49"/>
  <c r="N7" i="49"/>
  <c r="J5" i="47"/>
  <c r="L6" i="47"/>
  <c r="M7" i="47"/>
  <c r="G7" i="33"/>
  <c r="G11" i="33"/>
  <c r="B11" i="33" s="1"/>
  <c r="M5" i="9"/>
  <c r="C5" i="9" s="1"/>
  <c r="M7" i="9"/>
  <c r="M9" i="9"/>
  <c r="M12" i="9"/>
  <c r="P15" i="9"/>
  <c r="M16" i="9"/>
  <c r="P5" i="49"/>
  <c r="P6" i="49"/>
  <c r="P7" i="49"/>
  <c r="L5" i="47"/>
  <c r="M6" i="47"/>
  <c r="F8" i="33"/>
  <c r="R23" i="46"/>
  <c r="S22" i="46" s="1"/>
  <c r="T22" i="46" s="1"/>
  <c r="R27" i="46"/>
  <c r="S26" i="46" s="1"/>
  <c r="R31" i="46"/>
  <c r="S30" i="46" s="1"/>
  <c r="R5" i="49"/>
  <c r="R6" i="49"/>
  <c r="R7" i="49"/>
  <c r="M5" i="47"/>
  <c r="Q7" i="47"/>
  <c r="G8" i="33"/>
  <c r="Q28" i="46"/>
  <c r="S7" i="49"/>
  <c r="R7" i="47"/>
  <c r="I8" i="33"/>
  <c r="F9" i="33"/>
  <c r="R24" i="46"/>
  <c r="S23" i="46" s="1"/>
  <c r="T23" i="46" s="1"/>
  <c r="R28" i="46"/>
  <c r="S27" i="46" s="1"/>
  <c r="H5" i="49"/>
  <c r="U5" i="49"/>
  <c r="H6" i="49"/>
  <c r="U6" i="49"/>
  <c r="H7" i="49"/>
  <c r="B7" i="49" s="1"/>
  <c r="R6" i="47"/>
  <c r="G7" i="47"/>
  <c r="C7" i="47" s="1"/>
  <c r="T7" i="47"/>
  <c r="C9" i="42"/>
  <c r="G9" i="33"/>
  <c r="M31" i="46"/>
  <c r="R32" i="46"/>
  <c r="S31" i="46" s="1"/>
  <c r="I6" i="49"/>
  <c r="R5" i="47"/>
  <c r="G6" i="47"/>
  <c r="T6" i="47"/>
  <c r="H7" i="47"/>
  <c r="G5" i="33"/>
  <c r="F6" i="33"/>
  <c r="B6" i="33" s="1"/>
  <c r="F10" i="33"/>
  <c r="O5" i="46"/>
  <c r="R25" i="46"/>
  <c r="S24" i="46" s="1"/>
  <c r="R29" i="46"/>
  <c r="S28" i="46" s="1"/>
  <c r="L11" i="9"/>
  <c r="K5" i="49"/>
  <c r="K6" i="49"/>
  <c r="G5" i="47"/>
  <c r="T5" i="47"/>
  <c r="H6" i="47"/>
  <c r="I5" i="33"/>
  <c r="G6" i="33"/>
  <c r="C9" i="9" l="1"/>
  <c r="BV41" i="1"/>
  <c r="Z41" i="1"/>
  <c r="JW41" i="1"/>
  <c r="O6" i="46"/>
  <c r="O24" i="46"/>
  <c r="U16" i="9"/>
  <c r="N16" i="33"/>
  <c r="Z16" i="49"/>
  <c r="AA16" i="49" s="1"/>
  <c r="Y16" i="47"/>
  <c r="AB16" i="25"/>
  <c r="DO16" i="31"/>
  <c r="DP34" i="31"/>
  <c r="DO34" i="31" s="1"/>
  <c r="DE65" i="31"/>
  <c r="J11" i="31" s="1"/>
  <c r="AW16" i="2"/>
  <c r="DE64" i="31"/>
  <c r="CM10" i="31" s="1"/>
  <c r="EG15" i="1"/>
  <c r="EF15" i="1"/>
  <c r="KF11" i="1"/>
  <c r="KE11" i="1" s="1"/>
  <c r="KF46" i="1"/>
  <c r="GS6" i="1"/>
  <c r="GR6" i="1"/>
  <c r="Q83" i="25"/>
  <c r="S83" i="25"/>
  <c r="AQ19" i="2"/>
  <c r="AL34" i="2"/>
  <c r="BE16" i="10"/>
  <c r="BH17" i="10"/>
  <c r="I320" i="8"/>
  <c r="BH13" i="10"/>
  <c r="BE12" i="10"/>
  <c r="AF320" i="8"/>
  <c r="BG8" i="10"/>
  <c r="C5" i="47"/>
  <c r="C10" i="33"/>
  <c r="B10" i="33"/>
  <c r="C9" i="33"/>
  <c r="B9" i="33"/>
  <c r="C8" i="33"/>
  <c r="B8" i="33"/>
  <c r="C12" i="9"/>
  <c r="C10" i="9"/>
  <c r="C11" i="33"/>
  <c r="Q55" i="25"/>
  <c r="S55" i="25"/>
  <c r="C23" i="24"/>
  <c r="C6" i="24"/>
  <c r="C31" i="24"/>
  <c r="C14" i="24"/>
  <c r="S31" i="24"/>
  <c r="L31" i="24" s="1"/>
  <c r="K31" i="24" s="1"/>
  <c r="F31" i="24" s="1"/>
  <c r="C5" i="24"/>
  <c r="H11" i="31"/>
  <c r="C19" i="24"/>
  <c r="DC56" i="31"/>
  <c r="R10" i="31" s="1"/>
  <c r="AR8" i="31"/>
  <c r="BJ9" i="31"/>
  <c r="BS8" i="31"/>
  <c r="DC31" i="31"/>
  <c r="BK7" i="31" s="1"/>
  <c r="GV63" i="1"/>
  <c r="GU63" i="1"/>
  <c r="EG62" i="1"/>
  <c r="EF62" i="1"/>
  <c r="JY54" i="1"/>
  <c r="JZ54" i="1" s="1"/>
  <c r="KA54" i="1" s="1"/>
  <c r="GV53" i="1"/>
  <c r="GU53" i="1"/>
  <c r="GP44" i="1"/>
  <c r="GO44" i="1"/>
  <c r="ED45" i="1"/>
  <c r="EC45" i="1"/>
  <c r="GS41" i="1"/>
  <c r="GR41" i="1"/>
  <c r="S69" i="25"/>
  <c r="Q69" i="25"/>
  <c r="GV40" i="1"/>
  <c r="GU40" i="1"/>
  <c r="GS42" i="1"/>
  <c r="GR42" i="1"/>
  <c r="GS33" i="1"/>
  <c r="GR33" i="1"/>
  <c r="FX43" i="1"/>
  <c r="EZ43" i="1"/>
  <c r="FO43" i="1"/>
  <c r="FL43" i="1"/>
  <c r="FU43" i="1"/>
  <c r="FI43" i="1"/>
  <c r="FF43" i="1"/>
  <c r="FR43" i="1"/>
  <c r="FC43" i="1"/>
  <c r="EW43" i="1"/>
  <c r="GP30" i="1"/>
  <c r="GO30" i="1"/>
  <c r="HA29" i="1"/>
  <c r="HB29" i="1"/>
  <c r="GV26" i="1"/>
  <c r="GU26" i="1"/>
  <c r="JW45" i="1"/>
  <c r="JY48" i="1"/>
  <c r="JZ48" i="1" s="1"/>
  <c r="KA48" i="1" s="1"/>
  <c r="EA26" i="1"/>
  <c r="DZ26" i="1"/>
  <c r="JX27" i="1"/>
  <c r="JW27" i="1" s="1"/>
  <c r="JV27" i="1"/>
  <c r="KD27" i="1"/>
  <c r="KT27" i="1"/>
  <c r="KL27" i="1"/>
  <c r="EA21" i="1"/>
  <c r="DZ21" i="1"/>
  <c r="JY12" i="1"/>
  <c r="JZ12" i="1" s="1"/>
  <c r="KA12" i="1" s="1"/>
  <c r="EJ19" i="1"/>
  <c r="EI19" i="1"/>
  <c r="JW15" i="1"/>
  <c r="JZ15" i="1" s="1"/>
  <c r="KA15" i="1" s="1"/>
  <c r="JZ17" i="1"/>
  <c r="KA17" i="1" s="1"/>
  <c r="JY17" i="1"/>
  <c r="BN16" i="1"/>
  <c r="BO16" i="1" s="1"/>
  <c r="KT15" i="1"/>
  <c r="KW15" i="1" s="1"/>
  <c r="KV15" i="1"/>
  <c r="KU15" i="1" s="1"/>
  <c r="KV24" i="1"/>
  <c r="KU24" i="1" s="1"/>
  <c r="KV32" i="1"/>
  <c r="KV42" i="1"/>
  <c r="KU42" i="1" s="1"/>
  <c r="KV44" i="1"/>
  <c r="KU44" i="1" s="1"/>
  <c r="KN11" i="1"/>
  <c r="KM11" i="1" s="1"/>
  <c r="KL11" i="1"/>
  <c r="KO11" i="1" s="1"/>
  <c r="KO23" i="1"/>
  <c r="KP23" i="1" s="1"/>
  <c r="KQ23" i="1" s="1"/>
  <c r="KN23" i="1"/>
  <c r="KM23" i="1" s="1"/>
  <c r="KN29" i="1"/>
  <c r="KM29" i="1" s="1"/>
  <c r="KN39" i="1"/>
  <c r="KO46" i="1"/>
  <c r="KN46" i="1"/>
  <c r="KM46" i="1" s="1"/>
  <c r="KN54" i="1"/>
  <c r="KM54" i="1" s="1"/>
  <c r="EL12" i="1"/>
  <c r="EM12" i="1"/>
  <c r="KF14" i="1"/>
  <c r="KE14" i="1" s="1"/>
  <c r="KF22" i="1"/>
  <c r="KE22" i="1" s="1"/>
  <c r="KG22" i="1"/>
  <c r="KH22" i="1" s="1"/>
  <c r="KI22" i="1" s="1"/>
  <c r="KF35" i="1"/>
  <c r="KF40" i="1"/>
  <c r="KF43" i="1"/>
  <c r="KE43" i="1" s="1"/>
  <c r="KF54" i="1"/>
  <c r="KE54" i="1" s="1"/>
  <c r="BT52" i="1"/>
  <c r="JA7" i="1"/>
  <c r="IS7" i="1"/>
  <c r="IZ7" i="1"/>
  <c r="IY7" i="1"/>
  <c r="IX7" i="1"/>
  <c r="IW7" i="1"/>
  <c r="AC8" i="1"/>
  <c r="JD7" i="1"/>
  <c r="IV7" i="1"/>
  <c r="JC7" i="1"/>
  <c r="IU7" i="1"/>
  <c r="JB7" i="1"/>
  <c r="IT7" i="1"/>
  <c r="GV8" i="1"/>
  <c r="GU8" i="1"/>
  <c r="E19" i="2"/>
  <c r="E7" i="2"/>
  <c r="AQ39" i="2"/>
  <c r="E45" i="2"/>
  <c r="D38" i="2"/>
  <c r="C56" i="2"/>
  <c r="C64" i="2"/>
  <c r="C72" i="2"/>
  <c r="C80" i="2"/>
  <c r="C88" i="2"/>
  <c r="C96" i="2"/>
  <c r="E16" i="2"/>
  <c r="D23" i="2"/>
  <c r="E27" i="2"/>
  <c r="F39" i="2"/>
  <c r="C46" i="2"/>
  <c r="F44" i="2"/>
  <c r="AQ49" i="2"/>
  <c r="C33" i="2"/>
  <c r="C39" i="2"/>
  <c r="D46" i="2"/>
  <c r="AL52" i="2"/>
  <c r="C20" i="2"/>
  <c r="D34" i="2"/>
  <c r="E47" i="2"/>
  <c r="D33" i="2"/>
  <c r="E46" i="2"/>
  <c r="E54" i="2"/>
  <c r="S52" i="25"/>
  <c r="Q52" i="25"/>
  <c r="AM7" i="10"/>
  <c r="Z7" i="10"/>
  <c r="BV33" i="1"/>
  <c r="E9" i="2"/>
  <c r="AQ47" i="2"/>
  <c r="AQ12" i="2"/>
  <c r="EJ8" i="1"/>
  <c r="EI8" i="1"/>
  <c r="AU5" i="10"/>
  <c r="AU6" i="10"/>
  <c r="AL9" i="10"/>
  <c r="BI12" i="10"/>
  <c r="BJ12" i="10" s="1"/>
  <c r="BK13" i="10"/>
  <c r="S68" i="25"/>
  <c r="Q68" i="25"/>
  <c r="C27" i="24"/>
  <c r="C16" i="24"/>
  <c r="S48" i="25"/>
  <c r="Q48" i="25"/>
  <c r="S44" i="25"/>
  <c r="Q44" i="25"/>
  <c r="S6" i="31"/>
  <c r="DC16" i="31"/>
  <c r="R6" i="31" s="1"/>
  <c r="CU60" i="1"/>
  <c r="CQ60" i="1"/>
  <c r="AH60" i="1" s="1"/>
  <c r="CH61" i="1"/>
  <c r="CS60" i="1"/>
  <c r="AB60" i="1"/>
  <c r="GS57" i="1"/>
  <c r="GR57" i="1"/>
  <c r="FO55" i="1"/>
  <c r="FU55" i="1"/>
  <c r="EW55" i="1"/>
  <c r="FC55" i="1"/>
  <c r="FI55" i="1"/>
  <c r="FR55" i="1"/>
  <c r="EZ55" i="1"/>
  <c r="FL55" i="1"/>
  <c r="FX55" i="1"/>
  <c r="FF55" i="1"/>
  <c r="EG57" i="1"/>
  <c r="EF57" i="1"/>
  <c r="DZ46" i="1"/>
  <c r="EA46" i="1"/>
  <c r="GV52" i="1"/>
  <c r="GU52" i="1"/>
  <c r="EJ43" i="1"/>
  <c r="EI43" i="1"/>
  <c r="KD36" i="1"/>
  <c r="KL36" i="1"/>
  <c r="KT36" i="1"/>
  <c r="JX36" i="1"/>
  <c r="JW36" i="1" s="1"/>
  <c r="JV36" i="1"/>
  <c r="EF40" i="1"/>
  <c r="EG40" i="1"/>
  <c r="KL38" i="1"/>
  <c r="KT38" i="1"/>
  <c r="JX38" i="1"/>
  <c r="KD38" i="1"/>
  <c r="JV38" i="1"/>
  <c r="E67" i="25"/>
  <c r="K67" i="25"/>
  <c r="I67" i="25"/>
  <c r="G67" i="25"/>
  <c r="K65" i="25"/>
  <c r="I65" i="25"/>
  <c r="G65" i="25"/>
  <c r="E65" i="25"/>
  <c r="ED34" i="1"/>
  <c r="EC34" i="1"/>
  <c r="JW28" i="1"/>
  <c r="G60" i="25"/>
  <c r="E60" i="25"/>
  <c r="K60" i="25"/>
  <c r="I60" i="25"/>
  <c r="GV23" i="1"/>
  <c r="GU23" i="1"/>
  <c r="JY21" i="1"/>
  <c r="GP12" i="1"/>
  <c r="GO12" i="1"/>
  <c r="JY15" i="1"/>
  <c r="BN18" i="1"/>
  <c r="BO18" i="1" s="1"/>
  <c r="KV6" i="1"/>
  <c r="KU6" i="1" s="1"/>
  <c r="KV11" i="1"/>
  <c r="KU11" i="1" s="1"/>
  <c r="KV17" i="1"/>
  <c r="KV31" i="1"/>
  <c r="KU31" i="1" s="1"/>
  <c r="KV37" i="1"/>
  <c r="KV41" i="1"/>
  <c r="KU41" i="1" s="1"/>
  <c r="KV46" i="1"/>
  <c r="KU46" i="1" s="1"/>
  <c r="KL16" i="1"/>
  <c r="KN16" i="1"/>
  <c r="KO24" i="1"/>
  <c r="KN24" i="1"/>
  <c r="KM24" i="1" s="1"/>
  <c r="KN30" i="1"/>
  <c r="KM30" i="1" s="1"/>
  <c r="KN42" i="1"/>
  <c r="KO53" i="1"/>
  <c r="KN53" i="1"/>
  <c r="KM53" i="1" s="1"/>
  <c r="KO52" i="1"/>
  <c r="KN52" i="1"/>
  <c r="KM52" i="1" s="1"/>
  <c r="KN5" i="1"/>
  <c r="KM5" i="1" s="1"/>
  <c r="KF15" i="1"/>
  <c r="KE15" i="1" s="1"/>
  <c r="KD15" i="1"/>
  <c r="KF27" i="1"/>
  <c r="KE27" i="1" s="1"/>
  <c r="KF30" i="1"/>
  <c r="KE30" i="1" s="1"/>
  <c r="KF39" i="1"/>
  <c r="KG53" i="1"/>
  <c r="KH53" i="1" s="1"/>
  <c r="KI53" i="1" s="1"/>
  <c r="KF53" i="1"/>
  <c r="KE53" i="1" s="1"/>
  <c r="KF55" i="1"/>
  <c r="KE55" i="1" s="1"/>
  <c r="KL9" i="1"/>
  <c r="KO9" i="1"/>
  <c r="KN9" i="1"/>
  <c r="KM9" i="1" s="1"/>
  <c r="AL12" i="2"/>
  <c r="G320" i="8"/>
  <c r="B320" i="8" s="1"/>
  <c r="C6" i="2"/>
  <c r="BF15" i="10"/>
  <c r="Q7" i="22"/>
  <c r="BF16" i="10"/>
  <c r="BF17" i="10"/>
  <c r="AQ27" i="2"/>
  <c r="C45" i="2"/>
  <c r="C27" i="2"/>
  <c r="E40" i="2"/>
  <c r="Q51" i="25"/>
  <c r="S51" i="25"/>
  <c r="BV21" i="1"/>
  <c r="BV26" i="1"/>
  <c r="D15" i="2"/>
  <c r="M54" i="1"/>
  <c r="D7" i="2"/>
  <c r="AM8" i="10"/>
  <c r="Z8" i="10"/>
  <c r="Q87" i="25"/>
  <c r="S87" i="25"/>
  <c r="EA64" i="1"/>
  <c r="DZ64" i="1"/>
  <c r="EA56" i="1"/>
  <c r="DZ56" i="1"/>
  <c r="EG54" i="1"/>
  <c r="EF54" i="1"/>
  <c r="KT35" i="1"/>
  <c r="JX35" i="1"/>
  <c r="JV35" i="1"/>
  <c r="KD35" i="1"/>
  <c r="KG35" i="1" s="1"/>
  <c r="KL35" i="1"/>
  <c r="JV33" i="1"/>
  <c r="KD33" i="1"/>
  <c r="KL33" i="1"/>
  <c r="KT33" i="1"/>
  <c r="JX33" i="1"/>
  <c r="ED31" i="1"/>
  <c r="EC31" i="1"/>
  <c r="DC6" i="1"/>
  <c r="DD6" i="1" s="1"/>
  <c r="DE6" i="1" s="1"/>
  <c r="D39" i="2"/>
  <c r="S32" i="24"/>
  <c r="L32" i="24" s="1"/>
  <c r="K32" i="24" s="1"/>
  <c r="F32" i="24" s="1"/>
  <c r="C24" i="24"/>
  <c r="AR10" i="31"/>
  <c r="DD84" i="31"/>
  <c r="P18" i="9"/>
  <c r="S49" i="25"/>
  <c r="Q49" i="25"/>
  <c r="C35" i="24"/>
  <c r="C26" i="24"/>
  <c r="S84" i="25"/>
  <c r="Q84" i="25"/>
  <c r="S53" i="25"/>
  <c r="Q53" i="25"/>
  <c r="P12" i="9"/>
  <c r="S85" i="25"/>
  <c r="Q85" i="25"/>
  <c r="DC81" i="31"/>
  <c r="BK12" i="31" s="1"/>
  <c r="Q79" i="25"/>
  <c r="S79" i="25"/>
  <c r="DC15" i="31"/>
  <c r="I6" i="31" s="1"/>
  <c r="DD75" i="31"/>
  <c r="N14" i="33"/>
  <c r="Y14" i="47"/>
  <c r="Z14" i="49"/>
  <c r="AA14" i="49" s="1"/>
  <c r="U14" i="9"/>
  <c r="AB14" i="25"/>
  <c r="DO14" i="31"/>
  <c r="DP32" i="31"/>
  <c r="AW14" i="2"/>
  <c r="DC14" i="31"/>
  <c r="CL5" i="31" s="1"/>
  <c r="DC62" i="31"/>
  <c r="BT10" i="31" s="1"/>
  <c r="DC63" i="31"/>
  <c r="CC10" i="31" s="1"/>
  <c r="DE84" i="31"/>
  <c r="CM12" i="31" s="1"/>
  <c r="DC25" i="31"/>
  <c r="I7" i="31" s="1"/>
  <c r="EG61" i="1"/>
  <c r="EF61" i="1"/>
  <c r="GS61" i="1"/>
  <c r="GR61" i="1"/>
  <c r="EA58" i="1"/>
  <c r="DZ58" i="1"/>
  <c r="GS62" i="1"/>
  <c r="GR62" i="1"/>
  <c r="FU59" i="1"/>
  <c r="FL59" i="1"/>
  <c r="FC59" i="1"/>
  <c r="FI59" i="1"/>
  <c r="FR59" i="1"/>
  <c r="FF59" i="1"/>
  <c r="FO59" i="1"/>
  <c r="EZ59" i="1"/>
  <c r="FX59" i="1"/>
  <c r="EW59" i="1"/>
  <c r="GV54" i="1"/>
  <c r="GU54" i="1"/>
  <c r="JW52" i="1"/>
  <c r="JZ52" i="1" s="1"/>
  <c r="KA52" i="1" s="1"/>
  <c r="GV51" i="1"/>
  <c r="GU51" i="1"/>
  <c r="EA50" i="1"/>
  <c r="DZ50" i="1"/>
  <c r="GX55" i="1"/>
  <c r="GY55" i="1"/>
  <c r="AC47" i="1"/>
  <c r="JC46" i="1"/>
  <c r="IU46" i="1"/>
  <c r="JB46" i="1"/>
  <c r="IT46" i="1"/>
  <c r="JA46" i="1"/>
  <c r="IS46" i="1"/>
  <c r="IZ46" i="1"/>
  <c r="IY46" i="1"/>
  <c r="IX46" i="1"/>
  <c r="IW46" i="1"/>
  <c r="JD46" i="1"/>
  <c r="IV46" i="1"/>
  <c r="DE51" i="1"/>
  <c r="DC51" i="1"/>
  <c r="DD51" i="1" s="1"/>
  <c r="S73" i="25"/>
  <c r="Q73" i="25"/>
  <c r="ED47" i="1"/>
  <c r="EC47" i="1"/>
  <c r="JY45" i="1"/>
  <c r="JZ45" i="1" s="1"/>
  <c r="KA45" i="1" s="1"/>
  <c r="JW47" i="1"/>
  <c r="I72" i="25"/>
  <c r="G72" i="25"/>
  <c r="K72" i="25"/>
  <c r="E72" i="25"/>
  <c r="J36" i="1"/>
  <c r="EA36" i="1"/>
  <c r="DZ36" i="1"/>
  <c r="JX32" i="1"/>
  <c r="JV32" i="1"/>
  <c r="KD32" i="1"/>
  <c r="KL32" i="1"/>
  <c r="KT32" i="1"/>
  <c r="KW32" i="1" s="1"/>
  <c r="JW29" i="1"/>
  <c r="ED30" i="1"/>
  <c r="EC30" i="1"/>
  <c r="KL42" i="1"/>
  <c r="JY22" i="1"/>
  <c r="JZ22" i="1" s="1"/>
  <c r="KA22" i="1" s="1"/>
  <c r="GU27" i="1"/>
  <c r="GV27" i="1"/>
  <c r="EC22" i="1"/>
  <c r="ED22" i="1"/>
  <c r="EI23" i="1"/>
  <c r="EJ23" i="1"/>
  <c r="ED17" i="1"/>
  <c r="EC17" i="1"/>
  <c r="JW20" i="1"/>
  <c r="EA10" i="1"/>
  <c r="DZ10" i="1"/>
  <c r="CU6" i="1"/>
  <c r="AB6" i="1"/>
  <c r="CS6" i="1"/>
  <c r="CH7" i="1"/>
  <c r="CQ6" i="1"/>
  <c r="AH6" i="1" s="1"/>
  <c r="KT16" i="1"/>
  <c r="KV16" i="1"/>
  <c r="KU16" i="1" s="1"/>
  <c r="KV26" i="1"/>
  <c r="KU26" i="1" s="1"/>
  <c r="KV28" i="1"/>
  <c r="KU28" i="1" s="1"/>
  <c r="KV36" i="1"/>
  <c r="KU36" i="1" s="1"/>
  <c r="KW47" i="1"/>
  <c r="KV47" i="1"/>
  <c r="KU47" i="1" s="1"/>
  <c r="KV51" i="1"/>
  <c r="KU51" i="1" s="1"/>
  <c r="KN19" i="1"/>
  <c r="KM19" i="1" s="1"/>
  <c r="KN25" i="1"/>
  <c r="KM25" i="1" s="1"/>
  <c r="KP25" i="1" s="1"/>
  <c r="KQ25" i="1" s="1"/>
  <c r="KO25" i="1"/>
  <c r="KN33" i="1"/>
  <c r="KM33" i="1" s="1"/>
  <c r="KO33" i="1"/>
  <c r="KN38" i="1"/>
  <c r="KM38" i="1" s="1"/>
  <c r="KN48" i="1"/>
  <c r="KM48" i="1" s="1"/>
  <c r="KN56" i="1"/>
  <c r="KM56" i="1" s="1"/>
  <c r="JY10" i="1"/>
  <c r="JZ10" i="1" s="1"/>
  <c r="KA10" i="1" s="1"/>
  <c r="KF16" i="1"/>
  <c r="KE16" i="1" s="1"/>
  <c r="KF17" i="1"/>
  <c r="KD17" i="1"/>
  <c r="KF29" i="1"/>
  <c r="KE29" i="1" s="1"/>
  <c r="KF34" i="1"/>
  <c r="KE34" i="1" s="1"/>
  <c r="KF42" i="1"/>
  <c r="KE42" i="1" s="1"/>
  <c r="KF49" i="1"/>
  <c r="KE49" i="1" s="1"/>
  <c r="GV16" i="1"/>
  <c r="GU16" i="1"/>
  <c r="KF6" i="1"/>
  <c r="KE6" i="1" s="1"/>
  <c r="F12" i="2"/>
  <c r="F22" i="2"/>
  <c r="C58" i="2"/>
  <c r="C66" i="2"/>
  <c r="C74" i="2"/>
  <c r="C82" i="2"/>
  <c r="C90" i="2"/>
  <c r="C98" i="2"/>
  <c r="C18" i="2"/>
  <c r="AL54" i="2"/>
  <c r="G34" i="2"/>
  <c r="D54" i="2"/>
  <c r="E61" i="2"/>
  <c r="E69" i="2"/>
  <c r="E77" i="2"/>
  <c r="E85" i="2"/>
  <c r="E93" i="2"/>
  <c r="E101" i="2"/>
  <c r="AL27" i="2"/>
  <c r="Q8" i="48"/>
  <c r="D7" i="48"/>
  <c r="Q50" i="25"/>
  <c r="S50" i="25"/>
  <c r="BV32" i="1"/>
  <c r="BV34" i="1"/>
  <c r="BV46" i="1"/>
  <c r="E30" i="2"/>
  <c r="G27" i="2"/>
  <c r="C12" i="2"/>
  <c r="E6" i="2"/>
  <c r="GY47" i="1"/>
  <c r="GX47" i="1"/>
  <c r="GP37" i="1"/>
  <c r="GO37" i="1"/>
  <c r="KV23" i="1"/>
  <c r="KU23" i="1" s="1"/>
  <c r="KX23" i="1" s="1"/>
  <c r="KY23" i="1" s="1"/>
  <c r="KW23" i="1"/>
  <c r="KV43" i="1"/>
  <c r="KU43" i="1" s="1"/>
  <c r="KX43" i="1" s="1"/>
  <c r="KY43" i="1" s="1"/>
  <c r="KW43" i="1"/>
  <c r="KV57" i="1"/>
  <c r="KU57" i="1" s="1"/>
  <c r="KN22" i="1"/>
  <c r="KM22" i="1" s="1"/>
  <c r="KN40" i="1"/>
  <c r="KN51" i="1"/>
  <c r="KM51" i="1" s="1"/>
  <c r="KF32" i="1"/>
  <c r="KE32" i="1" s="1"/>
  <c r="KF45" i="1"/>
  <c r="KE45" i="1" s="1"/>
  <c r="KH45" i="1" s="1"/>
  <c r="KI45" i="1" s="1"/>
  <c r="KG45" i="1"/>
  <c r="EG11" i="1"/>
  <c r="EF11" i="1"/>
  <c r="AF30" i="1"/>
  <c r="AF31" i="1" s="1"/>
  <c r="AF29" i="1"/>
  <c r="S42" i="25"/>
  <c r="Q42" i="25"/>
  <c r="DC26" i="31"/>
  <c r="R7" i="31" s="1"/>
  <c r="P6" i="9"/>
  <c r="C11" i="9"/>
  <c r="B6" i="49"/>
  <c r="C15" i="9"/>
  <c r="Q47" i="25"/>
  <c r="S47" i="25"/>
  <c r="S42" i="24"/>
  <c r="L42" i="24" s="1"/>
  <c r="K42" i="24" s="1"/>
  <c r="F42" i="24" s="1"/>
  <c r="C20" i="24"/>
  <c r="S76" i="25"/>
  <c r="Q76" i="25"/>
  <c r="S46" i="25"/>
  <c r="Q46" i="25"/>
  <c r="C9" i="24"/>
  <c r="C30" i="24"/>
  <c r="CB9" i="31"/>
  <c r="DC47" i="31"/>
  <c r="AA9" i="31" s="1"/>
  <c r="DC40" i="31"/>
  <c r="BB8" i="31" s="1"/>
  <c r="DD65" i="31"/>
  <c r="DC65" i="31" s="1"/>
  <c r="I11" i="31" s="1"/>
  <c r="DC18" i="31"/>
  <c r="AJ6" i="31" s="1"/>
  <c r="DC59" i="31"/>
  <c r="AS10" i="31" s="1"/>
  <c r="DC70" i="31"/>
  <c r="BB11" i="31" s="1"/>
  <c r="N13" i="33"/>
  <c r="Y13" i="47"/>
  <c r="Z13" i="49"/>
  <c r="AA13" i="49" s="1"/>
  <c r="U13" i="9"/>
  <c r="DP31" i="31"/>
  <c r="AB13" i="25"/>
  <c r="DO13" i="31"/>
  <c r="DD34" i="31"/>
  <c r="DC34" i="31" s="1"/>
  <c r="CL7" i="31" s="1"/>
  <c r="AW13" i="2"/>
  <c r="DE75" i="31"/>
  <c r="J12" i="31" s="1"/>
  <c r="AA18" i="49"/>
  <c r="DC77" i="31"/>
  <c r="AA12" i="31" s="1"/>
  <c r="DC19" i="31"/>
  <c r="AS6" i="31" s="1"/>
  <c r="ED63" i="1"/>
  <c r="EC63" i="1"/>
  <c r="BT64" i="1"/>
  <c r="BN64" i="1"/>
  <c r="BO64" i="1" s="1"/>
  <c r="JY57" i="1"/>
  <c r="GP60" i="1"/>
  <c r="GO60" i="1"/>
  <c r="JZ55" i="1"/>
  <c r="KA55" i="1" s="1"/>
  <c r="JY55" i="1"/>
  <c r="L1" i="19"/>
  <c r="L2" i="19" s="1"/>
  <c r="L4" i="19" s="1"/>
  <c r="BN55" i="1"/>
  <c r="BO55" i="1" s="1"/>
  <c r="JY52" i="1"/>
  <c r="FI54" i="1"/>
  <c r="FO54" i="1"/>
  <c r="FU54" i="1"/>
  <c r="EW54" i="1"/>
  <c r="FC54" i="1"/>
  <c r="FL54" i="1"/>
  <c r="FX54" i="1"/>
  <c r="FF54" i="1"/>
  <c r="FR54" i="1"/>
  <c r="EZ54" i="1"/>
  <c r="JW50" i="1"/>
  <c r="GY48" i="1"/>
  <c r="GX48" i="1"/>
  <c r="ED35" i="1"/>
  <c r="EC35" i="1"/>
  <c r="ED38" i="1"/>
  <c r="EC38" i="1"/>
  <c r="GP28" i="1"/>
  <c r="GO28" i="1"/>
  <c r="EF28" i="1"/>
  <c r="EG28" i="1"/>
  <c r="JZ43" i="1"/>
  <c r="KA43" i="1" s="1"/>
  <c r="JY51" i="1"/>
  <c r="JZ51" i="1" s="1"/>
  <c r="KA51" i="1" s="1"/>
  <c r="ED29" i="1"/>
  <c r="EC29" i="1"/>
  <c r="GS24" i="1"/>
  <c r="GR24" i="1"/>
  <c r="EL25" i="1"/>
  <c r="EM25" i="1"/>
  <c r="JW19" i="1"/>
  <c r="DZ14" i="1"/>
  <c r="EA14" i="1"/>
  <c r="KN6" i="1"/>
  <c r="KM6" i="1" s="1"/>
  <c r="KG9" i="1"/>
  <c r="KF9" i="1"/>
  <c r="KE9" i="1" s="1"/>
  <c r="KH9" i="1" s="1"/>
  <c r="KI9" i="1" s="1"/>
  <c r="KV19" i="1"/>
  <c r="KU19" i="1" s="1"/>
  <c r="KX19" i="1" s="1"/>
  <c r="KY19" i="1" s="1"/>
  <c r="KW19" i="1"/>
  <c r="KV20" i="1"/>
  <c r="KT20" i="1"/>
  <c r="KW27" i="1"/>
  <c r="KV27" i="1"/>
  <c r="KV40" i="1"/>
  <c r="KW45" i="1"/>
  <c r="KX45" i="1" s="1"/>
  <c r="KY45" i="1" s="1"/>
  <c r="KV45" i="1"/>
  <c r="KU45" i="1" s="1"/>
  <c r="KV52" i="1"/>
  <c r="KU52" i="1" s="1"/>
  <c r="KN17" i="1"/>
  <c r="KM17" i="1" s="1"/>
  <c r="KN26" i="1"/>
  <c r="KM26" i="1" s="1"/>
  <c r="KO26" i="1"/>
  <c r="KN34" i="1"/>
  <c r="KM34" i="1" s="1"/>
  <c r="KN41" i="1"/>
  <c r="KM41" i="1" s="1"/>
  <c r="KN49" i="1"/>
  <c r="KM49" i="1" s="1"/>
  <c r="FC8" i="1"/>
  <c r="FR8" i="1"/>
  <c r="FI8" i="1"/>
  <c r="FX8" i="1"/>
  <c r="EZ8" i="1"/>
  <c r="FO8" i="1"/>
  <c r="FF8" i="1"/>
  <c r="FU8" i="1"/>
  <c r="EW8" i="1"/>
  <c r="FL8" i="1"/>
  <c r="KF18" i="1"/>
  <c r="KE18" i="1" s="1"/>
  <c r="KG18" i="1"/>
  <c r="KF13" i="1"/>
  <c r="KE13" i="1" s="1"/>
  <c r="KF25" i="1"/>
  <c r="KE25" i="1" s="1"/>
  <c r="KF37" i="1"/>
  <c r="KF38" i="1"/>
  <c r="KE38" i="1" s="1"/>
  <c r="KF50" i="1"/>
  <c r="KE50" i="1" s="1"/>
  <c r="KN8" i="1"/>
  <c r="KM8" i="1" s="1"/>
  <c r="KL8" i="1"/>
  <c r="KV8" i="1"/>
  <c r="KT8" i="1"/>
  <c r="KW8" i="1" s="1"/>
  <c r="KN15" i="1"/>
  <c r="KM15" i="1" s="1"/>
  <c r="KO15" i="1"/>
  <c r="KL15" i="1"/>
  <c r="JY8" i="1"/>
  <c r="D11" i="2"/>
  <c r="IS2" i="1"/>
  <c r="G19" i="2"/>
  <c r="E10" i="2"/>
  <c r="HA9" i="1"/>
  <c r="HB9" i="1"/>
  <c r="F32" i="2"/>
  <c r="C11" i="2"/>
  <c r="BJ10" i="10"/>
  <c r="AB10" i="10"/>
  <c r="E17" i="2"/>
  <c r="C23" i="2"/>
  <c r="C37" i="2"/>
  <c r="C42" i="2"/>
  <c r="C59" i="2"/>
  <c r="C67" i="2"/>
  <c r="C75" i="2"/>
  <c r="C83" i="2"/>
  <c r="C91" i="2"/>
  <c r="C99" i="2"/>
  <c r="C29" i="2"/>
  <c r="D55" i="2"/>
  <c r="D63" i="2"/>
  <c r="D71" i="2"/>
  <c r="D79" i="2"/>
  <c r="D87" i="2"/>
  <c r="D95" i="2"/>
  <c r="D103" i="2"/>
  <c r="D47" i="2"/>
  <c r="E48" i="2"/>
  <c r="D28" i="2"/>
  <c r="Q39" i="25"/>
  <c r="S39" i="25"/>
  <c r="S86" i="25"/>
  <c r="Q86" i="25"/>
  <c r="S57" i="25"/>
  <c r="Q57" i="25"/>
  <c r="S81" i="25"/>
  <c r="Q81" i="25"/>
  <c r="BV17" i="1"/>
  <c r="BV28" i="1"/>
  <c r="D22" i="2"/>
  <c r="M50" i="1"/>
  <c r="D26" i="2"/>
  <c r="C10" i="2"/>
  <c r="AQ8" i="27"/>
  <c r="AP7" i="27"/>
  <c r="C26" i="2"/>
  <c r="E11" i="2"/>
  <c r="AB7" i="10"/>
  <c r="BG7" i="10"/>
  <c r="D25" i="2"/>
  <c r="Q64" i="25"/>
  <c r="S64" i="25"/>
  <c r="GY34" i="1"/>
  <c r="GX34" i="1"/>
  <c r="GX22" i="1"/>
  <c r="GY22" i="1"/>
  <c r="S41" i="25"/>
  <c r="Q41" i="25"/>
  <c r="S45" i="25"/>
  <c r="Q45" i="25"/>
  <c r="P5" i="9"/>
  <c r="S37" i="24"/>
  <c r="L37" i="24" s="1"/>
  <c r="K37" i="24" s="1"/>
  <c r="F37" i="24" s="1"/>
  <c r="P11" i="9"/>
  <c r="P14" i="9"/>
  <c r="Q56" i="25"/>
  <c r="S56" i="25"/>
  <c r="P10" i="9"/>
  <c r="C6" i="9"/>
  <c r="U22" i="46"/>
  <c r="U23" i="46" s="1"/>
  <c r="U24" i="46" s="1"/>
  <c r="U25" i="46" s="1"/>
  <c r="U26" i="46" s="1"/>
  <c r="U27" i="46" s="1"/>
  <c r="U28" i="46" s="1"/>
  <c r="U29" i="46" s="1"/>
  <c r="U30" i="46" s="1"/>
  <c r="U31" i="46" s="1"/>
  <c r="U32" i="46" s="1"/>
  <c r="U33" i="46" s="1"/>
  <c r="T5" i="46"/>
  <c r="C34" i="24"/>
  <c r="C22" i="24"/>
  <c r="C29" i="24"/>
  <c r="C17" i="24"/>
  <c r="AR12" i="31"/>
  <c r="S77" i="25"/>
  <c r="Q77" i="25"/>
  <c r="DD74" i="31"/>
  <c r="DC41" i="31"/>
  <c r="BK8" i="31" s="1"/>
  <c r="S61" i="25"/>
  <c r="Q61" i="25"/>
  <c r="U12" i="9"/>
  <c r="Z12" i="49"/>
  <c r="AA12" i="49" s="1"/>
  <c r="N12" i="33"/>
  <c r="Y12" i="47"/>
  <c r="AB12" i="25"/>
  <c r="AW12" i="2"/>
  <c r="DC60" i="31"/>
  <c r="BB10" i="31" s="1"/>
  <c r="DC22" i="31"/>
  <c r="BT6" i="31" s="1"/>
  <c r="DD53" i="31"/>
  <c r="DC53" i="31" s="1"/>
  <c r="CC9" i="31" s="1"/>
  <c r="DC11" i="31"/>
  <c r="BK5" i="31" s="1"/>
  <c r="DC69" i="31"/>
  <c r="AS11" i="31" s="1"/>
  <c r="DC36" i="31"/>
  <c r="R8" i="31" s="1"/>
  <c r="DC76" i="31"/>
  <c r="R12" i="31" s="1"/>
  <c r="AA26" i="49"/>
  <c r="CK10" i="31"/>
  <c r="AA19" i="49"/>
  <c r="S82" i="25"/>
  <c r="Q82" i="25"/>
  <c r="N15" i="33"/>
  <c r="Y15" i="47"/>
  <c r="U15" i="9"/>
  <c r="Z15" i="49"/>
  <c r="AA15" i="49" s="1"/>
  <c r="AB15" i="25"/>
  <c r="DP33" i="31"/>
  <c r="DO33" i="31" s="1"/>
  <c r="DO15" i="31"/>
  <c r="AW15" i="2"/>
  <c r="DC68" i="31"/>
  <c r="AJ11" i="31" s="1"/>
  <c r="DC35" i="31"/>
  <c r="I8" i="31" s="1"/>
  <c r="DE82" i="31"/>
  <c r="BU12" i="31" s="1"/>
  <c r="DE83" i="31"/>
  <c r="CD12" i="31" s="1"/>
  <c r="DE44" i="31"/>
  <c r="CM8" i="31" s="1"/>
  <c r="DC52" i="31"/>
  <c r="BT9" i="31" s="1"/>
  <c r="DC9" i="31"/>
  <c r="AS5" i="31" s="1"/>
  <c r="EF59" i="1"/>
  <c r="EG59" i="1"/>
  <c r="JZ57" i="1"/>
  <c r="KA57" i="1" s="1"/>
  <c r="JW55" i="1"/>
  <c r="JW53" i="1"/>
  <c r="JZ53" i="1" s="1"/>
  <c r="KA53" i="1" s="1"/>
  <c r="KP53" i="1"/>
  <c r="KQ53" i="1" s="1"/>
  <c r="CU55" i="1"/>
  <c r="CH56" i="1"/>
  <c r="CS55" i="1"/>
  <c r="CQ55" i="1"/>
  <c r="AB55" i="1"/>
  <c r="KD46" i="1"/>
  <c r="KG46" i="1" s="1"/>
  <c r="EA41" i="1"/>
  <c r="DZ41" i="1"/>
  <c r="GS46" i="1"/>
  <c r="GR46" i="1"/>
  <c r="AH46" i="1"/>
  <c r="EG39" i="1"/>
  <c r="EF39" i="1"/>
  <c r="JV39" i="1"/>
  <c r="KD39" i="1"/>
  <c r="KL39" i="1"/>
  <c r="KT39" i="1"/>
  <c r="JX39" i="1"/>
  <c r="S66" i="25"/>
  <c r="Q66" i="25"/>
  <c r="GS39" i="1"/>
  <c r="GR39" i="1"/>
  <c r="BT35" i="1"/>
  <c r="GR38" i="1"/>
  <c r="GS38" i="1"/>
  <c r="ED32" i="1"/>
  <c r="EC32" i="1"/>
  <c r="EF27" i="1"/>
  <c r="EG27" i="1"/>
  <c r="JY42" i="1"/>
  <c r="JZ42" i="1" s="1"/>
  <c r="KA42" i="1" s="1"/>
  <c r="KX47" i="1"/>
  <c r="KY47" i="1" s="1"/>
  <c r="JW56" i="1"/>
  <c r="JZ56" i="1" s="1"/>
  <c r="KA56" i="1" s="1"/>
  <c r="K35" i="1"/>
  <c r="K36" i="1" s="1"/>
  <c r="K37" i="1" s="1"/>
  <c r="K38" i="1" s="1"/>
  <c r="K39" i="1" s="1"/>
  <c r="K40" i="1" s="1"/>
  <c r="BT34" i="1"/>
  <c r="JY25" i="1"/>
  <c r="GS25" i="1"/>
  <c r="GR25" i="1"/>
  <c r="JW26" i="1"/>
  <c r="JZ26" i="1" s="1"/>
  <c r="KA26" i="1" s="1"/>
  <c r="FR25" i="1"/>
  <c r="FO25" i="1"/>
  <c r="FL25" i="1"/>
  <c r="EZ25" i="1"/>
  <c r="FX25" i="1"/>
  <c r="FI25" i="1"/>
  <c r="EW25" i="1"/>
  <c r="FU25" i="1"/>
  <c r="FC25" i="1"/>
  <c r="FF25" i="1"/>
  <c r="GV13" i="1"/>
  <c r="GU13" i="1"/>
  <c r="EA16" i="1"/>
  <c r="DZ16" i="1"/>
  <c r="JZ14" i="1"/>
  <c r="KA14" i="1" s="1"/>
  <c r="BN27" i="1"/>
  <c r="BO13" i="1"/>
  <c r="BO27" i="1" s="1"/>
  <c r="KV18" i="1"/>
  <c r="KU18" i="1" s="1"/>
  <c r="KV21" i="1"/>
  <c r="KU21" i="1" s="1"/>
  <c r="KW29" i="1"/>
  <c r="KV29" i="1"/>
  <c r="KU29" i="1" s="1"/>
  <c r="KW35" i="1"/>
  <c r="KV35" i="1"/>
  <c r="KU35" i="1" s="1"/>
  <c r="KV49" i="1"/>
  <c r="KU49" i="1" s="1"/>
  <c r="KX49" i="1" s="1"/>
  <c r="KY49" i="1" s="1"/>
  <c r="KW49" i="1"/>
  <c r="KV56" i="1"/>
  <c r="KU56" i="1" s="1"/>
  <c r="KG5" i="1"/>
  <c r="KH5" i="1" s="1"/>
  <c r="KI5" i="1" s="1"/>
  <c r="KF5" i="1"/>
  <c r="KE5" i="1" s="1"/>
  <c r="KO18" i="1"/>
  <c r="KN18" i="1"/>
  <c r="KM18" i="1" s="1"/>
  <c r="KL18" i="1"/>
  <c r="KN31" i="1"/>
  <c r="KM31" i="1" s="1"/>
  <c r="KN37" i="1"/>
  <c r="KM37" i="1" s="1"/>
  <c r="KN43" i="1"/>
  <c r="KM43" i="1" s="1"/>
  <c r="KO43" i="1"/>
  <c r="KN50" i="1"/>
  <c r="KM50" i="1" s="1"/>
  <c r="KF10" i="1"/>
  <c r="KE10" i="1" s="1"/>
  <c r="KF23" i="1"/>
  <c r="KE23" i="1" s="1"/>
  <c r="KF26" i="1"/>
  <c r="KE26" i="1" s="1"/>
  <c r="KF33" i="1"/>
  <c r="KE33" i="1" s="1"/>
  <c r="KF41" i="1"/>
  <c r="KE41" i="1" s="1"/>
  <c r="KF51" i="1"/>
  <c r="KE51" i="1" s="1"/>
  <c r="KV5" i="1"/>
  <c r="KU5" i="1" s="1"/>
  <c r="BT41" i="1"/>
  <c r="BT54" i="1"/>
  <c r="C25" i="2"/>
  <c r="BG9" i="10"/>
  <c r="AB6" i="10"/>
  <c r="BG6" i="10"/>
  <c r="ED7" i="1"/>
  <c r="EC7" i="1"/>
  <c r="D10" i="2"/>
  <c r="D24" i="2"/>
  <c r="AL37" i="2"/>
  <c r="AL42" i="2"/>
  <c r="C49" i="2"/>
  <c r="E28" i="2"/>
  <c r="AQ52" i="2"/>
  <c r="C60" i="2"/>
  <c r="C68" i="2"/>
  <c r="C76" i="2"/>
  <c r="C84" i="2"/>
  <c r="C92" i="2"/>
  <c r="C100" i="2"/>
  <c r="E20" i="2"/>
  <c r="AQ32" i="2"/>
  <c r="C47" i="2"/>
  <c r="D56" i="2"/>
  <c r="D64" i="2"/>
  <c r="D72" i="2"/>
  <c r="D80" i="2"/>
  <c r="D88" i="2"/>
  <c r="D96" i="2"/>
  <c r="G47" i="2"/>
  <c r="C53" i="2"/>
  <c r="E55" i="2"/>
  <c r="E63" i="2"/>
  <c r="E71" i="2"/>
  <c r="E79" i="2"/>
  <c r="E87" i="2"/>
  <c r="E95" i="2"/>
  <c r="E103" i="2"/>
  <c r="C24" i="2"/>
  <c r="F37" i="2"/>
  <c r="C44" i="2"/>
  <c r="C51" i="2"/>
  <c r="E29" i="2"/>
  <c r="C43" i="2"/>
  <c r="C50" i="2"/>
  <c r="S62" i="25"/>
  <c r="Q62" i="25"/>
  <c r="S54" i="25"/>
  <c r="Q54" i="25"/>
  <c r="Q40" i="25"/>
  <c r="S40" i="25"/>
  <c r="Q59" i="25"/>
  <c r="S59" i="25"/>
  <c r="M51" i="1"/>
  <c r="C14" i="2"/>
  <c r="AQ9" i="2"/>
  <c r="BQ9" i="10"/>
  <c r="BO9" i="10" s="1"/>
  <c r="BP9" i="10" s="1"/>
  <c r="BO8" i="10"/>
  <c r="BP8" i="10" s="1"/>
  <c r="BO18" i="10"/>
  <c r="BP18" i="10" s="1"/>
  <c r="BQ19" i="10"/>
  <c r="BO19" i="10" s="1"/>
  <c r="BP19" i="10" s="1"/>
  <c r="DC32" i="31"/>
  <c r="BT7" i="31" s="1"/>
  <c r="EA51" i="1"/>
  <c r="DZ51" i="1"/>
  <c r="EA42" i="1"/>
  <c r="DZ42" i="1"/>
  <c r="JY28" i="1"/>
  <c r="JZ28" i="1" s="1"/>
  <c r="KA28" i="1" s="1"/>
  <c r="GP31" i="1"/>
  <c r="GO31" i="1"/>
  <c r="EM33" i="1"/>
  <c r="EL33" i="1"/>
  <c r="GV36" i="1"/>
  <c r="GU36" i="1"/>
  <c r="KV14" i="1"/>
  <c r="KU14" i="1" s="1"/>
  <c r="KV34" i="1"/>
  <c r="KU34" i="1" s="1"/>
  <c r="KV53" i="1"/>
  <c r="KU53" i="1" s="1"/>
  <c r="KN10" i="1"/>
  <c r="KM10" i="1" s="1"/>
  <c r="KN28" i="1"/>
  <c r="KM28" i="1" s="1"/>
  <c r="KP28" i="1" s="1"/>
  <c r="KQ28" i="1" s="1"/>
  <c r="KO28" i="1"/>
  <c r="KN44" i="1"/>
  <c r="KM44" i="1" s="1"/>
  <c r="KF21" i="1"/>
  <c r="KE21" i="1" s="1"/>
  <c r="KF56" i="1"/>
  <c r="KE56" i="1" s="1"/>
  <c r="KH56" i="1" s="1"/>
  <c r="KI56" i="1" s="1"/>
  <c r="KG56" i="1"/>
  <c r="DC50" i="1"/>
  <c r="DD50" i="1" s="1"/>
  <c r="DE50" i="1"/>
  <c r="E15" i="2"/>
  <c r="F14" i="2"/>
  <c r="B5" i="49"/>
  <c r="Q63" i="25"/>
  <c r="S63" i="25"/>
  <c r="C15" i="24"/>
  <c r="DC24" i="31"/>
  <c r="CL6" i="31" s="1"/>
  <c r="S78" i="25"/>
  <c r="Q78" i="25"/>
  <c r="Z10" i="31"/>
  <c r="DB30" i="31"/>
  <c r="DD30" i="31" s="1"/>
  <c r="DC30" i="31" s="1"/>
  <c r="BB7" i="31" s="1"/>
  <c r="BC7" i="31"/>
  <c r="DC72" i="31"/>
  <c r="BT11" i="31" s="1"/>
  <c r="S74" i="25"/>
  <c r="Q74" i="25"/>
  <c r="DE74" i="31"/>
  <c r="CM11" i="31" s="1"/>
  <c r="BS5" i="31"/>
  <c r="Y6" i="49"/>
  <c r="M6" i="33"/>
  <c r="X6" i="47"/>
  <c r="T6" i="9"/>
  <c r="AA6" i="25"/>
  <c r="W6" i="24"/>
  <c r="AV6" i="2"/>
  <c r="BA6" i="2" s="1"/>
  <c r="BA5" i="31"/>
  <c r="DC58" i="31"/>
  <c r="AJ10" i="31" s="1"/>
  <c r="H7" i="31"/>
  <c r="Z5" i="31"/>
  <c r="GR58" i="1"/>
  <c r="GS58" i="1"/>
  <c r="GP56" i="1"/>
  <c r="GO56" i="1"/>
  <c r="ED52" i="1"/>
  <c r="EC52" i="1"/>
  <c r="FW55" i="1"/>
  <c r="FY55" i="1" s="1"/>
  <c r="EY55" i="1"/>
  <c r="FA55" i="1" s="1"/>
  <c r="FE55" i="1"/>
  <c r="FG55" i="1" s="1"/>
  <c r="FK55" i="1"/>
  <c r="FM55" i="1" s="1"/>
  <c r="EU55" i="1"/>
  <c r="FQ55" i="1"/>
  <c r="FS55" i="1" s="1"/>
  <c r="FT55" i="1"/>
  <c r="FV55" i="1" s="1"/>
  <c r="FB55" i="1"/>
  <c r="FD55" i="1" s="1"/>
  <c r="FN55" i="1"/>
  <c r="FP55" i="1" s="1"/>
  <c r="EV55" i="1"/>
  <c r="EX55" i="1" s="1"/>
  <c r="FH55" i="1"/>
  <c r="FJ55" i="1" s="1"/>
  <c r="ED53" i="1"/>
  <c r="EC53" i="1"/>
  <c r="GP45" i="1"/>
  <c r="GO45" i="1"/>
  <c r="DE48" i="1"/>
  <c r="DC48" i="1"/>
  <c r="DD48" i="1" s="1"/>
  <c r="CQ47" i="1"/>
  <c r="AH47" i="1" s="1"/>
  <c r="AB47" i="1"/>
  <c r="CU47" i="1"/>
  <c r="CS47" i="1"/>
  <c r="JZ41" i="1"/>
  <c r="KA41" i="1" s="1"/>
  <c r="JV37" i="1"/>
  <c r="JY37" i="1" s="1"/>
  <c r="KD37" i="1"/>
  <c r="KG37" i="1" s="1"/>
  <c r="KL37" i="1"/>
  <c r="KT37" i="1"/>
  <c r="KW37" i="1" s="1"/>
  <c r="JX37" i="1"/>
  <c r="GS43" i="1"/>
  <c r="GR43" i="1"/>
  <c r="JX40" i="1"/>
  <c r="JV40" i="1"/>
  <c r="KD40" i="1"/>
  <c r="KL40" i="1"/>
  <c r="KT40" i="1"/>
  <c r="KW40" i="1" s="1"/>
  <c r="K70" i="25"/>
  <c r="I70" i="25"/>
  <c r="E70" i="25"/>
  <c r="G70" i="25"/>
  <c r="JZ30" i="1"/>
  <c r="KA30" i="1" s="1"/>
  <c r="JY30" i="1"/>
  <c r="KX29" i="1"/>
  <c r="KY29" i="1" s="1"/>
  <c r="GP32" i="1"/>
  <c r="GO32" i="1"/>
  <c r="EJ37" i="1"/>
  <c r="EI37" i="1"/>
  <c r="KP46" i="1"/>
  <c r="KQ46" i="1" s="1"/>
  <c r="JY49" i="1"/>
  <c r="JZ49" i="1" s="1"/>
  <c r="KA49" i="1" s="1"/>
  <c r="KT53" i="1"/>
  <c r="JZ21" i="1"/>
  <c r="KA21" i="1" s="1"/>
  <c r="EG24" i="1"/>
  <c r="EF24" i="1"/>
  <c r="EF18" i="1"/>
  <c r="EG18" i="1"/>
  <c r="ED13" i="1"/>
  <c r="EC13" i="1"/>
  <c r="GV15" i="1"/>
  <c r="GU15" i="1"/>
  <c r="GS19" i="1"/>
  <c r="GR19" i="1"/>
  <c r="GP18" i="1"/>
  <c r="GO18" i="1"/>
  <c r="GV14" i="1"/>
  <c r="GU14" i="1"/>
  <c r="GR20" i="1"/>
  <c r="GS20" i="1"/>
  <c r="JZ20" i="1"/>
  <c r="KA20" i="1" s="1"/>
  <c r="KV12" i="1"/>
  <c r="KU12" i="1" s="1"/>
  <c r="KV22" i="1"/>
  <c r="KU22" i="1" s="1"/>
  <c r="KX22" i="1" s="1"/>
  <c r="KY22" i="1" s="1"/>
  <c r="KW22" i="1"/>
  <c r="KW30" i="1"/>
  <c r="KV30" i="1"/>
  <c r="KU30" i="1" s="1"/>
  <c r="KX30" i="1" s="1"/>
  <c r="KY30" i="1" s="1"/>
  <c r="KV38" i="1"/>
  <c r="KU38" i="1" s="1"/>
  <c r="KV50" i="1"/>
  <c r="KU50" i="1" s="1"/>
  <c r="KX50" i="1" s="1"/>
  <c r="KY50" i="1" s="1"/>
  <c r="KW50" i="1"/>
  <c r="KV54" i="1"/>
  <c r="KU54" i="1" s="1"/>
  <c r="GP11" i="1"/>
  <c r="GO11" i="1"/>
  <c r="KN14" i="1"/>
  <c r="KM14" i="1" s="1"/>
  <c r="KN20" i="1"/>
  <c r="KM20" i="1" s="1"/>
  <c r="KN32" i="1"/>
  <c r="KM32" i="1" s="1"/>
  <c r="KO32" i="1"/>
  <c r="KN36" i="1"/>
  <c r="KM36" i="1" s="1"/>
  <c r="KN47" i="1"/>
  <c r="KM47" i="1" s="1"/>
  <c r="KO57" i="1"/>
  <c r="KN57" i="1"/>
  <c r="KM57" i="1" s="1"/>
  <c r="KP57" i="1" s="1"/>
  <c r="KQ57" i="1" s="1"/>
  <c r="JZ7" i="1"/>
  <c r="KA7" i="1" s="1"/>
  <c r="JD61" i="1"/>
  <c r="JD63" i="1"/>
  <c r="JD60" i="1"/>
  <c r="JD64" i="1"/>
  <c r="JD62" i="1"/>
  <c r="JD59" i="1"/>
  <c r="JD55" i="1"/>
  <c r="JD54" i="1"/>
  <c r="JD58" i="1"/>
  <c r="JD56" i="1"/>
  <c r="JD57" i="1"/>
  <c r="JD52" i="1"/>
  <c r="JD51" i="1"/>
  <c r="JD50" i="1"/>
  <c r="JD49" i="1"/>
  <c r="JD53" i="1"/>
  <c r="JD43" i="1"/>
  <c r="JD45" i="1"/>
  <c r="JD48" i="1"/>
  <c r="JD44" i="1"/>
  <c r="JD5" i="1"/>
  <c r="JD2" i="1" s="1"/>
  <c r="JE4" i="1"/>
  <c r="JE7" i="1" s="1"/>
  <c r="KF12" i="1"/>
  <c r="KE12" i="1" s="1"/>
  <c r="KD12" i="1"/>
  <c r="KG24" i="1"/>
  <c r="KF24" i="1"/>
  <c r="KE24" i="1" s="1"/>
  <c r="KH24" i="1" s="1"/>
  <c r="KI24" i="1" s="1"/>
  <c r="KF28" i="1"/>
  <c r="KE28" i="1" s="1"/>
  <c r="KF44" i="1"/>
  <c r="KE44" i="1" s="1"/>
  <c r="KH44" i="1" s="1"/>
  <c r="KI44" i="1" s="1"/>
  <c r="KG44" i="1"/>
  <c r="KG47" i="1"/>
  <c r="KF47" i="1"/>
  <c r="KE47" i="1" s="1"/>
  <c r="KH47" i="1" s="1"/>
  <c r="KI47" i="1" s="1"/>
  <c r="KG52" i="1"/>
  <c r="KF52" i="1"/>
  <c r="KE52" i="1" s="1"/>
  <c r="KH52" i="1" s="1"/>
  <c r="KI52" i="1" s="1"/>
  <c r="DC49" i="1"/>
  <c r="DD49" i="1" s="1"/>
  <c r="DE49" i="1"/>
  <c r="Q8" i="1"/>
  <c r="CZ8" i="1"/>
  <c r="DA8" i="1" s="1"/>
  <c r="DB8" i="1" s="1"/>
  <c r="CY8" i="1"/>
  <c r="CX9" i="1"/>
  <c r="BT50" i="1"/>
  <c r="KN7" i="1"/>
  <c r="KL7" i="1"/>
  <c r="KO7" i="1" s="1"/>
  <c r="GV5" i="1"/>
  <c r="GU5" i="1"/>
  <c r="AL9" i="2"/>
  <c r="AE30" i="1"/>
  <c r="AE31" i="1" s="1"/>
  <c r="AE29" i="1"/>
  <c r="D32" i="2"/>
  <c r="F29" i="2"/>
  <c r="C48" i="2"/>
  <c r="C41" i="2"/>
  <c r="AL47" i="2"/>
  <c r="E43" i="2"/>
  <c r="E50" i="2"/>
  <c r="D57" i="2"/>
  <c r="D65" i="2"/>
  <c r="D73" i="2"/>
  <c r="D81" i="2"/>
  <c r="D89" i="2"/>
  <c r="D97" i="2"/>
  <c r="AL24" i="2"/>
  <c r="C32" i="2"/>
  <c r="AL44" i="2"/>
  <c r="Q75" i="25"/>
  <c r="S75" i="25"/>
  <c r="Q80" i="25"/>
  <c r="S80" i="25"/>
  <c r="ED6" i="1"/>
  <c r="EC6" i="1"/>
  <c r="C13" i="2"/>
  <c r="GV7" i="1"/>
  <c r="GU7" i="1"/>
  <c r="M55" i="1"/>
  <c r="ED5" i="1"/>
  <c r="EC5" i="1"/>
  <c r="D9" i="2"/>
  <c r="KM13" i="1"/>
  <c r="KP13" i="1" s="1"/>
  <c r="KQ13" i="1" s="1"/>
  <c r="AB11" i="10"/>
  <c r="BK9" i="10"/>
  <c r="BI9" i="10" s="1"/>
  <c r="BJ9" i="10" s="1"/>
  <c r="BI8" i="10"/>
  <c r="BJ8" i="10" s="1"/>
  <c r="W13" i="24"/>
  <c r="W16" i="24"/>
  <c r="W15" i="24"/>
  <c r="W14" i="24"/>
  <c r="X7" i="24"/>
  <c r="S20" i="24"/>
  <c r="L20" i="24" s="1"/>
  <c r="K20" i="24" s="1"/>
  <c r="F20" i="24" s="1"/>
  <c r="EA49" i="1"/>
  <c r="DZ49" i="1"/>
  <c r="DC5" i="1"/>
  <c r="DD5" i="1" s="1"/>
  <c r="DE5" i="1"/>
  <c r="DE3" i="1" s="1"/>
  <c r="DE1" i="1" s="1"/>
  <c r="DF2" i="1" s="1"/>
  <c r="T24" i="46"/>
  <c r="C6" i="47"/>
  <c r="S34" i="46"/>
  <c r="R35" i="46"/>
  <c r="M34" i="46"/>
  <c r="L35" i="46"/>
  <c r="S36" i="24"/>
  <c r="L36" i="24" s="1"/>
  <c r="K36" i="24" s="1"/>
  <c r="F36" i="24" s="1"/>
  <c r="DC44" i="31"/>
  <c r="CL8" i="31" s="1"/>
  <c r="DB29" i="31"/>
  <c r="AT7" i="31"/>
  <c r="DD64" i="31"/>
  <c r="DC64" i="31" s="1"/>
  <c r="CL10" i="31" s="1"/>
  <c r="Y12" i="49"/>
  <c r="M12" i="33"/>
  <c r="I6" i="33" s="1"/>
  <c r="T12" i="9"/>
  <c r="X12" i="47"/>
  <c r="DO30" i="31"/>
  <c r="DO29" i="31"/>
  <c r="DO28" i="31"/>
  <c r="DO27" i="31"/>
  <c r="AA12" i="25"/>
  <c r="AV12" i="2"/>
  <c r="BA12" i="2" s="1"/>
  <c r="DC17" i="31"/>
  <c r="AA6" i="31" s="1"/>
  <c r="GP64" i="1"/>
  <c r="GO64" i="1"/>
  <c r="GV59" i="1"/>
  <c r="GU59" i="1"/>
  <c r="DZ60" i="1"/>
  <c r="EA60" i="1"/>
  <c r="CY52" i="1"/>
  <c r="CX53" i="1"/>
  <c r="CZ52" i="1"/>
  <c r="DA52" i="1" s="1"/>
  <c r="DB52" i="1" s="1"/>
  <c r="Q52" i="1"/>
  <c r="AH54" i="1"/>
  <c r="KP52" i="1"/>
  <c r="KQ52" i="1" s="1"/>
  <c r="KP43" i="1"/>
  <c r="KQ43" i="1" s="1"/>
  <c r="JZ47" i="1"/>
  <c r="KA47" i="1" s="1"/>
  <c r="JY47" i="1"/>
  <c r="JZ46" i="1"/>
  <c r="KA46" i="1" s="1"/>
  <c r="GR49" i="1"/>
  <c r="GS49" i="1"/>
  <c r="JZ44" i="1"/>
  <c r="KA44" i="1" s="1"/>
  <c r="EG48" i="1"/>
  <c r="EF48" i="1"/>
  <c r="GY50" i="1"/>
  <c r="GX50" i="1"/>
  <c r="K71" i="25"/>
  <c r="G71" i="25"/>
  <c r="E71" i="25"/>
  <c r="I71" i="25"/>
  <c r="JZ34" i="1"/>
  <c r="KA34" i="1" s="1"/>
  <c r="DZ44" i="1"/>
  <c r="EA44" i="1"/>
  <c r="GS35" i="1"/>
  <c r="GR35" i="1"/>
  <c r="JZ29" i="1"/>
  <c r="KA29" i="1" s="1"/>
  <c r="JY29" i="1"/>
  <c r="JZ31" i="1"/>
  <c r="KA31" i="1" s="1"/>
  <c r="JY23" i="1"/>
  <c r="JZ23" i="1" s="1"/>
  <c r="KA23" i="1" s="1"/>
  <c r="JZ50" i="1"/>
  <c r="KA50" i="1" s="1"/>
  <c r="JY50" i="1"/>
  <c r="KP24" i="1"/>
  <c r="KQ24" i="1" s="1"/>
  <c r="JW25" i="1"/>
  <c r="JZ25" i="1" s="1"/>
  <c r="KA25" i="1" s="1"/>
  <c r="FO24" i="1"/>
  <c r="FF24" i="1"/>
  <c r="FU24" i="1"/>
  <c r="EW24" i="1"/>
  <c r="FL24" i="1"/>
  <c r="FC24" i="1"/>
  <c r="FI24" i="1"/>
  <c r="FX24" i="1"/>
  <c r="EZ24" i="1"/>
  <c r="FR24" i="1"/>
  <c r="KP26" i="1"/>
  <c r="KQ26" i="1" s="1"/>
  <c r="GV21" i="1"/>
  <c r="GU21" i="1"/>
  <c r="KH18" i="1"/>
  <c r="KI18" i="1" s="1"/>
  <c r="GV17" i="1"/>
  <c r="GU17" i="1"/>
  <c r="EC20" i="1"/>
  <c r="ED20" i="1"/>
  <c r="JZ19" i="1"/>
  <c r="KA19" i="1" s="1"/>
  <c r="KT17" i="1"/>
  <c r="KW17" i="1" s="1"/>
  <c r="LA57" i="1"/>
  <c r="LA55" i="1"/>
  <c r="LA56" i="1"/>
  <c r="LA53" i="1"/>
  <c r="LA54" i="1"/>
  <c r="LA52" i="1"/>
  <c r="LA51" i="1"/>
  <c r="LA50" i="1"/>
  <c r="LA46" i="1"/>
  <c r="LA44" i="1"/>
  <c r="LA49" i="1"/>
  <c r="LA43" i="1"/>
  <c r="LA40" i="1"/>
  <c r="LA47" i="1"/>
  <c r="LA41" i="1"/>
  <c r="LA45" i="1"/>
  <c r="LA42" i="1"/>
  <c r="LA48" i="1"/>
  <c r="LA39" i="1"/>
  <c r="LA34" i="1"/>
  <c r="LA35" i="1"/>
  <c r="LA36" i="1"/>
  <c r="LA38" i="1"/>
  <c r="LB38" i="1" s="1"/>
  <c r="LA33" i="1"/>
  <c r="LA37" i="1"/>
  <c r="LB37" i="1" s="1"/>
  <c r="LA31" i="1"/>
  <c r="LA32" i="1"/>
  <c r="LB32" i="1" s="1"/>
  <c r="LA28" i="1"/>
  <c r="LA29" i="1"/>
  <c r="LA27" i="1"/>
  <c r="LA24" i="1"/>
  <c r="LA23" i="1"/>
  <c r="LA26" i="1"/>
  <c r="LA30" i="1"/>
  <c r="LA22" i="1"/>
  <c r="LA19" i="1"/>
  <c r="LA25" i="1"/>
  <c r="LA18" i="1"/>
  <c r="LA21" i="1"/>
  <c r="LA16" i="1"/>
  <c r="LA15" i="1"/>
  <c r="LA14" i="1"/>
  <c r="LA20" i="1"/>
  <c r="LA17" i="1"/>
  <c r="LA12" i="1"/>
  <c r="LA13" i="1"/>
  <c r="LA9" i="1"/>
  <c r="LA7" i="1"/>
  <c r="LA6" i="1"/>
  <c r="LA11" i="1"/>
  <c r="LA5" i="1"/>
  <c r="LA10" i="1"/>
  <c r="LA8" i="1"/>
  <c r="KW13" i="1"/>
  <c r="KV13" i="1"/>
  <c r="KU13" i="1" s="1"/>
  <c r="KX13" i="1" s="1"/>
  <c r="KY13" i="1" s="1"/>
  <c r="KV25" i="1"/>
  <c r="KU25" i="1" s="1"/>
  <c r="KV33" i="1"/>
  <c r="KU33" i="1" s="1"/>
  <c r="KV39" i="1"/>
  <c r="KU39" i="1" s="1"/>
  <c r="KV48" i="1"/>
  <c r="KU48" i="1" s="1"/>
  <c r="KV55" i="1"/>
  <c r="KU55" i="1" s="1"/>
  <c r="KV9" i="1"/>
  <c r="KU9" i="1" s="1"/>
  <c r="KW9" i="1"/>
  <c r="KT9" i="1"/>
  <c r="JY6" i="1"/>
  <c r="JZ6" i="1" s="1"/>
  <c r="KA6" i="1" s="1"/>
  <c r="KN12" i="1"/>
  <c r="KL12" i="1"/>
  <c r="KN21" i="1"/>
  <c r="KM21" i="1" s="1"/>
  <c r="KN27" i="1"/>
  <c r="KM27" i="1" s="1"/>
  <c r="KN35" i="1"/>
  <c r="KM35" i="1" s="1"/>
  <c r="KN45" i="1"/>
  <c r="KM45" i="1" s="1"/>
  <c r="KO55" i="1"/>
  <c r="KP55" i="1" s="1"/>
  <c r="KQ55" i="1" s="1"/>
  <c r="KN55" i="1"/>
  <c r="KM55" i="1" s="1"/>
  <c r="KF19" i="1"/>
  <c r="KE19" i="1" s="1"/>
  <c r="KF20" i="1"/>
  <c r="KE20" i="1" s="1"/>
  <c r="KF31" i="1"/>
  <c r="KE31" i="1" s="1"/>
  <c r="KG36" i="1"/>
  <c r="KF36" i="1"/>
  <c r="KE36" i="1" s="1"/>
  <c r="KG48" i="1"/>
  <c r="KF48" i="1"/>
  <c r="KE48" i="1" s="1"/>
  <c r="KH48" i="1" s="1"/>
  <c r="KI48" i="1" s="1"/>
  <c r="KF57" i="1"/>
  <c r="KE57" i="1" s="1"/>
  <c r="DC47" i="1"/>
  <c r="DD47" i="1" s="1"/>
  <c r="DE47" i="1"/>
  <c r="KG7" i="1"/>
  <c r="KF7" i="1"/>
  <c r="KE7" i="1" s="1"/>
  <c r="KH7" i="1" s="1"/>
  <c r="KI7" i="1" s="1"/>
  <c r="BT51" i="1"/>
  <c r="GY10" i="1"/>
  <c r="GX10" i="1"/>
  <c r="KV7" i="1"/>
  <c r="KT7" i="1"/>
  <c r="EF9" i="1"/>
  <c r="EG9" i="1"/>
  <c r="JW8" i="1"/>
  <c r="JZ8" i="1" s="1"/>
  <c r="KA8" i="1" s="1"/>
  <c r="KE8" i="1"/>
  <c r="KH8" i="1" s="1"/>
  <c r="KI8" i="1" s="1"/>
  <c r="AD29" i="1"/>
  <c r="AD30" i="1"/>
  <c r="AD31" i="1" s="1"/>
  <c r="E26" i="2"/>
  <c r="AL19" i="2"/>
  <c r="D43" i="2"/>
  <c r="AQ42" i="2"/>
  <c r="E18" i="2"/>
  <c r="AL32" i="2"/>
  <c r="D45" i="2"/>
  <c r="D53" i="2"/>
  <c r="G24" i="2"/>
  <c r="C31" i="2"/>
  <c r="C38" i="2"/>
  <c r="G44" i="2"/>
  <c r="D52" i="2"/>
  <c r="S43" i="25"/>
  <c r="Q43" i="25"/>
  <c r="S58" i="25"/>
  <c r="Q58" i="25"/>
  <c r="Q88" i="25"/>
  <c r="S88" i="25"/>
  <c r="C17" i="2"/>
  <c r="E12" i="2"/>
  <c r="C5" i="2"/>
  <c r="M52" i="1"/>
  <c r="KU10" i="1"/>
  <c r="KX10" i="1" s="1"/>
  <c r="KY10" i="1" s="1"/>
  <c r="KO13" i="1"/>
  <c r="AB5" i="10"/>
  <c r="BG5" i="10"/>
  <c r="BI17" i="10"/>
  <c r="BJ17" i="10" s="1"/>
  <c r="BK18" i="10"/>
  <c r="BF12" i="10"/>
  <c r="KU27" i="1" l="1"/>
  <c r="JY27" i="1"/>
  <c r="JZ27" i="1" s="1"/>
  <c r="KA27" i="1" s="1"/>
  <c r="KH20" i="1"/>
  <c r="KI20" i="1" s="1"/>
  <c r="KH57" i="1"/>
  <c r="KI57" i="1" s="1"/>
  <c r="KX25" i="1"/>
  <c r="KY25" i="1" s="1"/>
  <c r="LD26" i="1"/>
  <c r="LC26" i="1" s="1"/>
  <c r="LB26" i="1"/>
  <c r="LE46" i="1"/>
  <c r="LD46" i="1"/>
  <c r="LB46" i="1"/>
  <c r="LD7" i="1"/>
  <c r="LC7" i="1" s="1"/>
  <c r="LB7" i="1"/>
  <c r="LD45" i="1"/>
  <c r="LC45" i="1" s="1"/>
  <c r="LB45" i="1"/>
  <c r="KG57" i="1"/>
  <c r="KG20" i="1"/>
  <c r="KO35" i="1"/>
  <c r="LE8" i="1"/>
  <c r="LD8" i="1"/>
  <c r="LC8" i="1" s="1"/>
  <c r="LB8" i="1"/>
  <c r="LD12" i="1"/>
  <c r="LC12" i="1" s="1"/>
  <c r="LB12" i="1"/>
  <c r="LD25" i="1"/>
  <c r="LB25" i="1"/>
  <c r="LD29" i="1"/>
  <c r="LB29" i="1"/>
  <c r="LD35" i="1"/>
  <c r="LD40" i="1"/>
  <c r="LD54" i="1"/>
  <c r="LC54" i="1" s="1"/>
  <c r="LB54" i="1"/>
  <c r="EG20" i="1"/>
  <c r="EF20" i="1"/>
  <c r="Y27" i="49"/>
  <c r="T27" i="9"/>
  <c r="W27" i="24"/>
  <c r="M27" i="33"/>
  <c r="AA27" i="25"/>
  <c r="DP27" i="31"/>
  <c r="AV27" i="2"/>
  <c r="BA27" i="2" s="1"/>
  <c r="W31" i="24"/>
  <c r="X13" i="24"/>
  <c r="S8" i="24"/>
  <c r="L8" i="24" s="1"/>
  <c r="S24" i="24"/>
  <c r="L24" i="24" s="1"/>
  <c r="KM7" i="1"/>
  <c r="KG28" i="1"/>
  <c r="KH28" i="1" s="1"/>
  <c r="KI28" i="1" s="1"/>
  <c r="KO14" i="1"/>
  <c r="KP14" i="1" s="1"/>
  <c r="KQ14" i="1" s="1"/>
  <c r="KW12" i="1"/>
  <c r="KX12" i="1" s="1"/>
  <c r="KY12" i="1" s="1"/>
  <c r="EF13" i="1"/>
  <c r="EG13" i="1"/>
  <c r="EF53" i="1"/>
  <c r="EG53" i="1"/>
  <c r="O6" i="47"/>
  <c r="O5" i="47"/>
  <c r="O7" i="47"/>
  <c r="EF7" i="1"/>
  <c r="EG7" i="1"/>
  <c r="KP18" i="1"/>
  <c r="KQ18" i="1" s="1"/>
  <c r="KW18" i="1"/>
  <c r="KX18" i="1" s="1"/>
  <c r="KY18" i="1" s="1"/>
  <c r="GY13" i="1"/>
  <c r="GX13" i="1"/>
  <c r="GU46" i="1"/>
  <c r="GV46" i="1"/>
  <c r="AH55" i="1"/>
  <c r="HA34" i="1"/>
  <c r="HB34" i="1"/>
  <c r="GV24" i="1"/>
  <c r="GU24" i="1"/>
  <c r="EF38" i="1"/>
  <c r="EG38" i="1"/>
  <c r="KG16" i="1"/>
  <c r="KH16" i="1" s="1"/>
  <c r="KI16" i="1" s="1"/>
  <c r="KW26" i="1"/>
  <c r="KX26" i="1" s="1"/>
  <c r="KY26" i="1" s="1"/>
  <c r="KP32" i="1"/>
  <c r="KQ32" i="1" s="1"/>
  <c r="J37" i="1"/>
  <c r="Z36" i="1"/>
  <c r="BS36" i="1"/>
  <c r="BT36" i="1"/>
  <c r="HB55" i="1"/>
  <c r="HA55" i="1"/>
  <c r="GV62" i="1"/>
  <c r="GU62" i="1"/>
  <c r="EJ61" i="1"/>
  <c r="EI61" i="1"/>
  <c r="M14" i="33"/>
  <c r="X14" i="47"/>
  <c r="T14" i="9"/>
  <c r="Y14" i="49"/>
  <c r="AA14" i="25"/>
  <c r="AV14" i="2"/>
  <c r="BA14" i="2" s="1"/>
  <c r="DC83" i="31"/>
  <c r="CC12" i="31" s="1"/>
  <c r="DC84" i="31"/>
  <c r="CL12" i="31" s="1"/>
  <c r="KP33" i="1"/>
  <c r="KQ33" i="1" s="1"/>
  <c r="LB35" i="1"/>
  <c r="LE35" i="1" s="1"/>
  <c r="DC82" i="31"/>
  <c r="BT12" i="31" s="1"/>
  <c r="KG55" i="1"/>
  <c r="KH55" i="1" s="1"/>
  <c r="KI55" i="1" s="1"/>
  <c r="KG27" i="1"/>
  <c r="KU37" i="1"/>
  <c r="KX37" i="1" s="1"/>
  <c r="KY37" i="1" s="1"/>
  <c r="GS12" i="1"/>
  <c r="GR12" i="1"/>
  <c r="EF34" i="1"/>
  <c r="EG34" i="1"/>
  <c r="KX36" i="1"/>
  <c r="KY36" i="1" s="1"/>
  <c r="ED46" i="1"/>
  <c r="EC46" i="1"/>
  <c r="KE35" i="1"/>
  <c r="GY53" i="1"/>
  <c r="GX53" i="1"/>
  <c r="GV6" i="1"/>
  <c r="GU6" i="1"/>
  <c r="M16" i="33"/>
  <c r="Y16" i="49"/>
  <c r="X16" i="47"/>
  <c r="T16" i="9"/>
  <c r="AA16" i="25"/>
  <c r="AV16" i="2"/>
  <c r="BA16" i="2" s="1"/>
  <c r="AQ54" i="2" s="1"/>
  <c r="BI18" i="10"/>
  <c r="BJ18" i="10" s="1"/>
  <c r="BK19" i="10"/>
  <c r="BI19" i="10" s="1"/>
  <c r="BJ19" i="10" s="1"/>
  <c r="KW25" i="1"/>
  <c r="LD33" i="1"/>
  <c r="BG12" i="10"/>
  <c r="AB12" i="10"/>
  <c r="HB10" i="1"/>
  <c r="HA10" i="1"/>
  <c r="KG19" i="1"/>
  <c r="KH19" i="1" s="1"/>
  <c r="KI19" i="1" s="1"/>
  <c r="KO27" i="1"/>
  <c r="KP27" i="1" s="1"/>
  <c r="KQ27" i="1" s="1"/>
  <c r="KX9" i="1"/>
  <c r="KY9" i="1" s="1"/>
  <c r="KW39" i="1"/>
  <c r="LD10" i="1"/>
  <c r="LC10" i="1" s="1"/>
  <c r="LB10" i="1"/>
  <c r="LD17" i="1"/>
  <c r="LC17" i="1" s="1"/>
  <c r="LB17" i="1"/>
  <c r="LD19" i="1"/>
  <c r="LB19" i="1"/>
  <c r="LD28" i="1"/>
  <c r="LB28" i="1"/>
  <c r="LD34" i="1"/>
  <c r="LB34" i="1"/>
  <c r="LE34" i="1" s="1"/>
  <c r="LD43" i="1"/>
  <c r="LC43" i="1" s="1"/>
  <c r="LB43" i="1"/>
  <c r="LD53" i="1"/>
  <c r="LC53" i="1" s="1"/>
  <c r="LB53" i="1"/>
  <c r="GU35" i="1"/>
  <c r="GV35" i="1"/>
  <c r="W28" i="24"/>
  <c r="DP28" i="31"/>
  <c r="AA28" i="25"/>
  <c r="AV28" i="2"/>
  <c r="BA28" i="2" s="1"/>
  <c r="ED49" i="1"/>
  <c r="EC49" i="1"/>
  <c r="KO47" i="1"/>
  <c r="KP47" i="1" s="1"/>
  <c r="KQ47" i="1" s="1"/>
  <c r="KW38" i="1"/>
  <c r="GS18" i="1"/>
  <c r="GR18" i="1"/>
  <c r="GS56" i="1"/>
  <c r="GR56" i="1"/>
  <c r="I7" i="33"/>
  <c r="I9" i="33"/>
  <c r="KW14" i="1"/>
  <c r="KX14" i="1" s="1"/>
  <c r="KY14" i="1" s="1"/>
  <c r="GS31" i="1"/>
  <c r="GR31" i="1"/>
  <c r="KG33" i="1"/>
  <c r="KH33" i="1" s="1"/>
  <c r="KI33" i="1" s="1"/>
  <c r="KO50" i="1"/>
  <c r="KP50" i="1" s="1"/>
  <c r="KQ50" i="1" s="1"/>
  <c r="GV39" i="1"/>
  <c r="GU39" i="1"/>
  <c r="KP8" i="1"/>
  <c r="KQ8" i="1" s="1"/>
  <c r="KE37" i="1"/>
  <c r="KU40" i="1"/>
  <c r="EI28" i="1"/>
  <c r="EJ28" i="1"/>
  <c r="KO22" i="1"/>
  <c r="KP22" i="1" s="1"/>
  <c r="KQ22" i="1" s="1"/>
  <c r="KG6" i="1"/>
  <c r="KH6" i="1" s="1"/>
  <c r="KI6" i="1" s="1"/>
  <c r="KG34" i="1"/>
  <c r="KH34" i="1" s="1"/>
  <c r="KI34" i="1" s="1"/>
  <c r="KW16" i="1"/>
  <c r="EG22" i="1"/>
  <c r="EF22" i="1"/>
  <c r="BS35" i="1"/>
  <c r="KX35" i="1"/>
  <c r="KY35" i="1" s="1"/>
  <c r="AB17" i="10"/>
  <c r="BG17" i="10"/>
  <c r="KH15" i="1"/>
  <c r="KI15" i="1" s="1"/>
  <c r="KM16" i="1"/>
  <c r="KW6" i="1"/>
  <c r="KX6" i="1" s="1"/>
  <c r="KY6" i="1" s="1"/>
  <c r="S60" i="25"/>
  <c r="Q60" i="25"/>
  <c r="EJ40" i="1"/>
  <c r="EI40" i="1"/>
  <c r="GV57" i="1"/>
  <c r="GU57" i="1"/>
  <c r="GY8" i="1"/>
  <c r="GX8" i="1"/>
  <c r="KO54" i="1"/>
  <c r="KP54" i="1" s="1"/>
  <c r="KQ54" i="1" s="1"/>
  <c r="KW42" i="1"/>
  <c r="KX42" i="1" s="1"/>
  <c r="KY42" i="1" s="1"/>
  <c r="GV42" i="1"/>
  <c r="GU42" i="1"/>
  <c r="EG45" i="1"/>
  <c r="EF45" i="1"/>
  <c r="GY63" i="1"/>
  <c r="GX63" i="1"/>
  <c r="BH18" i="10"/>
  <c r="BE17" i="10"/>
  <c r="KE46" i="1"/>
  <c r="KH46" i="1" s="1"/>
  <c r="KI46" i="1" s="1"/>
  <c r="LD20" i="1"/>
  <c r="LE20" i="1"/>
  <c r="LB20" i="1"/>
  <c r="AR7" i="31"/>
  <c r="DD29" i="31"/>
  <c r="DC29" i="31" s="1"/>
  <c r="AS7" i="31" s="1"/>
  <c r="EJ18" i="1"/>
  <c r="EI18" i="1"/>
  <c r="Q70" i="25"/>
  <c r="S70" i="25"/>
  <c r="ED41" i="1"/>
  <c r="EC41" i="1"/>
  <c r="CU56" i="1"/>
  <c r="AB56" i="1"/>
  <c r="CH57" i="1"/>
  <c r="CS56" i="1"/>
  <c r="CQ56" i="1"/>
  <c r="AH56" i="1" s="1"/>
  <c r="DC74" i="31"/>
  <c r="CL11" i="31" s="1"/>
  <c r="EG35" i="1"/>
  <c r="EF35" i="1"/>
  <c r="ED10" i="1"/>
  <c r="EC10" i="1"/>
  <c r="Z35" i="1"/>
  <c r="GX54" i="1"/>
  <c r="GY54" i="1"/>
  <c r="ED58" i="1"/>
  <c r="EC58" i="1"/>
  <c r="AB16" i="10"/>
  <c r="BG16" i="10"/>
  <c r="S65" i="25"/>
  <c r="Q65" i="25"/>
  <c r="KH36" i="1"/>
  <c r="KI36" i="1" s="1"/>
  <c r="KU32" i="1"/>
  <c r="KX27" i="1"/>
  <c r="KY27" i="1" s="1"/>
  <c r="GS30" i="1"/>
  <c r="GR30" i="1"/>
  <c r="LD22" i="1"/>
  <c r="LB22" i="1"/>
  <c r="LD56" i="1"/>
  <c r="LB56" i="1"/>
  <c r="DC52" i="1"/>
  <c r="DD52" i="1" s="1"/>
  <c r="DE52" i="1" s="1"/>
  <c r="GX59" i="1"/>
  <c r="GY59" i="1"/>
  <c r="W29" i="24"/>
  <c r="DP29" i="31"/>
  <c r="AA29" i="25"/>
  <c r="AV29" i="2"/>
  <c r="BA29" i="2" s="1"/>
  <c r="GY7" i="1"/>
  <c r="GX7" i="1"/>
  <c r="EJ9" i="1"/>
  <c r="EI9" i="1"/>
  <c r="KO21" i="1"/>
  <c r="KP21" i="1" s="1"/>
  <c r="KQ21" i="1" s="1"/>
  <c r="KW33" i="1"/>
  <c r="LE11" i="1"/>
  <c r="LD11" i="1"/>
  <c r="LB11" i="1"/>
  <c r="LD14" i="1"/>
  <c r="LB14" i="1"/>
  <c r="LD30" i="1"/>
  <c r="LB30" i="1"/>
  <c r="LD31" i="1"/>
  <c r="LB31" i="1"/>
  <c r="LE31" i="1" s="1"/>
  <c r="LD48" i="1"/>
  <c r="LC48" i="1" s="1"/>
  <c r="LB48" i="1"/>
  <c r="LD44" i="1"/>
  <c r="LC44" i="1" s="1"/>
  <c r="LB44" i="1"/>
  <c r="LD55" i="1"/>
  <c r="LB55" i="1"/>
  <c r="CX54" i="1"/>
  <c r="CZ53" i="1"/>
  <c r="DA53" i="1" s="1"/>
  <c r="DB53" i="1" s="1"/>
  <c r="CY53" i="1"/>
  <c r="Q53" i="1"/>
  <c r="AA30" i="25"/>
  <c r="DP30" i="31"/>
  <c r="AV30" i="2"/>
  <c r="BA30" i="2" s="1"/>
  <c r="CZ9" i="1"/>
  <c r="DA9" i="1" s="1"/>
  <c r="DB9" i="1" s="1"/>
  <c r="CX10" i="1"/>
  <c r="Q9" i="1"/>
  <c r="CY9" i="1"/>
  <c r="KH12" i="1"/>
  <c r="KI12" i="1" s="1"/>
  <c r="KO36" i="1"/>
  <c r="KP36" i="1" s="1"/>
  <c r="KQ36" i="1" s="1"/>
  <c r="GV20" i="1"/>
  <c r="GU20" i="1"/>
  <c r="EL37" i="1"/>
  <c r="EM37" i="1"/>
  <c r="JW40" i="1"/>
  <c r="KP37" i="1"/>
  <c r="KQ37" i="1" s="1"/>
  <c r="KO10" i="1"/>
  <c r="KP10" i="1" s="1"/>
  <c r="KQ10" i="1" s="1"/>
  <c r="AB9" i="10"/>
  <c r="KW5" i="1"/>
  <c r="KX5" i="1" s="1"/>
  <c r="KY5" i="1" s="1"/>
  <c r="KG26" i="1"/>
  <c r="KH26" i="1" s="1"/>
  <c r="KI26" i="1" s="1"/>
  <c r="EF32" i="1"/>
  <c r="EG32" i="1"/>
  <c r="EJ59" i="1"/>
  <c r="EI59" i="1"/>
  <c r="U34" i="46"/>
  <c r="AQ9" i="27"/>
  <c r="AP8" i="27"/>
  <c r="HE9" i="1"/>
  <c r="HD9" i="1"/>
  <c r="KP15" i="1"/>
  <c r="KQ15" i="1" s="1"/>
  <c r="KO8" i="1"/>
  <c r="KG25" i="1"/>
  <c r="KH25" i="1" s="1"/>
  <c r="KI25" i="1" s="1"/>
  <c r="KO49" i="1"/>
  <c r="KP49" i="1" s="1"/>
  <c r="KQ49" i="1" s="1"/>
  <c r="KO17" i="1"/>
  <c r="KP17" i="1" s="1"/>
  <c r="KQ17" i="1" s="1"/>
  <c r="EF29" i="1"/>
  <c r="EG29" i="1"/>
  <c r="M13" i="33"/>
  <c r="I11" i="33" s="1"/>
  <c r="X13" i="47"/>
  <c r="Y13" i="49"/>
  <c r="T13" i="9"/>
  <c r="AA13" i="25"/>
  <c r="AV13" i="2"/>
  <c r="BA13" i="2" s="1"/>
  <c r="KG32" i="1"/>
  <c r="KH32" i="1" s="1"/>
  <c r="KI32" i="1" s="1"/>
  <c r="KW57" i="1"/>
  <c r="KX57" i="1" s="1"/>
  <c r="KY57" i="1" s="1"/>
  <c r="V8" i="48"/>
  <c r="S8" i="48"/>
  <c r="T8" i="48" s="1"/>
  <c r="W8" i="48" s="1"/>
  <c r="F8" i="48" s="1"/>
  <c r="B8" i="48"/>
  <c r="GY16" i="1"/>
  <c r="GX16" i="1"/>
  <c r="KG29" i="1"/>
  <c r="KH29" i="1" s="1"/>
  <c r="KI29" i="1" s="1"/>
  <c r="KO56" i="1"/>
  <c r="KP56" i="1" s="1"/>
  <c r="KQ56" i="1" s="1"/>
  <c r="KW36" i="1"/>
  <c r="KX16" i="1"/>
  <c r="KY16" i="1" s="1"/>
  <c r="GY27" i="1"/>
  <c r="GX27" i="1"/>
  <c r="JW32" i="1"/>
  <c r="JZ32" i="1" s="1"/>
  <c r="KA32" i="1" s="1"/>
  <c r="ED50" i="1"/>
  <c r="EC50" i="1"/>
  <c r="T55" i="1"/>
  <c r="EF31" i="1"/>
  <c r="EG31" i="1"/>
  <c r="KP35" i="1"/>
  <c r="KQ35" i="1" s="1"/>
  <c r="EI54" i="1"/>
  <c r="EJ54" i="1"/>
  <c r="KE39" i="1"/>
  <c r="KH39" i="1" s="1"/>
  <c r="KI39" i="1" s="1"/>
  <c r="KG15" i="1"/>
  <c r="KO42" i="1"/>
  <c r="KO16" i="1"/>
  <c r="KP16" i="1" s="1"/>
  <c r="KQ16" i="1" s="1"/>
  <c r="KW31" i="1"/>
  <c r="KX31" i="1" s="1"/>
  <c r="KY31" i="1" s="1"/>
  <c r="JY38" i="1"/>
  <c r="EM8" i="1"/>
  <c r="EL8" i="1"/>
  <c r="KG54" i="1"/>
  <c r="KH54" i="1" s="1"/>
  <c r="KI54" i="1" s="1"/>
  <c r="ED21" i="1"/>
  <c r="EC21" i="1"/>
  <c r="KH27" i="1"/>
  <c r="KI27" i="1" s="1"/>
  <c r="GY40" i="1"/>
  <c r="GX40" i="1"/>
  <c r="AB8" i="10"/>
  <c r="KG11" i="1"/>
  <c r="KH11" i="1" s="1"/>
  <c r="KI11" i="1" s="1"/>
  <c r="GS64" i="1"/>
  <c r="GR64" i="1"/>
  <c r="GS11" i="1"/>
  <c r="GR11" i="1"/>
  <c r="GU19" i="1"/>
  <c r="GV19" i="1"/>
  <c r="JY40" i="1"/>
  <c r="JZ40" i="1" s="1"/>
  <c r="KA40" i="1" s="1"/>
  <c r="KH37" i="1"/>
  <c r="KI37" i="1" s="1"/>
  <c r="AQ17" i="2"/>
  <c r="AL29" i="2"/>
  <c r="AL17" i="2"/>
  <c r="AL1" i="2" s="1"/>
  <c r="AL2" i="2" s="1"/>
  <c r="AL39" i="2"/>
  <c r="AQ29" i="2"/>
  <c r="GV38" i="1"/>
  <c r="GU38" i="1"/>
  <c r="JW39" i="1"/>
  <c r="EJ39" i="1"/>
  <c r="EI39" i="1"/>
  <c r="HB22" i="1"/>
  <c r="HA22" i="1"/>
  <c r="BE9" i="10"/>
  <c r="EO25" i="1"/>
  <c r="EP25" i="1"/>
  <c r="GS28" i="1"/>
  <c r="GR28" i="1"/>
  <c r="EG63" i="1"/>
  <c r="EF63" i="1"/>
  <c r="GS37" i="1"/>
  <c r="GR37" i="1"/>
  <c r="EF30" i="1"/>
  <c r="EG30" i="1"/>
  <c r="LB33" i="1"/>
  <c r="LE33" i="1" s="1"/>
  <c r="KH35" i="1"/>
  <c r="KI35" i="1" s="1"/>
  <c r="KG39" i="1"/>
  <c r="KO5" i="1"/>
  <c r="KP5" i="1" s="1"/>
  <c r="KQ5" i="1" s="1"/>
  <c r="KM42" i="1"/>
  <c r="KP42" i="1" s="1"/>
  <c r="KQ42" i="1" s="1"/>
  <c r="KU17" i="1"/>
  <c r="GX23" i="1"/>
  <c r="GY23" i="1"/>
  <c r="EM43" i="1"/>
  <c r="EL43" i="1"/>
  <c r="EJ57" i="1"/>
  <c r="EI57" i="1"/>
  <c r="CQ61" i="1"/>
  <c r="AH61" i="1" s="1"/>
  <c r="AB61" i="1"/>
  <c r="CS61" i="1"/>
  <c r="CH62" i="1"/>
  <c r="CU61" i="1"/>
  <c r="IZ8" i="1"/>
  <c r="IY8" i="1"/>
  <c r="IX8" i="1"/>
  <c r="JE8" i="1"/>
  <c r="IW8" i="1"/>
  <c r="AC9" i="1"/>
  <c r="JD8" i="1"/>
  <c r="IV8" i="1"/>
  <c r="JC8" i="1"/>
  <c r="IU8" i="1"/>
  <c r="JB8" i="1"/>
  <c r="IT8" i="1"/>
  <c r="JA8" i="1"/>
  <c r="IS8" i="1"/>
  <c r="KP11" i="1"/>
  <c r="KQ11" i="1" s="1"/>
  <c r="KW24" i="1"/>
  <c r="KX24" i="1" s="1"/>
  <c r="KY24" i="1" s="1"/>
  <c r="LE5" i="1"/>
  <c r="LD5" i="1"/>
  <c r="LC5" i="1" s="1"/>
  <c r="LE49" i="1"/>
  <c r="LD49" i="1"/>
  <c r="LC49" i="1" s="1"/>
  <c r="LB49" i="1"/>
  <c r="HB50" i="1"/>
  <c r="HA50" i="1"/>
  <c r="LE37" i="1"/>
  <c r="LD37" i="1"/>
  <c r="LC37" i="1" s="1"/>
  <c r="LF37" i="1" s="1"/>
  <c r="LG37" i="1" s="1"/>
  <c r="KX7" i="1"/>
  <c r="KY7" i="1" s="1"/>
  <c r="LE23" i="1"/>
  <c r="LD23" i="1"/>
  <c r="LB23" i="1"/>
  <c r="DC8" i="1"/>
  <c r="DD8" i="1" s="1"/>
  <c r="DE8" i="1"/>
  <c r="KG12" i="1"/>
  <c r="KX53" i="1"/>
  <c r="KY53" i="1" s="1"/>
  <c r="GS32" i="1"/>
  <c r="GR32" i="1"/>
  <c r="GV58" i="1"/>
  <c r="GU58" i="1"/>
  <c r="S43" i="24"/>
  <c r="L43" i="24" s="1"/>
  <c r="K43" i="24" s="1"/>
  <c r="F43" i="24" s="1"/>
  <c r="S38" i="24"/>
  <c r="L38" i="24" s="1"/>
  <c r="K38" i="24" s="1"/>
  <c r="F38" i="24" s="1"/>
  <c r="S33" i="24"/>
  <c r="L33" i="24" s="1"/>
  <c r="K33" i="24" s="1"/>
  <c r="F33" i="24" s="1"/>
  <c r="S16" i="24"/>
  <c r="L16" i="24" s="1"/>
  <c r="K16" i="24" s="1"/>
  <c r="KG21" i="1"/>
  <c r="KH21" i="1" s="1"/>
  <c r="KI21" i="1" s="1"/>
  <c r="KW53" i="1"/>
  <c r="GY36" i="1"/>
  <c r="GX36" i="1"/>
  <c r="EC42" i="1"/>
  <c r="ED42" i="1"/>
  <c r="KG51" i="1"/>
  <c r="KH51" i="1" s="1"/>
  <c r="KI51" i="1" s="1"/>
  <c r="KG23" i="1"/>
  <c r="KH23" i="1" s="1"/>
  <c r="KI23" i="1" s="1"/>
  <c r="KO37" i="1"/>
  <c r="GV25" i="1"/>
  <c r="GU25" i="1"/>
  <c r="JY39" i="1"/>
  <c r="JZ39" i="1" s="1"/>
  <c r="KA39" i="1" s="1"/>
  <c r="KG50" i="1"/>
  <c r="KH50" i="1" s="1"/>
  <c r="KI50" i="1" s="1"/>
  <c r="KG13" i="1"/>
  <c r="KH13" i="1" s="1"/>
  <c r="KI13" i="1" s="1"/>
  <c r="KO41" i="1"/>
  <c r="KP41" i="1" s="1"/>
  <c r="KQ41" i="1" s="1"/>
  <c r="GS60" i="1"/>
  <c r="GR60" i="1"/>
  <c r="AB31" i="25"/>
  <c r="DO31" i="31"/>
  <c r="AA31" i="25" s="1"/>
  <c r="KO51" i="1"/>
  <c r="KP51" i="1" s="1"/>
  <c r="KQ51" i="1" s="1"/>
  <c r="KG49" i="1"/>
  <c r="KH49" i="1" s="1"/>
  <c r="KI49" i="1" s="1"/>
  <c r="KE17" i="1"/>
  <c r="KH17" i="1" s="1"/>
  <c r="KI17" i="1" s="1"/>
  <c r="KO48" i="1"/>
  <c r="KP48" i="1" s="1"/>
  <c r="KQ48" i="1" s="1"/>
  <c r="KO19" i="1"/>
  <c r="KP19" i="1" s="1"/>
  <c r="KQ19" i="1" s="1"/>
  <c r="AB7" i="1"/>
  <c r="CS7" i="1"/>
  <c r="CQ7" i="1"/>
  <c r="CH8" i="1"/>
  <c r="CU7" i="1"/>
  <c r="JY32" i="1"/>
  <c r="EG47" i="1"/>
  <c r="EF47" i="1"/>
  <c r="GY51" i="1"/>
  <c r="GX51" i="1"/>
  <c r="JW33" i="1"/>
  <c r="JZ33" i="1" s="1"/>
  <c r="KA33" i="1" s="1"/>
  <c r="ED56" i="1"/>
  <c r="EC56" i="1"/>
  <c r="KW46" i="1"/>
  <c r="KX46" i="1" s="1"/>
  <c r="KY46" i="1" s="1"/>
  <c r="BI13" i="10"/>
  <c r="BJ13" i="10" s="1"/>
  <c r="BK14" i="10"/>
  <c r="BI14" i="10" s="1"/>
  <c r="BJ14" i="10" s="1"/>
  <c r="KG43" i="1"/>
  <c r="KH43" i="1" s="1"/>
  <c r="KI43" i="1" s="1"/>
  <c r="KG14" i="1"/>
  <c r="KH14" i="1" s="1"/>
  <c r="KI14" i="1" s="1"/>
  <c r="KO39" i="1"/>
  <c r="GS44" i="1"/>
  <c r="GR44" i="1"/>
  <c r="LD39" i="1"/>
  <c r="LC39" i="1" s="1"/>
  <c r="LE6" i="1"/>
  <c r="LD6" i="1"/>
  <c r="LC6" i="1" s="1"/>
  <c r="GY17" i="1"/>
  <c r="GX17" i="1"/>
  <c r="KX17" i="1"/>
  <c r="KY17" i="1" s="1"/>
  <c r="R36" i="46"/>
  <c r="M35" i="46"/>
  <c r="L36" i="46"/>
  <c r="KU7" i="1"/>
  <c r="KG31" i="1"/>
  <c r="KH31" i="1" s="1"/>
  <c r="KI31" i="1" s="1"/>
  <c r="KO45" i="1"/>
  <c r="KP45" i="1" s="1"/>
  <c r="KQ45" i="1" s="1"/>
  <c r="KO12" i="1"/>
  <c r="LE9" i="1"/>
  <c r="LD9" i="1"/>
  <c r="LB9" i="1"/>
  <c r="LD21" i="1"/>
  <c r="LC21" i="1" s="1"/>
  <c r="LB21" i="1"/>
  <c r="LD24" i="1"/>
  <c r="LB24" i="1"/>
  <c r="LD38" i="1"/>
  <c r="LC38" i="1" s="1"/>
  <c r="LF38" i="1" s="1"/>
  <c r="LG38" i="1" s="1"/>
  <c r="LE38" i="1"/>
  <c r="LD41" i="1"/>
  <c r="LB41" i="1"/>
  <c r="LD51" i="1"/>
  <c r="LB51" i="1"/>
  <c r="GV49" i="1"/>
  <c r="GU49" i="1"/>
  <c r="ED60" i="1"/>
  <c r="EC60" i="1"/>
  <c r="X15" i="24"/>
  <c r="W33" i="24"/>
  <c r="S39" i="24"/>
  <c r="L39" i="24" s="1"/>
  <c r="S6" i="24"/>
  <c r="L6" i="24" s="1"/>
  <c r="S15" i="24"/>
  <c r="L15" i="24" s="1"/>
  <c r="S22" i="24"/>
  <c r="L22" i="24" s="1"/>
  <c r="S35" i="24"/>
  <c r="L35" i="24" s="1"/>
  <c r="S29" i="24"/>
  <c r="L29" i="24" s="1"/>
  <c r="GY5" i="1"/>
  <c r="GX5" i="1"/>
  <c r="KO20" i="1"/>
  <c r="KP20" i="1" s="1"/>
  <c r="KQ20" i="1" s="1"/>
  <c r="KW54" i="1"/>
  <c r="KX54" i="1" s="1"/>
  <c r="KY54" i="1" s="1"/>
  <c r="GX14" i="1"/>
  <c r="GY14" i="1"/>
  <c r="GX15" i="1"/>
  <c r="GY15" i="1"/>
  <c r="EI24" i="1"/>
  <c r="EJ24" i="1"/>
  <c r="LB40" i="1"/>
  <c r="GV43" i="1"/>
  <c r="GU43" i="1"/>
  <c r="GS45" i="1"/>
  <c r="GR45" i="1"/>
  <c r="KG10" i="1"/>
  <c r="KH10" i="1" s="1"/>
  <c r="KI10" i="1" s="1"/>
  <c r="KI4" i="1" s="1"/>
  <c r="KW56" i="1"/>
  <c r="KX56" i="1" s="1"/>
  <c r="KY56" i="1" s="1"/>
  <c r="KW21" i="1"/>
  <c r="KX21" i="1" s="1"/>
  <c r="KY21" i="1" s="1"/>
  <c r="ED16" i="1"/>
  <c r="EC16" i="1"/>
  <c r="LB39" i="1"/>
  <c r="X15" i="47"/>
  <c r="Y15" i="49"/>
  <c r="T15" i="9"/>
  <c r="M15" i="33"/>
  <c r="AA15" i="25"/>
  <c r="AV15" i="2"/>
  <c r="BA15" i="2" s="1"/>
  <c r="KW52" i="1"/>
  <c r="KX52" i="1" s="1"/>
  <c r="KY52" i="1" s="1"/>
  <c r="KU20" i="1"/>
  <c r="KX20" i="1" s="1"/>
  <c r="KY20" i="1" s="1"/>
  <c r="KO6" i="1"/>
  <c r="KP6" i="1" s="1"/>
  <c r="KQ6" i="1" s="1"/>
  <c r="HA48" i="1"/>
  <c r="HB48" i="1"/>
  <c r="KM40" i="1"/>
  <c r="KP40" i="1" s="1"/>
  <c r="KQ40" i="1" s="1"/>
  <c r="HB47" i="1"/>
  <c r="HA47" i="1"/>
  <c r="KG17" i="1"/>
  <c r="KW28" i="1"/>
  <c r="KX28" i="1" s="1"/>
  <c r="KY28" i="1" s="1"/>
  <c r="EG17" i="1"/>
  <c r="EF17" i="1"/>
  <c r="Q72" i="25"/>
  <c r="S72" i="25"/>
  <c r="GV61" i="1"/>
  <c r="GU61" i="1"/>
  <c r="DC75" i="31"/>
  <c r="I12" i="31" s="1"/>
  <c r="JY33" i="1"/>
  <c r="JW35" i="1"/>
  <c r="JZ35" i="1" s="1"/>
  <c r="KA35" i="1" s="1"/>
  <c r="BG15" i="10"/>
  <c r="AB15" i="10"/>
  <c r="KP9" i="1"/>
  <c r="KQ9" i="1" s="1"/>
  <c r="KG30" i="1"/>
  <c r="KH30" i="1" s="1"/>
  <c r="KI30" i="1" s="1"/>
  <c r="KO30" i="1"/>
  <c r="KP30" i="1" s="1"/>
  <c r="KQ30" i="1" s="1"/>
  <c r="Q67" i="25"/>
  <c r="S67" i="25"/>
  <c r="JW38" i="1"/>
  <c r="JZ38" i="1" s="1"/>
  <c r="KA38" i="1" s="1"/>
  <c r="JY36" i="1"/>
  <c r="JZ36" i="1" s="1"/>
  <c r="KA36" i="1" s="1"/>
  <c r="KE40" i="1"/>
  <c r="KH40" i="1" s="1"/>
  <c r="KI40" i="1" s="1"/>
  <c r="KM39" i="1"/>
  <c r="KP39" i="1" s="1"/>
  <c r="KQ39" i="1" s="1"/>
  <c r="GY26" i="1"/>
  <c r="GX26" i="1"/>
  <c r="EJ62" i="1"/>
  <c r="EI62" i="1"/>
  <c r="LE32" i="1"/>
  <c r="LD32" i="1"/>
  <c r="LC32" i="1" s="1"/>
  <c r="LF32" i="1" s="1"/>
  <c r="LG32" i="1" s="1"/>
  <c r="ED44" i="1"/>
  <c r="EC44" i="1"/>
  <c r="LD15" i="1"/>
  <c r="LC15" i="1" s="1"/>
  <c r="LB15" i="1"/>
  <c r="LD42" i="1"/>
  <c r="LC42" i="1" s="1"/>
  <c r="LB42" i="1"/>
  <c r="LD57" i="1"/>
  <c r="LB57" i="1"/>
  <c r="LE57" i="1" s="1"/>
  <c r="EJ48" i="1"/>
  <c r="EI48" i="1"/>
  <c r="KW55" i="1"/>
  <c r="KX55" i="1" s="1"/>
  <c r="KY55" i="1" s="1"/>
  <c r="LE16" i="1"/>
  <c r="LD16" i="1"/>
  <c r="LC16" i="1" s="1"/>
  <c r="LB16" i="1"/>
  <c r="LD50" i="1"/>
  <c r="LB50" i="1"/>
  <c r="W32" i="24"/>
  <c r="X14" i="24"/>
  <c r="S23" i="24"/>
  <c r="L23" i="24" s="1"/>
  <c r="S40" i="24"/>
  <c r="L40" i="24" s="1"/>
  <c r="S7" i="24"/>
  <c r="L7" i="24" s="1"/>
  <c r="S30" i="24"/>
  <c r="L30" i="24" s="1"/>
  <c r="EG6" i="1"/>
  <c r="EF6" i="1"/>
  <c r="KW7" i="1"/>
  <c r="KM12" i="1"/>
  <c r="KP12" i="1" s="1"/>
  <c r="KQ12" i="1" s="1"/>
  <c r="KW48" i="1"/>
  <c r="KX48" i="1" s="1"/>
  <c r="KY48" i="1" s="1"/>
  <c r="LD13" i="1"/>
  <c r="LC13" i="1" s="1"/>
  <c r="LB13" i="1"/>
  <c r="LB18" i="1"/>
  <c r="LD18" i="1"/>
  <c r="LD27" i="1"/>
  <c r="LD36" i="1"/>
  <c r="LD47" i="1"/>
  <c r="LB47" i="1"/>
  <c r="LD52" i="1"/>
  <c r="LB52" i="1"/>
  <c r="GY21" i="1"/>
  <c r="GX21" i="1"/>
  <c r="Q71" i="25"/>
  <c r="S71" i="25"/>
  <c r="W34" i="24"/>
  <c r="X16" i="24"/>
  <c r="S21" i="24"/>
  <c r="L21" i="24" s="1"/>
  <c r="S5" i="24"/>
  <c r="L5" i="24" s="1"/>
  <c r="EG5" i="1"/>
  <c r="EF5" i="1"/>
  <c r="KP7" i="1"/>
  <c r="KQ7" i="1" s="1"/>
  <c r="JE60" i="1"/>
  <c r="JE61" i="1"/>
  <c r="JE64" i="1"/>
  <c r="JE62" i="1"/>
  <c r="JE58" i="1"/>
  <c r="JE63" i="1"/>
  <c r="JE56" i="1"/>
  <c r="JE57" i="1"/>
  <c r="JE51" i="1"/>
  <c r="JE50" i="1"/>
  <c r="JE49" i="1"/>
  <c r="JE55" i="1"/>
  <c r="JE53" i="1"/>
  <c r="JE54" i="1"/>
  <c r="JE59" i="1"/>
  <c r="JE43" i="1"/>
  <c r="JE52" i="1"/>
  <c r="JE45" i="1"/>
  <c r="JE48" i="1"/>
  <c r="JE44" i="1"/>
  <c r="JE5" i="1"/>
  <c r="JF4" i="1"/>
  <c r="JE6" i="1"/>
  <c r="KX40" i="1"/>
  <c r="KY40" i="1" s="1"/>
  <c r="JW37" i="1"/>
  <c r="JZ37" i="1" s="1"/>
  <c r="KA37" i="1" s="1"/>
  <c r="EG52" i="1"/>
  <c r="EF52" i="1"/>
  <c r="KO44" i="1"/>
  <c r="KP44" i="1" s="1"/>
  <c r="KQ44" i="1" s="1"/>
  <c r="KW34" i="1"/>
  <c r="KX34" i="1" s="1"/>
  <c r="KY34" i="1" s="1"/>
  <c r="EP33" i="1"/>
  <c r="EO33" i="1"/>
  <c r="ED51" i="1"/>
  <c r="EC51" i="1"/>
  <c r="KG41" i="1"/>
  <c r="KH41" i="1" s="1"/>
  <c r="KI41" i="1" s="1"/>
  <c r="KO31" i="1"/>
  <c r="KP31" i="1" s="1"/>
  <c r="KQ31" i="1" s="1"/>
  <c r="EJ27" i="1"/>
  <c r="EI27" i="1"/>
  <c r="KX39" i="1"/>
  <c r="KY39" i="1" s="1"/>
  <c r="KU8" i="1"/>
  <c r="KX8" i="1" s="1"/>
  <c r="KY8" i="1" s="1"/>
  <c r="KG38" i="1"/>
  <c r="KH38" i="1" s="1"/>
  <c r="KI38" i="1" s="1"/>
  <c r="KO34" i="1"/>
  <c r="KP34" i="1" s="1"/>
  <c r="KQ34" i="1" s="1"/>
  <c r="KW20" i="1"/>
  <c r="ED14" i="1"/>
  <c r="EC14" i="1"/>
  <c r="EJ11" i="1"/>
  <c r="EI11" i="1"/>
  <c r="KO40" i="1"/>
  <c r="BA7" i="31"/>
  <c r="KG42" i="1"/>
  <c r="KH42" i="1" s="1"/>
  <c r="KI42" i="1" s="1"/>
  <c r="KO38" i="1"/>
  <c r="KP38" i="1" s="1"/>
  <c r="KQ38" i="1" s="1"/>
  <c r="KW51" i="1"/>
  <c r="KX51" i="1" s="1"/>
  <c r="KY51" i="1" s="1"/>
  <c r="EM23" i="1"/>
  <c r="EL23" i="1"/>
  <c r="KX32" i="1"/>
  <c r="KY32" i="1" s="1"/>
  <c r="ED36" i="1"/>
  <c r="EC36" i="1"/>
  <c r="JE46" i="1"/>
  <c r="IZ47" i="1"/>
  <c r="IY47" i="1"/>
  <c r="IX47" i="1"/>
  <c r="JE47" i="1"/>
  <c r="IW47" i="1"/>
  <c r="JD47" i="1"/>
  <c r="IV47" i="1"/>
  <c r="JC47" i="1"/>
  <c r="IU47" i="1"/>
  <c r="JB47" i="1"/>
  <c r="IT47" i="1"/>
  <c r="JA47" i="1"/>
  <c r="IS47" i="1"/>
  <c r="AB32" i="25"/>
  <c r="DO32" i="31"/>
  <c r="AA32" i="25" s="1"/>
  <c r="KX33" i="1"/>
  <c r="KY33" i="1" s="1"/>
  <c r="JY35" i="1"/>
  <c r="ED64" i="1"/>
  <c r="EC64" i="1"/>
  <c r="KW41" i="1"/>
  <c r="KX41" i="1" s="1"/>
  <c r="KY41" i="1" s="1"/>
  <c r="KW11" i="1"/>
  <c r="KX11" i="1" s="1"/>
  <c r="KY11" i="1" s="1"/>
  <c r="KX38" i="1"/>
  <c r="KY38" i="1" s="1"/>
  <c r="LB36" i="1"/>
  <c r="LE36" i="1" s="1"/>
  <c r="GY52" i="1"/>
  <c r="GX52" i="1"/>
  <c r="AM9" i="10"/>
  <c r="Z9" i="10"/>
  <c r="KG40" i="1"/>
  <c r="EP12" i="1"/>
  <c r="EO12" i="1"/>
  <c r="KO29" i="1"/>
  <c r="KP29" i="1" s="1"/>
  <c r="KQ29" i="1" s="1"/>
  <c r="KW44" i="1"/>
  <c r="KX44" i="1" s="1"/>
  <c r="KY44" i="1" s="1"/>
  <c r="KX15" i="1"/>
  <c r="KY15" i="1" s="1"/>
  <c r="EM19" i="1"/>
  <c r="EL19" i="1"/>
  <c r="LB27" i="1"/>
  <c r="ED26" i="1"/>
  <c r="EC26" i="1"/>
  <c r="HD29" i="1"/>
  <c r="HE29" i="1"/>
  <c r="GV33" i="1"/>
  <c r="GU33" i="1"/>
  <c r="GV41" i="1"/>
  <c r="GU41" i="1"/>
  <c r="BH14" i="10"/>
  <c r="BE13" i="10"/>
  <c r="BF13" i="10"/>
  <c r="EJ15" i="1"/>
  <c r="EI15" i="1"/>
  <c r="O7" i="46"/>
  <c r="O25" i="46"/>
  <c r="T25" i="46" s="1"/>
  <c r="T6" i="46"/>
  <c r="LC41" i="1" l="1"/>
  <c r="LC27" i="1"/>
  <c r="KA4" i="1"/>
  <c r="EL27" i="1"/>
  <c r="EM27" i="1"/>
  <c r="AQ34" i="2"/>
  <c r="AQ44" i="2"/>
  <c r="AQ1" i="2" s="1"/>
  <c r="AQ24" i="2"/>
  <c r="EM15" i="1"/>
  <c r="EL15" i="1"/>
  <c r="ES12" i="1"/>
  <c r="ER12" i="1"/>
  <c r="EL11" i="1"/>
  <c r="EM11" i="1"/>
  <c r="ES33" i="1"/>
  <c r="ER33" i="1"/>
  <c r="JE2" i="1"/>
  <c r="LC36" i="1"/>
  <c r="LF36" i="1" s="1"/>
  <c r="LG36" i="1" s="1"/>
  <c r="LE13" i="1"/>
  <c r="LF13" i="1" s="1"/>
  <c r="LG13" i="1" s="1"/>
  <c r="LF16" i="1"/>
  <c r="LG16" i="1" s="1"/>
  <c r="EG44" i="1"/>
  <c r="EF44" i="1"/>
  <c r="HA26" i="1"/>
  <c r="HB26" i="1"/>
  <c r="GX61" i="1"/>
  <c r="GY61" i="1"/>
  <c r="HE47" i="1"/>
  <c r="HD47" i="1"/>
  <c r="GU45" i="1"/>
  <c r="GV45" i="1"/>
  <c r="HB14" i="1"/>
  <c r="HA14" i="1"/>
  <c r="HB17" i="1"/>
  <c r="HA17" i="1"/>
  <c r="EG56" i="1"/>
  <c r="EF56" i="1"/>
  <c r="EJ47" i="1"/>
  <c r="EI47" i="1"/>
  <c r="LC23" i="1"/>
  <c r="LF49" i="1"/>
  <c r="LG49" i="1" s="1"/>
  <c r="EP43" i="1"/>
  <c r="EO43" i="1"/>
  <c r="GV64" i="1"/>
  <c r="GU64" i="1"/>
  <c r="J6" i="47"/>
  <c r="J7" i="47"/>
  <c r="GX20" i="1"/>
  <c r="GY20" i="1"/>
  <c r="AB30" i="25"/>
  <c r="AW30" i="2"/>
  <c r="LC55" i="1"/>
  <c r="LC31" i="1"/>
  <c r="LF11" i="1"/>
  <c r="LG11" i="1" s="1"/>
  <c r="HB8" i="1"/>
  <c r="HA8" i="1"/>
  <c r="EL28" i="1"/>
  <c r="EM28" i="1"/>
  <c r="GX39" i="1"/>
  <c r="GY39" i="1"/>
  <c r="GV12" i="1"/>
  <c r="GU12" i="1"/>
  <c r="X31" i="24"/>
  <c r="S12" i="24"/>
  <c r="L12" i="24" s="1"/>
  <c r="S28" i="24"/>
  <c r="L28" i="24" s="1"/>
  <c r="LC35" i="1"/>
  <c r="LF35" i="1" s="1"/>
  <c r="LG35" i="1" s="1"/>
  <c r="X34" i="24"/>
  <c r="S25" i="24"/>
  <c r="L25" i="24" s="1"/>
  <c r="S9" i="24"/>
  <c r="L9" i="24" s="1"/>
  <c r="BG13" i="10"/>
  <c r="AB13" i="10"/>
  <c r="GX33" i="1"/>
  <c r="GY33" i="1"/>
  <c r="EP23" i="1"/>
  <c r="EO23" i="1"/>
  <c r="JF61" i="1"/>
  <c r="JF64" i="1"/>
  <c r="JF62" i="1"/>
  <c r="JF63" i="1"/>
  <c r="JF60" i="1"/>
  <c r="JF59" i="1"/>
  <c r="JF54" i="1"/>
  <c r="JF56" i="1"/>
  <c r="JF58" i="1"/>
  <c r="JF57" i="1"/>
  <c r="JF55" i="1"/>
  <c r="JF53" i="1"/>
  <c r="JF52" i="1"/>
  <c r="JF50" i="1"/>
  <c r="JF49" i="1"/>
  <c r="JF51" i="1"/>
  <c r="JF48" i="1"/>
  <c r="JF43" i="1"/>
  <c r="JF44" i="1"/>
  <c r="JF5" i="1"/>
  <c r="JF2" i="1" s="1"/>
  <c r="JG4" i="1"/>
  <c r="JF6" i="1"/>
  <c r="JF45" i="1"/>
  <c r="JF46" i="1"/>
  <c r="JF7" i="1"/>
  <c r="EJ5" i="1"/>
  <c r="EI5" i="1"/>
  <c r="HA21" i="1"/>
  <c r="HB21" i="1"/>
  <c r="EG60" i="1"/>
  <c r="EF60" i="1"/>
  <c r="LE41" i="1"/>
  <c r="LE21" i="1"/>
  <c r="LF21" i="1" s="1"/>
  <c r="LG21" i="1" s="1"/>
  <c r="LF6" i="1"/>
  <c r="LG6" i="1" s="1"/>
  <c r="M16" i="24"/>
  <c r="F16" i="24"/>
  <c r="GV32" i="1"/>
  <c r="GU32" i="1"/>
  <c r="JF8" i="1"/>
  <c r="LF33" i="1"/>
  <c r="LG33" i="1" s="1"/>
  <c r="EI63" i="1"/>
  <c r="EJ63" i="1"/>
  <c r="EF21" i="1"/>
  <c r="EG21" i="1"/>
  <c r="LC11" i="1"/>
  <c r="HA7" i="1"/>
  <c r="HB7" i="1"/>
  <c r="GV30" i="1"/>
  <c r="GU30" i="1"/>
  <c r="EG41" i="1"/>
  <c r="EF41" i="1"/>
  <c r="EL18" i="1"/>
  <c r="EM18" i="1"/>
  <c r="EJ45" i="1"/>
  <c r="EI45" i="1"/>
  <c r="LC34" i="1"/>
  <c r="LE17" i="1"/>
  <c r="LF17" i="1" s="1"/>
  <c r="LG17" i="1" s="1"/>
  <c r="EG46" i="1"/>
  <c r="EF46" i="1"/>
  <c r="EM61" i="1"/>
  <c r="EL61" i="1"/>
  <c r="Z37" i="1"/>
  <c r="J38" i="1"/>
  <c r="BS37" i="1"/>
  <c r="BT37" i="1"/>
  <c r="GX24" i="1"/>
  <c r="GY24" i="1"/>
  <c r="LE12" i="1"/>
  <c r="LF12" i="1" s="1"/>
  <c r="LG12" i="1" s="1"/>
  <c r="LC46" i="1"/>
  <c r="LF46" i="1" s="1"/>
  <c r="LG46" i="1" s="1"/>
  <c r="GY43" i="1"/>
  <c r="GX43" i="1"/>
  <c r="R37" i="46"/>
  <c r="M36" i="46"/>
  <c r="L37" i="46"/>
  <c r="KY4" i="1"/>
  <c r="HB23" i="1"/>
  <c r="HA23" i="1"/>
  <c r="EJ30" i="1"/>
  <c r="EI30" i="1"/>
  <c r="HE22" i="1"/>
  <c r="HD22" i="1"/>
  <c r="GY38" i="1"/>
  <c r="GX38" i="1"/>
  <c r="EM59" i="1"/>
  <c r="EL59" i="1"/>
  <c r="GY57" i="1"/>
  <c r="GX57" i="1"/>
  <c r="GV56" i="1"/>
  <c r="GU56" i="1"/>
  <c r="EF49" i="1"/>
  <c r="EG49" i="1"/>
  <c r="HD34" i="1"/>
  <c r="HE34" i="1"/>
  <c r="HB13" i="1"/>
  <c r="HA13" i="1"/>
  <c r="EI20" i="1"/>
  <c r="EJ20" i="1"/>
  <c r="EO19" i="1"/>
  <c r="EP19" i="1"/>
  <c r="LE42" i="1"/>
  <c r="LF42" i="1" s="1"/>
  <c r="LG42" i="1" s="1"/>
  <c r="EF16" i="1"/>
  <c r="EG16" i="1"/>
  <c r="CS8" i="1"/>
  <c r="CQ8" i="1"/>
  <c r="AH8" i="1" s="1"/>
  <c r="CH9" i="1"/>
  <c r="CU8" i="1"/>
  <c r="AB8" i="1"/>
  <c r="EG42" i="1"/>
  <c r="EF42" i="1"/>
  <c r="LF5" i="1"/>
  <c r="LG5" i="1" s="1"/>
  <c r="GY19" i="1"/>
  <c r="GX19" i="1"/>
  <c r="EM54" i="1"/>
  <c r="EL54" i="1"/>
  <c r="EF50" i="1"/>
  <c r="EG50" i="1"/>
  <c r="LE44" i="1"/>
  <c r="LF44" i="1" s="1"/>
  <c r="LG44" i="1" s="1"/>
  <c r="LC30" i="1"/>
  <c r="LF30" i="1" s="1"/>
  <c r="LG30" i="1" s="1"/>
  <c r="LC56" i="1"/>
  <c r="LF56" i="1" s="1"/>
  <c r="LG56" i="1" s="1"/>
  <c r="EJ22" i="1"/>
  <c r="EI22" i="1"/>
  <c r="LE53" i="1"/>
  <c r="LF53" i="1" s="1"/>
  <c r="LG53" i="1" s="1"/>
  <c r="LC28" i="1"/>
  <c r="LF28" i="1" s="1"/>
  <c r="LG28" i="1" s="1"/>
  <c r="LF10" i="1"/>
  <c r="LG10" i="1" s="1"/>
  <c r="GY6" i="1"/>
  <c r="GX6" i="1"/>
  <c r="GY62" i="1"/>
  <c r="GX62" i="1"/>
  <c r="N27" i="33"/>
  <c r="X27" i="24"/>
  <c r="Z27" i="49"/>
  <c r="AA27" i="49" s="1"/>
  <c r="U27" i="9"/>
  <c r="AB27" i="25"/>
  <c r="AW27" i="2"/>
  <c r="LC29" i="1"/>
  <c r="LF29" i="1" s="1"/>
  <c r="LG29" i="1" s="1"/>
  <c r="LF8" i="1"/>
  <c r="LG8" i="1" s="1"/>
  <c r="LE45" i="1"/>
  <c r="LF45" i="1" s="1"/>
  <c r="LG45" i="1" s="1"/>
  <c r="LF26" i="1"/>
  <c r="LG26" i="1" s="1"/>
  <c r="BE14" i="10"/>
  <c r="BF14" i="10"/>
  <c r="HG29" i="1"/>
  <c r="HH29" i="1"/>
  <c r="EF64" i="1"/>
  <c r="EG64" i="1"/>
  <c r="EG14" i="1"/>
  <c r="EF14" i="1"/>
  <c r="LE52" i="1"/>
  <c r="LE27" i="1"/>
  <c r="LF27" i="1" s="1"/>
  <c r="LG27" i="1" s="1"/>
  <c r="EI52" i="1"/>
  <c r="EJ52" i="1"/>
  <c r="LC52" i="1"/>
  <c r="LF52" i="1" s="1"/>
  <c r="LG52" i="1" s="1"/>
  <c r="LC18" i="1"/>
  <c r="LF18" i="1" s="1"/>
  <c r="LG18" i="1" s="1"/>
  <c r="X32" i="24"/>
  <c r="S27" i="24"/>
  <c r="L27" i="24" s="1"/>
  <c r="S11" i="24"/>
  <c r="L11" i="24" s="1"/>
  <c r="LF15" i="1"/>
  <c r="LG15" i="1" s="1"/>
  <c r="EI17" i="1"/>
  <c r="EJ17" i="1"/>
  <c r="HE48" i="1"/>
  <c r="HD48" i="1"/>
  <c r="EM24" i="1"/>
  <c r="EL24" i="1"/>
  <c r="GY49" i="1"/>
  <c r="GX49" i="1"/>
  <c r="LC9" i="1"/>
  <c r="LF9" i="1" s="1"/>
  <c r="LG9" i="1" s="1"/>
  <c r="LE39" i="1"/>
  <c r="LF39" i="1" s="1"/>
  <c r="LG39" i="1" s="1"/>
  <c r="AH7" i="1"/>
  <c r="GV28" i="1"/>
  <c r="GU28" i="1"/>
  <c r="EP8" i="1"/>
  <c r="EO8" i="1"/>
  <c r="EI29" i="1"/>
  <c r="EJ29" i="1"/>
  <c r="EJ32" i="1"/>
  <c r="EI32" i="1"/>
  <c r="DC53" i="1"/>
  <c r="DD53" i="1" s="1"/>
  <c r="DE53" i="1"/>
  <c r="LF48" i="1"/>
  <c r="LG48" i="1" s="1"/>
  <c r="LE30" i="1"/>
  <c r="X29" i="24"/>
  <c r="AB29" i="25"/>
  <c r="AW29" i="2"/>
  <c r="LE56" i="1"/>
  <c r="EG10" i="1"/>
  <c r="EF10" i="1"/>
  <c r="CU57" i="1"/>
  <c r="CS57" i="1"/>
  <c r="CQ57" i="1"/>
  <c r="AB57" i="1"/>
  <c r="LF20" i="1"/>
  <c r="LG20" i="1" s="1"/>
  <c r="BE18" i="10"/>
  <c r="BH19" i="10"/>
  <c r="BF18" i="10"/>
  <c r="GX42" i="1"/>
  <c r="GY42" i="1"/>
  <c r="GV31" i="1"/>
  <c r="GU31" i="1"/>
  <c r="LE28" i="1"/>
  <c r="LE10" i="1"/>
  <c r="HD10" i="1"/>
  <c r="HE10" i="1"/>
  <c r="EJ53" i="1"/>
  <c r="EI53" i="1"/>
  <c r="LE54" i="1"/>
  <c r="LF54" i="1" s="1"/>
  <c r="LG54" i="1" s="1"/>
  <c r="LE29" i="1"/>
  <c r="LE26" i="1"/>
  <c r="LF24" i="1"/>
  <c r="LG24" i="1" s="1"/>
  <c r="HB51" i="1"/>
  <c r="HA51" i="1"/>
  <c r="JE9" i="1"/>
  <c r="IW9" i="1"/>
  <c r="AC10" i="1"/>
  <c r="JA9" i="1"/>
  <c r="IS9" i="1"/>
  <c r="JB9" i="1"/>
  <c r="IZ9" i="1"/>
  <c r="IY9" i="1"/>
  <c r="IX9" i="1"/>
  <c r="IV9" i="1"/>
  <c r="JF9" i="1"/>
  <c r="IU9" i="1"/>
  <c r="JD9" i="1"/>
  <c r="IT9" i="1"/>
  <c r="JC9" i="1"/>
  <c r="EM57" i="1"/>
  <c r="EL57" i="1"/>
  <c r="HA40" i="1"/>
  <c r="HB40" i="1"/>
  <c r="HA16" i="1"/>
  <c r="HB16" i="1"/>
  <c r="HG9" i="1"/>
  <c r="HH9" i="1"/>
  <c r="EP37" i="1"/>
  <c r="EO37" i="1"/>
  <c r="CX11" i="1"/>
  <c r="CY10" i="1"/>
  <c r="CZ10" i="1"/>
  <c r="DA10" i="1" s="1"/>
  <c r="DB10" i="1" s="1"/>
  <c r="Q10" i="1"/>
  <c r="CY54" i="1"/>
  <c r="CX55" i="1"/>
  <c r="Q54" i="1"/>
  <c r="CZ54" i="1"/>
  <c r="DA54" i="1" s="1"/>
  <c r="DB54" i="1" s="1"/>
  <c r="EG58" i="1"/>
  <c r="EF58" i="1"/>
  <c r="EM40" i="1"/>
  <c r="EL40" i="1"/>
  <c r="X28" i="24"/>
  <c r="AB28" i="25"/>
  <c r="AW28" i="2"/>
  <c r="HA53" i="1"/>
  <c r="HB53" i="1"/>
  <c r="EI34" i="1"/>
  <c r="EJ34" i="1"/>
  <c r="HD55" i="1"/>
  <c r="HE55" i="1"/>
  <c r="EM48" i="1"/>
  <c r="EL48" i="1"/>
  <c r="X33" i="24"/>
  <c r="S10" i="24"/>
  <c r="L10" i="24" s="1"/>
  <c r="S26" i="24"/>
  <c r="L26" i="24" s="1"/>
  <c r="EG36" i="1"/>
  <c r="EF36" i="1"/>
  <c r="EG51" i="1"/>
  <c r="EF51" i="1"/>
  <c r="LC47" i="1"/>
  <c r="LF47" i="1" s="1"/>
  <c r="LG47" i="1" s="1"/>
  <c r="LE18" i="1"/>
  <c r="EI6" i="1"/>
  <c r="EJ6" i="1"/>
  <c r="LC50" i="1"/>
  <c r="LF50" i="1" s="1"/>
  <c r="LG50" i="1" s="1"/>
  <c r="LE15" i="1"/>
  <c r="EL62" i="1"/>
  <c r="EM62" i="1"/>
  <c r="HB15" i="1"/>
  <c r="HA15" i="1"/>
  <c r="HB5" i="1"/>
  <c r="HA5" i="1"/>
  <c r="LC51" i="1"/>
  <c r="LF51" i="1" s="1"/>
  <c r="LG51" i="1" s="1"/>
  <c r="LC24" i="1"/>
  <c r="HB36" i="1"/>
  <c r="HA36" i="1"/>
  <c r="GY58" i="1"/>
  <c r="GX58" i="1"/>
  <c r="GV37" i="1"/>
  <c r="GU37" i="1"/>
  <c r="ER25" i="1"/>
  <c r="ES25" i="1"/>
  <c r="EM39" i="1"/>
  <c r="EL39" i="1"/>
  <c r="GU11" i="1"/>
  <c r="GV11" i="1"/>
  <c r="EJ31" i="1"/>
  <c r="EI31" i="1"/>
  <c r="HA27" i="1"/>
  <c r="HB27" i="1"/>
  <c r="DC9" i="1"/>
  <c r="DD9" i="1" s="1"/>
  <c r="DE9" i="1" s="1"/>
  <c r="LE48" i="1"/>
  <c r="LE14" i="1"/>
  <c r="LF14" i="1" s="1"/>
  <c r="LG14" i="1" s="1"/>
  <c r="HB59" i="1"/>
  <c r="HA59" i="1"/>
  <c r="LC22" i="1"/>
  <c r="HB54" i="1"/>
  <c r="HA54" i="1"/>
  <c r="LC20" i="1"/>
  <c r="HB63" i="1"/>
  <c r="HA63" i="1"/>
  <c r="GU18" i="1"/>
  <c r="GV18" i="1"/>
  <c r="LE43" i="1"/>
  <c r="LF43" i="1" s="1"/>
  <c r="LG43" i="1" s="1"/>
  <c r="LE19" i="1"/>
  <c r="EJ38" i="1"/>
  <c r="EI38" i="1"/>
  <c r="GY46" i="1"/>
  <c r="GX46" i="1"/>
  <c r="EJ7" i="1"/>
  <c r="EI7" i="1"/>
  <c r="LC40" i="1"/>
  <c r="LF40" i="1" s="1"/>
  <c r="LG40" i="1" s="1"/>
  <c r="LE25" i="1"/>
  <c r="LE7" i="1"/>
  <c r="LF7" i="1" s="1"/>
  <c r="LG7" i="1" s="1"/>
  <c r="HB52" i="1"/>
  <c r="HA52" i="1"/>
  <c r="O8" i="46"/>
  <c r="O26" i="46"/>
  <c r="T26" i="46" s="1"/>
  <c r="T7" i="46"/>
  <c r="GY41" i="1"/>
  <c r="GX41" i="1"/>
  <c r="EF26" i="1"/>
  <c r="EG26" i="1"/>
  <c r="JF47" i="1"/>
  <c r="KQ4" i="1"/>
  <c r="LE47" i="1"/>
  <c r="LE50" i="1"/>
  <c r="LC57" i="1"/>
  <c r="LF57" i="1" s="1"/>
  <c r="LG57" i="1" s="1"/>
  <c r="LE51" i="1"/>
  <c r="LE24" i="1"/>
  <c r="GU44" i="1"/>
  <c r="GV44" i="1"/>
  <c r="GU60" i="1"/>
  <c r="GV60" i="1"/>
  <c r="GY25" i="1"/>
  <c r="GX25" i="1"/>
  <c r="LF23" i="1"/>
  <c r="LG23" i="1" s="1"/>
  <c r="HE50" i="1"/>
  <c r="HD50" i="1"/>
  <c r="CQ62" i="1"/>
  <c r="AB62" i="1"/>
  <c r="CH63" i="1"/>
  <c r="CU62" i="1"/>
  <c r="CS62" i="1"/>
  <c r="Q9" i="48"/>
  <c r="D8" i="48"/>
  <c r="AP9" i="27"/>
  <c r="AQ10" i="27"/>
  <c r="LE55" i="1"/>
  <c r="LF55" i="1" s="1"/>
  <c r="LG55" i="1" s="1"/>
  <c r="LF31" i="1"/>
  <c r="LG31" i="1" s="1"/>
  <c r="LC14" i="1"/>
  <c r="EM9" i="1"/>
  <c r="EL9" i="1"/>
  <c r="LE22" i="1"/>
  <c r="LF22" i="1" s="1"/>
  <c r="LG22" i="1" s="1"/>
  <c r="EJ35" i="1"/>
  <c r="EI35" i="1"/>
  <c r="BN35" i="1"/>
  <c r="BO35" i="1" s="1"/>
  <c r="BV35" i="1"/>
  <c r="GY35" i="1"/>
  <c r="GX35" i="1"/>
  <c r="LF34" i="1"/>
  <c r="LG34" i="1" s="1"/>
  <c r="LC19" i="1"/>
  <c r="LF19" i="1" s="1"/>
  <c r="LG19" i="1" s="1"/>
  <c r="LC33" i="1"/>
  <c r="BN36" i="1"/>
  <c r="BO36" i="1" s="1"/>
  <c r="BV36" i="1"/>
  <c r="EJ13" i="1"/>
  <c r="EI13" i="1"/>
  <c r="LE40" i="1"/>
  <c r="LC25" i="1"/>
  <c r="LF25" i="1" s="1"/>
  <c r="LG25" i="1" s="1"/>
  <c r="LG4" i="1" l="1"/>
  <c r="LF41" i="1"/>
  <c r="LG41" i="1" s="1"/>
  <c r="AQ2" i="2"/>
  <c r="AR3" i="2"/>
  <c r="HA25" i="1"/>
  <c r="HB25" i="1"/>
  <c r="HD54" i="1"/>
  <c r="HE54" i="1"/>
  <c r="EJ36" i="1"/>
  <c r="EI36" i="1"/>
  <c r="EP40" i="1"/>
  <c r="EO40" i="1"/>
  <c r="HG48" i="1"/>
  <c r="HH48" i="1"/>
  <c r="HB6" i="1"/>
  <c r="HA6" i="1"/>
  <c r="HH34" i="1"/>
  <c r="HG34" i="1"/>
  <c r="R38" i="46"/>
  <c r="M37" i="46"/>
  <c r="L38" i="46"/>
  <c r="HB24" i="1"/>
  <c r="HA24" i="1"/>
  <c r="EP61" i="1"/>
  <c r="EO61" i="1"/>
  <c r="CS63" i="1"/>
  <c r="CQ63" i="1"/>
  <c r="AB63" i="1"/>
  <c r="CH64" i="1"/>
  <c r="CU63" i="1"/>
  <c r="GY60" i="1"/>
  <c r="GX60" i="1"/>
  <c r="GY18" i="1"/>
  <c r="GX18" i="1"/>
  <c r="HE27" i="1"/>
  <c r="HD27" i="1"/>
  <c r="EO39" i="1"/>
  <c r="EP39" i="1"/>
  <c r="HD15" i="1"/>
  <c r="HE15" i="1"/>
  <c r="EM35" i="1"/>
  <c r="EL35" i="1"/>
  <c r="HB46" i="1"/>
  <c r="HA46" i="1"/>
  <c r="FB25" i="1"/>
  <c r="FD25" i="1" s="1"/>
  <c r="FW25" i="1"/>
  <c r="FY25" i="1" s="1"/>
  <c r="EY25" i="1"/>
  <c r="FA25" i="1" s="1"/>
  <c r="FT25" i="1"/>
  <c r="FV25" i="1" s="1"/>
  <c r="EV25" i="1"/>
  <c r="EX25" i="1" s="1"/>
  <c r="FN25" i="1"/>
  <c r="FP25" i="1" s="1"/>
  <c r="FK25" i="1"/>
  <c r="FM25" i="1" s="1"/>
  <c r="FH25" i="1"/>
  <c r="FJ25" i="1" s="1"/>
  <c r="EU25" i="1"/>
  <c r="FQ25" i="1"/>
  <c r="FS25" i="1" s="1"/>
  <c r="FE25" i="1"/>
  <c r="FG25" i="1" s="1"/>
  <c r="HE36" i="1"/>
  <c r="HD36" i="1"/>
  <c r="EJ58" i="1"/>
  <c r="EI58" i="1"/>
  <c r="DC10" i="1"/>
  <c r="DD10" i="1" s="1"/>
  <c r="DE10" i="1"/>
  <c r="JG10" i="1"/>
  <c r="IY10" i="1"/>
  <c r="AC11" i="1"/>
  <c r="JD10" i="1"/>
  <c r="IV10" i="1"/>
  <c r="JC10" i="1"/>
  <c r="IU10" i="1"/>
  <c r="IZ10" i="1"/>
  <c r="JF10" i="1"/>
  <c r="JE10" i="1"/>
  <c r="JB10" i="1"/>
  <c r="JA10" i="1"/>
  <c r="IX10" i="1"/>
  <c r="IW10" i="1"/>
  <c r="IT10" i="1"/>
  <c r="IS10" i="1"/>
  <c r="EM53" i="1"/>
  <c r="EL53" i="1"/>
  <c r="HB42" i="1"/>
  <c r="HA42" i="1"/>
  <c r="HJ29" i="1"/>
  <c r="HK29" i="1"/>
  <c r="EJ50" i="1"/>
  <c r="EI50" i="1"/>
  <c r="EJ46" i="1"/>
  <c r="EI46" i="1"/>
  <c r="GY32" i="1"/>
  <c r="GX32" i="1"/>
  <c r="ES23" i="1"/>
  <c r="ER23" i="1"/>
  <c r="EP28" i="1"/>
  <c r="EO28" i="1"/>
  <c r="GY64" i="1"/>
  <c r="GX64" i="1"/>
  <c r="EJ56" i="1"/>
  <c r="EI56" i="1"/>
  <c r="HE26" i="1"/>
  <c r="HD26" i="1"/>
  <c r="EP27" i="1"/>
  <c r="EO27" i="1"/>
  <c r="AH62" i="1"/>
  <c r="HD59" i="1"/>
  <c r="HE59" i="1"/>
  <c r="EO62" i="1"/>
  <c r="EP62" i="1"/>
  <c r="HH55" i="1"/>
  <c r="HG55" i="1"/>
  <c r="HG10" i="1"/>
  <c r="HH10" i="1"/>
  <c r="HB49" i="1"/>
  <c r="HA49" i="1"/>
  <c r="EJ42" i="1"/>
  <c r="EI42" i="1"/>
  <c r="EJ16" i="1"/>
  <c r="EI16" i="1"/>
  <c r="EM20" i="1"/>
  <c r="EL20" i="1"/>
  <c r="EI49" i="1"/>
  <c r="EJ49" i="1"/>
  <c r="EL30" i="1"/>
  <c r="EM30" i="1"/>
  <c r="BN37" i="1"/>
  <c r="BO37" i="1" s="1"/>
  <c r="BV37" i="1"/>
  <c r="EI41" i="1"/>
  <c r="EJ41" i="1"/>
  <c r="EJ21" i="1"/>
  <c r="EI21" i="1"/>
  <c r="HE21" i="1"/>
  <c r="HD21" i="1"/>
  <c r="FQ33" i="1"/>
  <c r="FS33" i="1" s="1"/>
  <c r="FH33" i="1"/>
  <c r="FJ33" i="1" s="1"/>
  <c r="FW33" i="1"/>
  <c r="FY33" i="1" s="1"/>
  <c r="EY33" i="1"/>
  <c r="FA33" i="1" s="1"/>
  <c r="FT33" i="1"/>
  <c r="FV33" i="1" s="1"/>
  <c r="EV33" i="1"/>
  <c r="FK33" i="1"/>
  <c r="FM33" i="1" s="1"/>
  <c r="EU33" i="1"/>
  <c r="FN33" i="1"/>
  <c r="FP33" i="1" s="1"/>
  <c r="FE33" i="1"/>
  <c r="FG33" i="1" s="1"/>
  <c r="FB33" i="1"/>
  <c r="FD33" i="1" s="1"/>
  <c r="HD52" i="1"/>
  <c r="HE52" i="1"/>
  <c r="GY44" i="1"/>
  <c r="GX44" i="1"/>
  <c r="S9" i="48"/>
  <c r="V9" i="48"/>
  <c r="T9" i="48" s="1"/>
  <c r="W9" i="48" s="1"/>
  <c r="F9" i="48" s="1"/>
  <c r="B9" i="48"/>
  <c r="HD63" i="1"/>
  <c r="HE63" i="1"/>
  <c r="EM31" i="1"/>
  <c r="EL31" i="1"/>
  <c r="Q11" i="1"/>
  <c r="CX12" i="1"/>
  <c r="CZ11" i="1"/>
  <c r="DA11" i="1" s="1"/>
  <c r="DB11" i="1" s="1"/>
  <c r="CY11" i="1"/>
  <c r="HE40" i="1"/>
  <c r="HD40" i="1"/>
  <c r="AB18" i="10"/>
  <c r="BG18" i="10"/>
  <c r="ES8" i="1"/>
  <c r="ER8" i="1"/>
  <c r="BG14" i="10"/>
  <c r="AB14" i="10"/>
  <c r="HA33" i="1"/>
  <c r="HB33" i="1"/>
  <c r="HD17" i="1"/>
  <c r="HE17" i="1"/>
  <c r="EP9" i="1"/>
  <c r="EO9" i="1"/>
  <c r="EJ51" i="1"/>
  <c r="EI51" i="1"/>
  <c r="EM34" i="1"/>
  <c r="EL34" i="1"/>
  <c r="DC54" i="1"/>
  <c r="DD54" i="1" s="1"/>
  <c r="DE54" i="1" s="1"/>
  <c r="BE19" i="10"/>
  <c r="BF19" i="10"/>
  <c r="EI10" i="1"/>
  <c r="EJ10" i="1"/>
  <c r="HB62" i="1"/>
  <c r="HA62" i="1"/>
  <c r="EM22" i="1"/>
  <c r="EL22" i="1"/>
  <c r="EP59" i="1"/>
  <c r="EO59" i="1"/>
  <c r="EM63" i="1"/>
  <c r="EL63" i="1"/>
  <c r="GX12" i="1"/>
  <c r="GY12" i="1"/>
  <c r="HB20" i="1"/>
  <c r="HA20" i="1"/>
  <c r="HH47" i="1"/>
  <c r="HG47" i="1"/>
  <c r="EI44" i="1"/>
  <c r="EJ44" i="1"/>
  <c r="EP11" i="1"/>
  <c r="EO11" i="1"/>
  <c r="EO15" i="1"/>
  <c r="EP15" i="1"/>
  <c r="O27" i="46"/>
  <c r="T27" i="46" s="1"/>
  <c r="O9" i="46"/>
  <c r="T8" i="46"/>
  <c r="EM38" i="1"/>
  <c r="EL38" i="1"/>
  <c r="HA43" i="1"/>
  <c r="HB43" i="1"/>
  <c r="J39" i="1"/>
  <c r="Z38" i="1"/>
  <c r="BT38" i="1"/>
  <c r="BS38" i="1"/>
  <c r="JG64" i="1"/>
  <c r="JG62" i="1"/>
  <c r="JG63" i="1"/>
  <c r="JG61" i="1"/>
  <c r="JG56" i="1"/>
  <c r="JG58" i="1"/>
  <c r="JG57" i="1"/>
  <c r="JG60" i="1"/>
  <c r="JG55" i="1"/>
  <c r="JG59" i="1"/>
  <c r="JG50" i="1"/>
  <c r="JG49" i="1"/>
  <c r="JG48" i="1"/>
  <c r="JG53" i="1"/>
  <c r="JG54" i="1"/>
  <c r="JG52" i="1"/>
  <c r="JG51" i="1"/>
  <c r="JG44" i="1"/>
  <c r="JG43" i="1"/>
  <c r="JG6" i="1"/>
  <c r="JG5" i="1"/>
  <c r="JG2" i="1" s="1"/>
  <c r="JH4" i="1"/>
  <c r="JH10" i="1" s="1"/>
  <c r="JG45" i="1"/>
  <c r="JG46" i="1"/>
  <c r="JG7" i="1"/>
  <c r="JG8" i="1"/>
  <c r="JG47" i="1"/>
  <c r="ER43" i="1"/>
  <c r="ES43" i="1"/>
  <c r="HH50" i="1"/>
  <c r="HG50" i="1"/>
  <c r="GY37" i="1"/>
  <c r="GX37" i="1"/>
  <c r="HB35" i="1"/>
  <c r="HA35" i="1"/>
  <c r="EJ26" i="1"/>
  <c r="EI26" i="1"/>
  <c r="GX11" i="1"/>
  <c r="GY11" i="1"/>
  <c r="HE5" i="1"/>
  <c r="HD5" i="1"/>
  <c r="EP48" i="1"/>
  <c r="EO48" i="1"/>
  <c r="ES37" i="1"/>
  <c r="ER37" i="1"/>
  <c r="JG9" i="1"/>
  <c r="HE51" i="1"/>
  <c r="HD51" i="1"/>
  <c r="GY28" i="1"/>
  <c r="GX28" i="1"/>
  <c r="EP24" i="1"/>
  <c r="EO24" i="1"/>
  <c r="EJ14" i="1"/>
  <c r="EI14" i="1"/>
  <c r="EO54" i="1"/>
  <c r="EP54" i="1"/>
  <c r="CH10" i="1"/>
  <c r="CS9" i="1"/>
  <c r="CQ9" i="1"/>
  <c r="AB9" i="1"/>
  <c r="CU9" i="1"/>
  <c r="ES19" i="1"/>
  <c r="ER19" i="1"/>
  <c r="GY56" i="1"/>
  <c r="GX56" i="1"/>
  <c r="HD23" i="1"/>
  <c r="HE23" i="1"/>
  <c r="GY30" i="1"/>
  <c r="GX30" i="1"/>
  <c r="EM5" i="1"/>
  <c r="EL5" i="1"/>
  <c r="HE8" i="1"/>
  <c r="HD8" i="1"/>
  <c r="HE7" i="1"/>
  <c r="HD7" i="1"/>
  <c r="HA61" i="1"/>
  <c r="HB61" i="1"/>
  <c r="CY55" i="1"/>
  <c r="CX56" i="1"/>
  <c r="CZ55" i="1"/>
  <c r="DA55" i="1" s="1"/>
  <c r="DB55" i="1" s="1"/>
  <c r="EO57" i="1"/>
  <c r="EP57" i="1"/>
  <c r="EM32" i="1"/>
  <c r="EL32" i="1"/>
  <c r="HD13" i="1"/>
  <c r="HE13" i="1"/>
  <c r="EL29" i="1"/>
  <c r="EM29" i="1"/>
  <c r="HA19" i="1"/>
  <c r="HB19" i="1"/>
  <c r="EP18" i="1"/>
  <c r="EO18" i="1"/>
  <c r="EM47" i="1"/>
  <c r="EL47" i="1"/>
  <c r="HE14" i="1"/>
  <c r="HD14" i="1"/>
  <c r="EM13" i="1"/>
  <c r="EL13" i="1"/>
  <c r="HK9" i="1"/>
  <c r="HJ9" i="1"/>
  <c r="HB38" i="1"/>
  <c r="HA38" i="1"/>
  <c r="EL45" i="1"/>
  <c r="EM45" i="1"/>
  <c r="HB39" i="1"/>
  <c r="HA39" i="1"/>
  <c r="EM7" i="1"/>
  <c r="EL7" i="1"/>
  <c r="HB58" i="1"/>
  <c r="HA58" i="1"/>
  <c r="EM6" i="1"/>
  <c r="EL6" i="1"/>
  <c r="HE53" i="1"/>
  <c r="HD53" i="1"/>
  <c r="EJ64" i="1"/>
  <c r="EI64" i="1"/>
  <c r="AQ11" i="27"/>
  <c r="AP10" i="27"/>
  <c r="HB41" i="1"/>
  <c r="HA41" i="1"/>
  <c r="HE16" i="1"/>
  <c r="HD16" i="1"/>
  <c r="GY31" i="1"/>
  <c r="GX31" i="1"/>
  <c r="AH57" i="1"/>
  <c r="EM17" i="1"/>
  <c r="EL17" i="1"/>
  <c r="EM52" i="1"/>
  <c r="EL52" i="1"/>
  <c r="HB57" i="1"/>
  <c r="HA57" i="1"/>
  <c r="HH22" i="1"/>
  <c r="HG22" i="1"/>
  <c r="EJ60" i="1"/>
  <c r="EI60" i="1"/>
  <c r="GY45" i="1"/>
  <c r="GX45" i="1"/>
  <c r="FB12" i="1"/>
  <c r="FD12" i="1" s="1"/>
  <c r="FN12" i="1"/>
  <c r="FP12" i="1" s="1"/>
  <c r="FT12" i="1"/>
  <c r="FV12" i="1" s="1"/>
  <c r="EY12" i="1"/>
  <c r="FA12" i="1" s="1"/>
  <c r="FH12" i="1"/>
  <c r="FJ12" i="1" s="1"/>
  <c r="FQ12" i="1"/>
  <c r="FS12" i="1" s="1"/>
  <c r="EV12" i="1"/>
  <c r="FE12" i="1"/>
  <c r="FG12" i="1" s="1"/>
  <c r="EU12" i="1"/>
  <c r="FW12" i="1"/>
  <c r="FY12" i="1" s="1"/>
  <c r="FK12" i="1"/>
  <c r="FM12" i="1" s="1"/>
  <c r="EO20" i="1" l="1"/>
  <c r="EP20" i="1"/>
  <c r="EM58" i="1"/>
  <c r="EL58" i="1"/>
  <c r="HB45" i="1"/>
  <c r="HA45" i="1"/>
  <c r="EM64" i="1"/>
  <c r="EL64" i="1"/>
  <c r="HE61" i="1"/>
  <c r="HD61" i="1"/>
  <c r="HB56" i="1"/>
  <c r="HA56" i="1"/>
  <c r="HE62" i="1"/>
  <c r="HD62" i="1"/>
  <c r="EL60" i="1"/>
  <c r="EM60" i="1"/>
  <c r="HH53" i="1"/>
  <c r="HG53" i="1"/>
  <c r="HH14" i="1"/>
  <c r="HG14" i="1"/>
  <c r="HE19" i="1"/>
  <c r="HD19" i="1"/>
  <c r="ES57" i="1"/>
  <c r="ER57" i="1"/>
  <c r="FK19" i="1"/>
  <c r="FM19" i="1" s="1"/>
  <c r="EU19" i="1"/>
  <c r="FQ19" i="1"/>
  <c r="FS19" i="1" s="1"/>
  <c r="FH19" i="1"/>
  <c r="FJ19" i="1" s="1"/>
  <c r="FW19" i="1"/>
  <c r="FY19" i="1" s="1"/>
  <c r="EY19" i="1"/>
  <c r="FA19" i="1" s="1"/>
  <c r="FE19" i="1"/>
  <c r="FG19" i="1" s="1"/>
  <c r="FT19" i="1"/>
  <c r="FV19" i="1" s="1"/>
  <c r="EV19" i="1"/>
  <c r="EX19" i="1" s="1"/>
  <c r="FN19" i="1"/>
  <c r="FP19" i="1" s="1"/>
  <c r="FB19" i="1"/>
  <c r="FD19" i="1" s="1"/>
  <c r="HE43" i="1"/>
  <c r="HD43" i="1"/>
  <c r="HK47" i="1"/>
  <c r="HJ47" i="1"/>
  <c r="EL10" i="1"/>
  <c r="EM10" i="1"/>
  <c r="HE33" i="1"/>
  <c r="HD33" i="1"/>
  <c r="EP31" i="1"/>
  <c r="EO31" i="1"/>
  <c r="HG21" i="1"/>
  <c r="HH21" i="1"/>
  <c r="EP30" i="1"/>
  <c r="EO30" i="1"/>
  <c r="T25" i="1"/>
  <c r="HG27" i="1"/>
  <c r="HH27" i="1"/>
  <c r="R39" i="46"/>
  <c r="M38" i="46"/>
  <c r="L39" i="46"/>
  <c r="HA31" i="1"/>
  <c r="HB31" i="1"/>
  <c r="EL44" i="1"/>
  <c r="EM44" i="1"/>
  <c r="FK8" i="1"/>
  <c r="FM8" i="1" s="1"/>
  <c r="EU8" i="1"/>
  <c r="FB8" i="1"/>
  <c r="FD8" i="1" s="1"/>
  <c r="FQ8" i="1"/>
  <c r="FS8" i="1" s="1"/>
  <c r="FH8" i="1"/>
  <c r="FJ8" i="1" s="1"/>
  <c r="FW8" i="1"/>
  <c r="FY8" i="1" s="1"/>
  <c r="EY8" i="1"/>
  <c r="FA8" i="1" s="1"/>
  <c r="FN8" i="1"/>
  <c r="FP8" i="1" s="1"/>
  <c r="FE8" i="1"/>
  <c r="FG8" i="1" s="1"/>
  <c r="FT8" i="1"/>
  <c r="FV8" i="1" s="1"/>
  <c r="EV8" i="1"/>
  <c r="EX8" i="1" s="1"/>
  <c r="EP63" i="1"/>
  <c r="EO63" i="1"/>
  <c r="EO17" i="1"/>
  <c r="EP17" i="1"/>
  <c r="HM9" i="1"/>
  <c r="HN9" i="1"/>
  <c r="HA30" i="1"/>
  <c r="HB30" i="1"/>
  <c r="HH51" i="1"/>
  <c r="HG51" i="1"/>
  <c r="EL26" i="1"/>
  <c r="EM26" i="1"/>
  <c r="ES15" i="1"/>
  <c r="ER15" i="1"/>
  <c r="ES59" i="1"/>
  <c r="ER59" i="1"/>
  <c r="EM51" i="1"/>
  <c r="EL51" i="1"/>
  <c r="HH40" i="1"/>
  <c r="HG40" i="1"/>
  <c r="HB44" i="1"/>
  <c r="HA44" i="1"/>
  <c r="EX33" i="1"/>
  <c r="T33" i="1"/>
  <c r="EM42" i="1"/>
  <c r="EL42" i="1"/>
  <c r="HJ55" i="1"/>
  <c r="HK55" i="1"/>
  <c r="HA64" i="1"/>
  <c r="HB64" i="1"/>
  <c r="EP35" i="1"/>
  <c r="EO35" i="1"/>
  <c r="AH63" i="1"/>
  <c r="HK48" i="1"/>
  <c r="HJ48" i="1"/>
  <c r="HE39" i="1"/>
  <c r="HD39" i="1"/>
  <c r="DC55" i="1"/>
  <c r="DD55" i="1" s="1"/>
  <c r="DE55" i="1" s="1"/>
  <c r="HH7" i="1"/>
  <c r="HG7" i="1"/>
  <c r="EL14" i="1"/>
  <c r="EM14" i="1"/>
  <c r="HK22" i="1"/>
  <c r="HJ22" i="1"/>
  <c r="HD41" i="1"/>
  <c r="HE41" i="1"/>
  <c r="EP6" i="1"/>
  <c r="EO6" i="1"/>
  <c r="EP29" i="1"/>
  <c r="EO29" i="1"/>
  <c r="HD20" i="1"/>
  <c r="HE20" i="1"/>
  <c r="BG19" i="10"/>
  <c r="AB19" i="10"/>
  <c r="HH63" i="1"/>
  <c r="HG63" i="1"/>
  <c r="HH52" i="1"/>
  <c r="HG52" i="1"/>
  <c r="EL21" i="1"/>
  <c r="EM21" i="1"/>
  <c r="EM49" i="1"/>
  <c r="EL49" i="1"/>
  <c r="ES62" i="1"/>
  <c r="ER62" i="1"/>
  <c r="ES27" i="1"/>
  <c r="ER27" i="1"/>
  <c r="EM46" i="1"/>
  <c r="EL46" i="1"/>
  <c r="HE42" i="1"/>
  <c r="HD42" i="1"/>
  <c r="HH15" i="1"/>
  <c r="HG15" i="1"/>
  <c r="HA18" i="1"/>
  <c r="HB18" i="1"/>
  <c r="HD25" i="1"/>
  <c r="HE25" i="1"/>
  <c r="EP47" i="1"/>
  <c r="EO47" i="1"/>
  <c r="CZ56" i="1"/>
  <c r="DA56" i="1" s="1"/>
  <c r="DB56" i="1" s="1"/>
  <c r="CY56" i="1"/>
  <c r="Q56" i="1"/>
  <c r="CX57" i="1"/>
  <c r="T19" i="1"/>
  <c r="HH23" i="1"/>
  <c r="HG23" i="1"/>
  <c r="AH9" i="1"/>
  <c r="HG5" i="1"/>
  <c r="HH5" i="1"/>
  <c r="HK50" i="1"/>
  <c r="HJ50" i="1"/>
  <c r="HB12" i="1"/>
  <c r="HA12" i="1"/>
  <c r="EP22" i="1"/>
  <c r="EO22" i="1"/>
  <c r="DC11" i="1"/>
  <c r="DD11" i="1" s="1"/>
  <c r="DE11" i="1" s="1"/>
  <c r="ES28" i="1"/>
  <c r="ER28" i="1"/>
  <c r="HE57" i="1"/>
  <c r="HD57" i="1"/>
  <c r="AQ12" i="27"/>
  <c r="AP11" i="27"/>
  <c r="HE58" i="1"/>
  <c r="HD58" i="1"/>
  <c r="EP45" i="1"/>
  <c r="EO45" i="1"/>
  <c r="EP13" i="1"/>
  <c r="EO13" i="1"/>
  <c r="HH13" i="1"/>
  <c r="HG13" i="1"/>
  <c r="ES24" i="1"/>
  <c r="ER24" i="1"/>
  <c r="FB37" i="1"/>
  <c r="FD37" i="1" s="1"/>
  <c r="FQ37" i="1"/>
  <c r="FS37" i="1" s="1"/>
  <c r="FH37" i="1"/>
  <c r="FJ37" i="1" s="1"/>
  <c r="FW37" i="1"/>
  <c r="FY37" i="1" s="1"/>
  <c r="EY37" i="1"/>
  <c r="FA37" i="1" s="1"/>
  <c r="FN37" i="1"/>
  <c r="FP37" i="1" s="1"/>
  <c r="FE37" i="1"/>
  <c r="FG37" i="1" s="1"/>
  <c r="FT37" i="1"/>
  <c r="FV37" i="1" s="1"/>
  <c r="EV37" i="1"/>
  <c r="EX37" i="1" s="1"/>
  <c r="FK37" i="1"/>
  <c r="FM37" i="1" s="1"/>
  <c r="EU37" i="1"/>
  <c r="HB11" i="1"/>
  <c r="HA11" i="1"/>
  <c r="HE35" i="1"/>
  <c r="HD35" i="1"/>
  <c r="BN38" i="1"/>
  <c r="BO38" i="1" s="1"/>
  <c r="BV38" i="1"/>
  <c r="EP38" i="1"/>
  <c r="EO38" i="1"/>
  <c r="ES11" i="1"/>
  <c r="ER11" i="1"/>
  <c r="ER9" i="1"/>
  <c r="ES9" i="1"/>
  <c r="CX13" i="1"/>
  <c r="CZ12" i="1"/>
  <c r="DA12" i="1" s="1"/>
  <c r="DB12" i="1" s="1"/>
  <c r="CY12" i="1"/>
  <c r="Q12" i="1"/>
  <c r="EM41" i="1"/>
  <c r="EL41" i="1"/>
  <c r="HD49" i="1"/>
  <c r="HE49" i="1"/>
  <c r="HH59" i="1"/>
  <c r="HG59" i="1"/>
  <c r="HG26" i="1"/>
  <c r="HH26" i="1"/>
  <c r="EM50" i="1"/>
  <c r="EL50" i="1"/>
  <c r="EP53" i="1"/>
  <c r="EO53" i="1"/>
  <c r="ES61" i="1"/>
  <c r="ER61" i="1"/>
  <c r="ES40" i="1"/>
  <c r="ER40" i="1"/>
  <c r="JH63" i="1"/>
  <c r="JH58" i="1"/>
  <c r="JH59" i="1"/>
  <c r="JH64" i="1"/>
  <c r="JH61" i="1"/>
  <c r="JH62" i="1"/>
  <c r="JH57" i="1"/>
  <c r="JH60" i="1"/>
  <c r="JH55" i="1"/>
  <c r="JH54" i="1"/>
  <c r="JH50" i="1"/>
  <c r="JH49" i="1"/>
  <c r="JH48" i="1"/>
  <c r="JH53" i="1"/>
  <c r="JH52" i="1"/>
  <c r="JH56" i="1"/>
  <c r="JH51" i="1"/>
  <c r="JH44" i="1"/>
  <c r="JH43" i="1"/>
  <c r="JH45" i="1"/>
  <c r="JH6" i="1"/>
  <c r="JH5" i="1"/>
  <c r="JH2" i="1" s="1"/>
  <c r="JI4" i="1"/>
  <c r="JH46" i="1"/>
  <c r="JH7" i="1"/>
  <c r="JH8" i="1"/>
  <c r="JH47" i="1"/>
  <c r="JH9" i="1"/>
  <c r="ES39" i="1"/>
  <c r="ER39" i="1"/>
  <c r="HB60" i="1"/>
  <c r="HA60" i="1"/>
  <c r="HK34" i="1"/>
  <c r="HJ34" i="1"/>
  <c r="HH8" i="1"/>
  <c r="HG8" i="1"/>
  <c r="CH11" i="1"/>
  <c r="CS10" i="1"/>
  <c r="CU10" i="1"/>
  <c r="AB10" i="1"/>
  <c r="CQ10" i="1"/>
  <c r="FW23" i="1"/>
  <c r="FY23" i="1" s="1"/>
  <c r="EY23" i="1"/>
  <c r="FA23" i="1" s="1"/>
  <c r="FN23" i="1"/>
  <c r="FP23" i="1" s="1"/>
  <c r="FE23" i="1"/>
  <c r="FG23" i="1" s="1"/>
  <c r="FT23" i="1"/>
  <c r="FV23" i="1" s="1"/>
  <c r="EV23" i="1"/>
  <c r="EX23" i="1" s="1"/>
  <c r="FK23" i="1"/>
  <c r="FM23" i="1" s="1"/>
  <c r="EU23" i="1"/>
  <c r="FQ23" i="1"/>
  <c r="FS23" i="1" s="1"/>
  <c r="FH23" i="1"/>
  <c r="FJ23" i="1" s="1"/>
  <c r="FB23" i="1"/>
  <c r="FD23" i="1" s="1"/>
  <c r="ES54" i="1"/>
  <c r="ER54" i="1"/>
  <c r="HH17" i="1"/>
  <c r="HG17" i="1"/>
  <c r="HK10" i="1"/>
  <c r="HJ10" i="1"/>
  <c r="HN29" i="1"/>
  <c r="HM29" i="1"/>
  <c r="EM36" i="1"/>
  <c r="EL36" i="1"/>
  <c r="EX12" i="1"/>
  <c r="T12" i="1"/>
  <c r="ES18" i="1"/>
  <c r="ER18" i="1"/>
  <c r="FH43" i="1"/>
  <c r="FJ43" i="1" s="1"/>
  <c r="FW43" i="1"/>
  <c r="FY43" i="1" s="1"/>
  <c r="EY43" i="1"/>
  <c r="FA43" i="1" s="1"/>
  <c r="FT43" i="1"/>
  <c r="FV43" i="1" s="1"/>
  <c r="EV43" i="1"/>
  <c r="EU43" i="1"/>
  <c r="FE43" i="1"/>
  <c r="FG43" i="1" s="1"/>
  <c r="FQ43" i="1"/>
  <c r="FS43" i="1" s="1"/>
  <c r="FN43" i="1"/>
  <c r="FP43" i="1" s="1"/>
  <c r="FB43" i="1"/>
  <c r="FD43" i="1" s="1"/>
  <c r="FK43" i="1"/>
  <c r="FM43" i="1" s="1"/>
  <c r="O10" i="46"/>
  <c r="O28" i="46"/>
  <c r="T28" i="46" s="1"/>
  <c r="T9" i="46"/>
  <c r="T13" i="46" s="1"/>
  <c r="T16" i="46" s="1"/>
  <c r="Q10" i="48"/>
  <c r="D9" i="48"/>
  <c r="EL56" i="1"/>
  <c r="EM56" i="1"/>
  <c r="HE46" i="1"/>
  <c r="HD46" i="1"/>
  <c r="EP52" i="1"/>
  <c r="EO52" i="1"/>
  <c r="HH16" i="1"/>
  <c r="HG16" i="1"/>
  <c r="EP7" i="1"/>
  <c r="EO7" i="1"/>
  <c r="HD38" i="1"/>
  <c r="HE38" i="1"/>
  <c r="EP32" i="1"/>
  <c r="EO32" i="1"/>
  <c r="EP5" i="1"/>
  <c r="EO5" i="1"/>
  <c r="HA28" i="1"/>
  <c r="HB28" i="1"/>
  <c r="ES48" i="1"/>
  <c r="ER48" i="1"/>
  <c r="HB37" i="1"/>
  <c r="HA37" i="1"/>
  <c r="Z39" i="1"/>
  <c r="J40" i="1"/>
  <c r="BS39" i="1"/>
  <c r="BT39" i="1"/>
  <c r="EP34" i="1"/>
  <c r="EO34" i="1"/>
  <c r="EM16" i="1"/>
  <c r="EL16" i="1"/>
  <c r="HA32" i="1"/>
  <c r="HB32" i="1"/>
  <c r="JF11" i="1"/>
  <c r="IX11" i="1"/>
  <c r="JE11" i="1"/>
  <c r="IW11" i="1"/>
  <c r="AC12" i="1"/>
  <c r="JC11" i="1"/>
  <c r="IU11" i="1"/>
  <c r="JB11" i="1"/>
  <c r="IT11" i="1"/>
  <c r="JG11" i="1"/>
  <c r="IY11" i="1"/>
  <c r="JD11" i="1"/>
  <c r="JA11" i="1"/>
  <c r="IZ11" i="1"/>
  <c r="IV11" i="1"/>
  <c r="IS11" i="1"/>
  <c r="JI11" i="1"/>
  <c r="JH11" i="1"/>
  <c r="HH36" i="1"/>
  <c r="HG36" i="1"/>
  <c r="CS64" i="1"/>
  <c r="CU64" i="1"/>
  <c r="CQ64" i="1"/>
  <c r="AH64" i="1" s="1"/>
  <c r="AB64" i="1"/>
  <c r="HD24" i="1"/>
  <c r="HE24" i="1"/>
  <c r="HD6" i="1"/>
  <c r="HE6" i="1"/>
  <c r="HH54" i="1"/>
  <c r="HG54" i="1"/>
  <c r="T8" i="1"/>
  <c r="HK36" i="1" l="1"/>
  <c r="HJ36" i="1"/>
  <c r="FQ54" i="1"/>
  <c r="FS54" i="1" s="1"/>
  <c r="FW54" i="1"/>
  <c r="FY54" i="1" s="1"/>
  <c r="EY54" i="1"/>
  <c r="FA54" i="1" s="1"/>
  <c r="FE54" i="1"/>
  <c r="FG54" i="1" s="1"/>
  <c r="FK54" i="1"/>
  <c r="FM54" i="1" s="1"/>
  <c r="EU54" i="1"/>
  <c r="FN54" i="1"/>
  <c r="FP54" i="1" s="1"/>
  <c r="EV54" i="1"/>
  <c r="EX54" i="1" s="1"/>
  <c r="FH54" i="1"/>
  <c r="FJ54" i="1" s="1"/>
  <c r="FT54" i="1"/>
  <c r="FV54" i="1" s="1"/>
  <c r="FB54" i="1"/>
  <c r="FD54" i="1" s="1"/>
  <c r="ES53" i="1"/>
  <c r="ER53" i="1"/>
  <c r="CX14" i="1"/>
  <c r="CZ13" i="1"/>
  <c r="DA13" i="1" s="1"/>
  <c r="DB13" i="1" s="1"/>
  <c r="Q13" i="1"/>
  <c r="Q27" i="1" s="1"/>
  <c r="CY13" i="1"/>
  <c r="BN39" i="1"/>
  <c r="BO39" i="1" s="1"/>
  <c r="BV39" i="1"/>
  <c r="HQ29" i="1"/>
  <c r="HP29" i="1"/>
  <c r="CQ11" i="1"/>
  <c r="CH12" i="1"/>
  <c r="CU11" i="1"/>
  <c r="AB11" i="1"/>
  <c r="CS11" i="1"/>
  <c r="HN10" i="1"/>
  <c r="HM10" i="1"/>
  <c r="FQ39" i="1"/>
  <c r="FS39" i="1" s="1"/>
  <c r="FH39" i="1"/>
  <c r="FJ39" i="1" s="1"/>
  <c r="FW39" i="1"/>
  <c r="FY39" i="1" s="1"/>
  <c r="EY39" i="1"/>
  <c r="FA39" i="1" s="1"/>
  <c r="FE39" i="1"/>
  <c r="FG39" i="1" s="1"/>
  <c r="EV39" i="1"/>
  <c r="EX39" i="1" s="1"/>
  <c r="FK39" i="1"/>
  <c r="FM39" i="1" s="1"/>
  <c r="EU39" i="1"/>
  <c r="FT39" i="1"/>
  <c r="FV39" i="1" s="1"/>
  <c r="FB39" i="1"/>
  <c r="FD39" i="1" s="1"/>
  <c r="FN39" i="1"/>
  <c r="FP39" i="1" s="1"/>
  <c r="FT40" i="1"/>
  <c r="FV40" i="1" s="1"/>
  <c r="EV40" i="1"/>
  <c r="EX40" i="1" s="1"/>
  <c r="FK40" i="1"/>
  <c r="FM40" i="1" s="1"/>
  <c r="EU40" i="1"/>
  <c r="FB40" i="1"/>
  <c r="FD40" i="1" s="1"/>
  <c r="FQ40" i="1"/>
  <c r="FS40" i="1" s="1"/>
  <c r="FH40" i="1"/>
  <c r="FJ40" i="1" s="1"/>
  <c r="FW40" i="1"/>
  <c r="FY40" i="1" s="1"/>
  <c r="EY40" i="1"/>
  <c r="FA40" i="1" s="1"/>
  <c r="FN40" i="1"/>
  <c r="FP40" i="1" s="1"/>
  <c r="FE40" i="1"/>
  <c r="FG40" i="1" s="1"/>
  <c r="EP50" i="1"/>
  <c r="EO50" i="1"/>
  <c r="HH35" i="1"/>
  <c r="HG35" i="1"/>
  <c r="ES45" i="1"/>
  <c r="ER45" i="1"/>
  <c r="HE18" i="1"/>
  <c r="HD18" i="1"/>
  <c r="EP46" i="1"/>
  <c r="EO46" i="1"/>
  <c r="EP21" i="1"/>
  <c r="EO21" i="1"/>
  <c r="ES35" i="1"/>
  <c r="ER35" i="1"/>
  <c r="EP44" i="1"/>
  <c r="EO44" i="1"/>
  <c r="HK53" i="1"/>
  <c r="HJ53" i="1"/>
  <c r="HE56" i="1"/>
  <c r="HD56" i="1"/>
  <c r="HE45" i="1"/>
  <c r="HD45" i="1"/>
  <c r="HJ59" i="1"/>
  <c r="HK59" i="1"/>
  <c r="FB48" i="1"/>
  <c r="FD48" i="1" s="1"/>
  <c r="FN48" i="1"/>
  <c r="FP48" i="1" s="1"/>
  <c r="FW48" i="1"/>
  <c r="FY48" i="1" s="1"/>
  <c r="FK48" i="1"/>
  <c r="FM48" i="1" s="1"/>
  <c r="FT48" i="1"/>
  <c r="FV48" i="1" s="1"/>
  <c r="EY48" i="1"/>
  <c r="FA48" i="1" s="1"/>
  <c r="FH48" i="1"/>
  <c r="FJ48" i="1" s="1"/>
  <c r="FQ48" i="1"/>
  <c r="FS48" i="1" s="1"/>
  <c r="EV48" i="1"/>
  <c r="FE48" i="1"/>
  <c r="FG48" i="1" s="1"/>
  <c r="EU48" i="1"/>
  <c r="Z40" i="1"/>
  <c r="BT40" i="1"/>
  <c r="BS40" i="1"/>
  <c r="EO16" i="1"/>
  <c r="EP16" i="1"/>
  <c r="HJ54" i="1"/>
  <c r="HK54" i="1"/>
  <c r="EX43" i="1"/>
  <c r="T43" i="1"/>
  <c r="HK8" i="1"/>
  <c r="HJ8" i="1"/>
  <c r="EP41" i="1"/>
  <c r="EO41" i="1"/>
  <c r="ES22" i="1"/>
  <c r="ER22" i="1"/>
  <c r="DC56" i="1"/>
  <c r="DD56" i="1" s="1"/>
  <c r="DE56" i="1" s="1"/>
  <c r="HH20" i="1"/>
  <c r="HG20" i="1"/>
  <c r="HE64" i="1"/>
  <c r="HD64" i="1"/>
  <c r="FT59" i="1"/>
  <c r="FV59" i="1" s="1"/>
  <c r="EV59" i="1"/>
  <c r="FK59" i="1"/>
  <c r="FM59" i="1" s="1"/>
  <c r="EU59" i="1"/>
  <c r="FQ59" i="1"/>
  <c r="FS59" i="1" s="1"/>
  <c r="FE59" i="1"/>
  <c r="FG59" i="1" s="1"/>
  <c r="FB59" i="1"/>
  <c r="FD59" i="1" s="1"/>
  <c r="FN59" i="1"/>
  <c r="FP59" i="1" s="1"/>
  <c r="EY59" i="1"/>
  <c r="FA59" i="1" s="1"/>
  <c r="FW59" i="1"/>
  <c r="FY59" i="1" s="1"/>
  <c r="FH59" i="1"/>
  <c r="FJ59" i="1" s="1"/>
  <c r="HK51" i="1"/>
  <c r="HJ51" i="1"/>
  <c r="HK27" i="1"/>
  <c r="HJ27" i="1"/>
  <c r="HN47" i="1"/>
  <c r="HM47" i="1"/>
  <c r="FE57" i="1"/>
  <c r="FG57" i="1" s="1"/>
  <c r="FT57" i="1"/>
  <c r="FV57" i="1" s="1"/>
  <c r="EV57" i="1"/>
  <c r="EX57" i="1" s="1"/>
  <c r="FK57" i="1"/>
  <c r="FM57" i="1" s="1"/>
  <c r="EU57" i="1"/>
  <c r="FB57" i="1"/>
  <c r="FD57" i="1" s="1"/>
  <c r="FQ57" i="1"/>
  <c r="FS57" i="1" s="1"/>
  <c r="FH57" i="1"/>
  <c r="FJ57" i="1" s="1"/>
  <c r="FW57" i="1"/>
  <c r="FY57" i="1" s="1"/>
  <c r="EY57" i="1"/>
  <c r="FA57" i="1" s="1"/>
  <c r="FN57" i="1"/>
  <c r="FP57" i="1" s="1"/>
  <c r="T57" i="1"/>
  <c r="EP56" i="1"/>
  <c r="EO56" i="1"/>
  <c r="JF12" i="1"/>
  <c r="IX12" i="1"/>
  <c r="AC13" i="1"/>
  <c r="JB12" i="1"/>
  <c r="IT12" i="1"/>
  <c r="JC12" i="1"/>
  <c r="JA12" i="1"/>
  <c r="IZ12" i="1"/>
  <c r="JI12" i="1"/>
  <c r="IY12" i="1"/>
  <c r="JH12" i="1"/>
  <c r="IW12" i="1"/>
  <c r="JE12" i="1"/>
  <c r="IU12" i="1"/>
  <c r="JD12" i="1"/>
  <c r="IS12" i="1"/>
  <c r="JG12" i="1"/>
  <c r="IV12" i="1"/>
  <c r="HE37" i="1"/>
  <c r="HD37" i="1"/>
  <c r="O11" i="46"/>
  <c r="O29" i="46"/>
  <c r="T29" i="46" s="1"/>
  <c r="HJ17" i="1"/>
  <c r="HK17" i="1"/>
  <c r="FQ61" i="1"/>
  <c r="FS61" i="1" s="1"/>
  <c r="FH61" i="1"/>
  <c r="FJ61" i="1" s="1"/>
  <c r="FW61" i="1"/>
  <c r="FY61" i="1" s="1"/>
  <c r="EY61" i="1"/>
  <c r="FA61" i="1" s="1"/>
  <c r="FN61" i="1"/>
  <c r="FP61" i="1" s="1"/>
  <c r="FB61" i="1"/>
  <c r="FD61" i="1" s="1"/>
  <c r="FK61" i="1"/>
  <c r="FM61" i="1" s="1"/>
  <c r="FE61" i="1"/>
  <c r="FG61" i="1" s="1"/>
  <c r="EU61" i="1"/>
  <c r="FT61" i="1"/>
  <c r="FV61" i="1" s="1"/>
  <c r="EV61" i="1"/>
  <c r="EX61" i="1" s="1"/>
  <c r="FB27" i="1"/>
  <c r="FD27" i="1" s="1"/>
  <c r="FQ27" i="1"/>
  <c r="FS27" i="1" s="1"/>
  <c r="FH27" i="1"/>
  <c r="FJ27" i="1" s="1"/>
  <c r="FW27" i="1"/>
  <c r="FY27" i="1" s="1"/>
  <c r="EY27" i="1"/>
  <c r="FA27" i="1" s="1"/>
  <c r="FT27" i="1"/>
  <c r="FV27" i="1" s="1"/>
  <c r="EV27" i="1"/>
  <c r="EX27" i="1" s="1"/>
  <c r="FK27" i="1"/>
  <c r="FM27" i="1" s="1"/>
  <c r="EU27" i="1"/>
  <c r="FN27" i="1"/>
  <c r="FP27" i="1" s="1"/>
  <c r="FE27" i="1"/>
  <c r="FG27" i="1" s="1"/>
  <c r="HE31" i="1"/>
  <c r="HD31" i="1"/>
  <c r="ES31" i="1"/>
  <c r="ER31" i="1"/>
  <c r="EP60" i="1"/>
  <c r="EO60" i="1"/>
  <c r="HH61" i="1"/>
  <c r="HG61" i="1"/>
  <c r="EP58" i="1"/>
  <c r="EO58" i="1"/>
  <c r="ES32" i="1"/>
  <c r="ER32" i="1"/>
  <c r="HH6" i="1"/>
  <c r="HG6" i="1"/>
  <c r="ES34" i="1"/>
  <c r="ER34" i="1"/>
  <c r="ES7" i="1"/>
  <c r="ER7" i="1"/>
  <c r="HH46" i="1"/>
  <c r="HG46" i="1"/>
  <c r="AH10" i="1"/>
  <c r="HK26" i="1"/>
  <c r="HJ26" i="1"/>
  <c r="FQ11" i="1"/>
  <c r="FS11" i="1" s="1"/>
  <c r="FH11" i="1"/>
  <c r="FJ11" i="1" s="1"/>
  <c r="FN11" i="1"/>
  <c r="FP11" i="1" s="1"/>
  <c r="FE11" i="1"/>
  <c r="FG11" i="1" s="1"/>
  <c r="FB11" i="1"/>
  <c r="FD11" i="1" s="1"/>
  <c r="FK11" i="1"/>
  <c r="FM11" i="1" s="1"/>
  <c r="FW11" i="1"/>
  <c r="FY11" i="1" s="1"/>
  <c r="FT11" i="1"/>
  <c r="FV11" i="1" s="1"/>
  <c r="EY11" i="1"/>
  <c r="FA11" i="1" s="1"/>
  <c r="EV11" i="1"/>
  <c r="EX11" i="1" s="1"/>
  <c r="EU11" i="1"/>
  <c r="FW24" i="1"/>
  <c r="FY24" i="1" s="1"/>
  <c r="EY24" i="1"/>
  <c r="FA24" i="1" s="1"/>
  <c r="FN24" i="1"/>
  <c r="FP24" i="1" s="1"/>
  <c r="FE24" i="1"/>
  <c r="FG24" i="1" s="1"/>
  <c r="FT24" i="1"/>
  <c r="FV24" i="1" s="1"/>
  <c r="EV24" i="1"/>
  <c r="EX24" i="1" s="1"/>
  <c r="FK24" i="1"/>
  <c r="FM24" i="1" s="1"/>
  <c r="EU24" i="1"/>
  <c r="FQ24" i="1"/>
  <c r="FS24" i="1" s="1"/>
  <c r="FH24" i="1"/>
  <c r="FJ24" i="1" s="1"/>
  <c r="FB24" i="1"/>
  <c r="FD24" i="1" s="1"/>
  <c r="HH58" i="1"/>
  <c r="HG58" i="1"/>
  <c r="HE32" i="1"/>
  <c r="HD32" i="1"/>
  <c r="ES5" i="1"/>
  <c r="ER5" i="1"/>
  <c r="HE11" i="1"/>
  <c r="HD11" i="1"/>
  <c r="ES47" i="1"/>
  <c r="ER47" i="1"/>
  <c r="HK52" i="1"/>
  <c r="HJ52" i="1"/>
  <c r="HN22" i="1"/>
  <c r="HM22" i="1"/>
  <c r="HH39" i="1"/>
  <c r="HG39" i="1"/>
  <c r="HN55" i="1"/>
  <c r="HM55" i="1"/>
  <c r="HE44" i="1"/>
  <c r="HD44" i="1"/>
  <c r="HE30" i="1"/>
  <c r="HD30" i="1"/>
  <c r="ES63" i="1"/>
  <c r="ER63" i="1"/>
  <c r="HG19" i="1"/>
  <c r="HH19" i="1"/>
  <c r="ES20" i="1"/>
  <c r="ER20" i="1"/>
  <c r="EP36" i="1"/>
  <c r="EO36" i="1"/>
  <c r="HN34" i="1"/>
  <c r="HM34" i="1"/>
  <c r="DC12" i="1"/>
  <c r="DD12" i="1" s="1"/>
  <c r="DE12" i="1" s="1"/>
  <c r="ES38" i="1"/>
  <c r="ER38" i="1"/>
  <c r="T37" i="1"/>
  <c r="HJ13" i="1"/>
  <c r="HK13" i="1"/>
  <c r="AP12" i="27"/>
  <c r="AQ13" i="27"/>
  <c r="FT28" i="1"/>
  <c r="FV28" i="1" s="1"/>
  <c r="EV28" i="1"/>
  <c r="EX28" i="1" s="1"/>
  <c r="FB28" i="1"/>
  <c r="FD28" i="1" s="1"/>
  <c r="FQ28" i="1"/>
  <c r="FS28" i="1" s="1"/>
  <c r="FW28" i="1"/>
  <c r="FY28" i="1" s="1"/>
  <c r="EY28" i="1"/>
  <c r="FA28" i="1" s="1"/>
  <c r="FE28" i="1"/>
  <c r="FG28" i="1" s="1"/>
  <c r="FN28" i="1"/>
  <c r="FP28" i="1" s="1"/>
  <c r="FK28" i="1"/>
  <c r="FM28" i="1" s="1"/>
  <c r="EU28" i="1"/>
  <c r="FH28" i="1"/>
  <c r="FJ28" i="1" s="1"/>
  <c r="HE12" i="1"/>
  <c r="HD12" i="1"/>
  <c r="HK23" i="1"/>
  <c r="HJ23" i="1"/>
  <c r="HJ15" i="1"/>
  <c r="HK15" i="1"/>
  <c r="FB62" i="1"/>
  <c r="FD62" i="1" s="1"/>
  <c r="FQ62" i="1"/>
  <c r="FS62" i="1" s="1"/>
  <c r="FH62" i="1"/>
  <c r="FJ62" i="1" s="1"/>
  <c r="FE62" i="1"/>
  <c r="FG62" i="1" s="1"/>
  <c r="FT62" i="1"/>
  <c r="FV62" i="1" s="1"/>
  <c r="EV62" i="1"/>
  <c r="EX62" i="1" s="1"/>
  <c r="FK62" i="1"/>
  <c r="FM62" i="1" s="1"/>
  <c r="FW62" i="1"/>
  <c r="FY62" i="1" s="1"/>
  <c r="EY62" i="1"/>
  <c r="FA62" i="1" s="1"/>
  <c r="EU62" i="1"/>
  <c r="FN62" i="1"/>
  <c r="FP62" i="1" s="1"/>
  <c r="ES29" i="1"/>
  <c r="ER29" i="1"/>
  <c r="EP14" i="1"/>
  <c r="EO14" i="1"/>
  <c r="FE15" i="1"/>
  <c r="FG15" i="1" s="1"/>
  <c r="FT15" i="1"/>
  <c r="FV15" i="1" s="1"/>
  <c r="EV15" i="1"/>
  <c r="EX15" i="1" s="1"/>
  <c r="FK15" i="1"/>
  <c r="FM15" i="1" s="1"/>
  <c r="EU15" i="1"/>
  <c r="FQ15" i="1"/>
  <c r="FS15" i="1" s="1"/>
  <c r="FB15" i="1"/>
  <c r="FD15" i="1" s="1"/>
  <c r="EY15" i="1"/>
  <c r="FA15" i="1" s="1"/>
  <c r="FN15" i="1"/>
  <c r="FP15" i="1" s="1"/>
  <c r="FW15" i="1"/>
  <c r="FY15" i="1" s="1"/>
  <c r="FH15" i="1"/>
  <c r="FJ15" i="1" s="1"/>
  <c r="HH33" i="1"/>
  <c r="HG33" i="1"/>
  <c r="HH43" i="1"/>
  <c r="HG43" i="1"/>
  <c r="HG25" i="1"/>
  <c r="HH25" i="1"/>
  <c r="HK63" i="1"/>
  <c r="HJ63" i="1"/>
  <c r="HN48" i="1"/>
  <c r="HM48" i="1"/>
  <c r="HK40" i="1"/>
  <c r="HJ40" i="1"/>
  <c r="EP26" i="1"/>
  <c r="EO26" i="1"/>
  <c r="HQ9" i="1"/>
  <c r="HP9" i="1"/>
  <c r="R40" i="46"/>
  <c r="M39" i="46"/>
  <c r="L40" i="46"/>
  <c r="M40" i="46" s="1"/>
  <c r="ES30" i="1"/>
  <c r="ER30" i="1"/>
  <c r="EP10" i="1"/>
  <c r="EO10" i="1"/>
  <c r="HJ14" i="1"/>
  <c r="HK14" i="1"/>
  <c r="EP64" i="1"/>
  <c r="EO64" i="1"/>
  <c r="HJ16" i="1"/>
  <c r="HK16" i="1"/>
  <c r="JI64" i="1"/>
  <c r="JI62" i="1"/>
  <c r="JI59" i="1"/>
  <c r="JI61" i="1"/>
  <c r="JI63" i="1"/>
  <c r="JI58" i="1"/>
  <c r="JI57" i="1"/>
  <c r="JI60" i="1"/>
  <c r="JI56" i="1"/>
  <c r="JI53" i="1"/>
  <c r="JI55" i="1"/>
  <c r="JI54" i="1"/>
  <c r="JI52" i="1"/>
  <c r="JI51" i="1"/>
  <c r="JI49" i="1"/>
  <c r="JI44" i="1"/>
  <c r="JI48" i="1"/>
  <c r="JI43" i="1"/>
  <c r="JI50" i="1"/>
  <c r="JI45" i="1"/>
  <c r="JI5" i="1"/>
  <c r="JI2" i="1" s="1"/>
  <c r="JJ4" i="1"/>
  <c r="JI6" i="1"/>
  <c r="JI7" i="1"/>
  <c r="JI46" i="1"/>
  <c r="JI8" i="1"/>
  <c r="JI47" i="1"/>
  <c r="JI9" i="1"/>
  <c r="JI10" i="1"/>
  <c r="EP42" i="1"/>
  <c r="EO42" i="1"/>
  <c r="HG62" i="1"/>
  <c r="HH62" i="1"/>
  <c r="HH24" i="1"/>
  <c r="HG24" i="1"/>
  <c r="T23" i="1"/>
  <c r="HE60" i="1"/>
  <c r="HD60" i="1"/>
  <c r="HH49" i="1"/>
  <c r="HG49" i="1"/>
  <c r="FH9" i="1"/>
  <c r="FJ9" i="1" s="1"/>
  <c r="FT9" i="1"/>
  <c r="FV9" i="1" s="1"/>
  <c r="EV9" i="1"/>
  <c r="EX9" i="1" s="1"/>
  <c r="FQ9" i="1"/>
  <c r="FS9" i="1" s="1"/>
  <c r="EU9" i="1"/>
  <c r="FE9" i="1"/>
  <c r="FG9" i="1" s="1"/>
  <c r="FN9" i="1"/>
  <c r="FP9" i="1" s="1"/>
  <c r="FW9" i="1"/>
  <c r="FY9" i="1" s="1"/>
  <c r="FB9" i="1"/>
  <c r="FD9" i="1" s="1"/>
  <c r="FK9" i="1"/>
  <c r="FM9" i="1" s="1"/>
  <c r="EY9" i="1"/>
  <c r="FA9" i="1" s="1"/>
  <c r="ER13" i="1"/>
  <c r="ES13" i="1"/>
  <c r="HM50" i="1"/>
  <c r="HN50" i="1"/>
  <c r="Q57" i="1"/>
  <c r="CZ57" i="1"/>
  <c r="DA57" i="1" s="1"/>
  <c r="DB57" i="1" s="1"/>
  <c r="CX58" i="1"/>
  <c r="CY57" i="1"/>
  <c r="HH42" i="1"/>
  <c r="HG42" i="1"/>
  <c r="ES6" i="1"/>
  <c r="ER6" i="1"/>
  <c r="HD28" i="1"/>
  <c r="HE28" i="1"/>
  <c r="HH38" i="1"/>
  <c r="HG38" i="1"/>
  <c r="ES52" i="1"/>
  <c r="ER52" i="1"/>
  <c r="S10" i="48"/>
  <c r="T10" i="48"/>
  <c r="W10" i="48" s="1"/>
  <c r="F10" i="48" s="1"/>
  <c r="B10" i="48"/>
  <c r="V10" i="48"/>
  <c r="FT18" i="1"/>
  <c r="FV18" i="1" s="1"/>
  <c r="EV18" i="1"/>
  <c r="EX18" i="1" s="1"/>
  <c r="FB18" i="1"/>
  <c r="FD18" i="1" s="1"/>
  <c r="FQ18" i="1"/>
  <c r="FS18" i="1" s="1"/>
  <c r="FH18" i="1"/>
  <c r="FJ18" i="1" s="1"/>
  <c r="FN18" i="1"/>
  <c r="FP18" i="1" s="1"/>
  <c r="FE18" i="1"/>
  <c r="FG18" i="1" s="1"/>
  <c r="EY18" i="1"/>
  <c r="FA18" i="1" s="1"/>
  <c r="EU18" i="1"/>
  <c r="FW18" i="1"/>
  <c r="FY18" i="1" s="1"/>
  <c r="FK18" i="1"/>
  <c r="FM18" i="1" s="1"/>
  <c r="HH57" i="1"/>
  <c r="HG57" i="1"/>
  <c r="HK5" i="1"/>
  <c r="HJ5" i="1"/>
  <c r="EP49" i="1"/>
  <c r="EO49" i="1"/>
  <c r="HH41" i="1"/>
  <c r="HG41" i="1"/>
  <c r="HK7" i="1"/>
  <c r="HJ7" i="1"/>
  <c r="EP51" i="1"/>
  <c r="EO51" i="1"/>
  <c r="ES17" i="1"/>
  <c r="ER17" i="1"/>
  <c r="HK21" i="1"/>
  <c r="HJ21" i="1"/>
  <c r="HK24" i="1" l="1"/>
  <c r="HJ24" i="1"/>
  <c r="HG28" i="1"/>
  <c r="HH28" i="1"/>
  <c r="ER58" i="1"/>
  <c r="ES58" i="1"/>
  <c r="Q11" i="48"/>
  <c r="D10" i="48"/>
  <c r="HH31" i="1"/>
  <c r="HG31" i="1"/>
  <c r="HM51" i="1"/>
  <c r="HN51" i="1"/>
  <c r="T39" i="1"/>
  <c r="FE17" i="1"/>
  <c r="FG17" i="1" s="1"/>
  <c r="FK17" i="1"/>
  <c r="FM17" i="1" s="1"/>
  <c r="EU17" i="1"/>
  <c r="FB17" i="1"/>
  <c r="FD17" i="1" s="1"/>
  <c r="FQ17" i="1"/>
  <c r="FS17" i="1" s="1"/>
  <c r="FW17" i="1"/>
  <c r="FY17" i="1" s="1"/>
  <c r="EY17" i="1"/>
  <c r="FA17" i="1" s="1"/>
  <c r="FN17" i="1"/>
  <c r="FP17" i="1" s="1"/>
  <c r="FH17" i="1"/>
  <c r="FJ17" i="1" s="1"/>
  <c r="EV17" i="1"/>
  <c r="EX17" i="1" s="1"/>
  <c r="FT17" i="1"/>
  <c r="FV17" i="1" s="1"/>
  <c r="HK41" i="1"/>
  <c r="HJ41" i="1"/>
  <c r="T18" i="1"/>
  <c r="FW52" i="1"/>
  <c r="FY52" i="1" s="1"/>
  <c r="EY52" i="1"/>
  <c r="FA52" i="1" s="1"/>
  <c r="FN52" i="1"/>
  <c r="FP52" i="1" s="1"/>
  <c r="FE52" i="1"/>
  <c r="FG52" i="1" s="1"/>
  <c r="FT52" i="1"/>
  <c r="FV52" i="1" s="1"/>
  <c r="EV52" i="1"/>
  <c r="EX52" i="1" s="1"/>
  <c r="FK52" i="1"/>
  <c r="FM52" i="1" s="1"/>
  <c r="EU52" i="1"/>
  <c r="FB52" i="1"/>
  <c r="FD52" i="1" s="1"/>
  <c r="FQ52" i="1"/>
  <c r="FS52" i="1" s="1"/>
  <c r="FH52" i="1"/>
  <c r="FJ52" i="1" s="1"/>
  <c r="T52" i="1"/>
  <c r="JJ62" i="1"/>
  <c r="JJ64" i="1"/>
  <c r="JJ63" i="1"/>
  <c r="JJ59" i="1"/>
  <c r="JJ61" i="1"/>
  <c r="JJ60" i="1"/>
  <c r="JJ57" i="1"/>
  <c r="JJ55" i="1"/>
  <c r="JJ54" i="1"/>
  <c r="JJ56" i="1"/>
  <c r="JJ58" i="1"/>
  <c r="JJ52" i="1"/>
  <c r="JJ51" i="1"/>
  <c r="JJ44" i="1"/>
  <c r="JJ48" i="1"/>
  <c r="JJ45" i="1"/>
  <c r="JJ53" i="1"/>
  <c r="JJ50" i="1"/>
  <c r="JJ49" i="1"/>
  <c r="JJ43" i="1"/>
  <c r="JJ6" i="1"/>
  <c r="JJ5" i="1"/>
  <c r="JK4" i="1"/>
  <c r="JJ2" i="1"/>
  <c r="JJ7" i="1"/>
  <c r="JJ46" i="1"/>
  <c r="JJ8" i="1"/>
  <c r="JJ47" i="1"/>
  <c r="JJ9" i="1"/>
  <c r="JJ10" i="1"/>
  <c r="JJ11" i="1"/>
  <c r="ES10" i="1"/>
  <c r="ER10" i="1"/>
  <c r="HT9" i="1"/>
  <c r="HS9" i="1"/>
  <c r="HK33" i="1"/>
  <c r="HJ33" i="1"/>
  <c r="T62" i="1"/>
  <c r="HQ34" i="1"/>
  <c r="HP34" i="1"/>
  <c r="FK63" i="1"/>
  <c r="FM63" i="1" s="1"/>
  <c r="EU63" i="1"/>
  <c r="FB63" i="1"/>
  <c r="FD63" i="1" s="1"/>
  <c r="FQ63" i="1"/>
  <c r="FS63" i="1" s="1"/>
  <c r="FW63" i="1"/>
  <c r="FY63" i="1" s="1"/>
  <c r="EY63" i="1"/>
  <c r="FA63" i="1" s="1"/>
  <c r="FN63" i="1"/>
  <c r="FP63" i="1" s="1"/>
  <c r="FE63" i="1"/>
  <c r="FG63" i="1" s="1"/>
  <c r="EV63" i="1"/>
  <c r="EX63" i="1" s="1"/>
  <c r="FT63" i="1"/>
  <c r="FV63" i="1" s="1"/>
  <c r="FH63" i="1"/>
  <c r="FJ63" i="1" s="1"/>
  <c r="FK47" i="1"/>
  <c r="FM47" i="1" s="1"/>
  <c r="EU47" i="1"/>
  <c r="FB47" i="1"/>
  <c r="FD47" i="1" s="1"/>
  <c r="FQ47" i="1"/>
  <c r="FS47" i="1" s="1"/>
  <c r="FH47" i="1"/>
  <c r="FJ47" i="1" s="1"/>
  <c r="FW47" i="1"/>
  <c r="FY47" i="1" s="1"/>
  <c r="EY47" i="1"/>
  <c r="FA47" i="1" s="1"/>
  <c r="FN47" i="1"/>
  <c r="FP47" i="1" s="1"/>
  <c r="FE47" i="1"/>
  <c r="FG47" i="1" s="1"/>
  <c r="EV47" i="1"/>
  <c r="FT47" i="1"/>
  <c r="FV47" i="1" s="1"/>
  <c r="HK6" i="1"/>
  <c r="HJ6" i="1"/>
  <c r="AC14" i="1"/>
  <c r="JD13" i="1"/>
  <c r="IV13" i="1"/>
  <c r="JJ13" i="1"/>
  <c r="JB13" i="1"/>
  <c r="IT13" i="1"/>
  <c r="JH13" i="1"/>
  <c r="IZ13" i="1"/>
  <c r="JI13" i="1"/>
  <c r="IW13" i="1"/>
  <c r="JG13" i="1"/>
  <c r="IU13" i="1"/>
  <c r="JF13" i="1"/>
  <c r="IS13" i="1"/>
  <c r="JE13" i="1"/>
  <c r="JC13" i="1"/>
  <c r="IY13" i="1"/>
  <c r="IX13" i="1"/>
  <c r="JA13" i="1"/>
  <c r="EX59" i="1"/>
  <c r="T59" i="1"/>
  <c r="FB45" i="1"/>
  <c r="FD45" i="1" s="1"/>
  <c r="FQ45" i="1"/>
  <c r="FS45" i="1" s="1"/>
  <c r="FH45" i="1"/>
  <c r="FJ45" i="1" s="1"/>
  <c r="FN45" i="1"/>
  <c r="FP45" i="1" s="1"/>
  <c r="EV45" i="1"/>
  <c r="EX45" i="1" s="1"/>
  <c r="FK45" i="1"/>
  <c r="FM45" i="1" s="1"/>
  <c r="EU45" i="1"/>
  <c r="FW45" i="1"/>
  <c r="FY45" i="1" s="1"/>
  <c r="FE45" i="1"/>
  <c r="FG45" i="1" s="1"/>
  <c r="FT45" i="1"/>
  <c r="FV45" i="1" s="1"/>
  <c r="EY45" i="1"/>
  <c r="FA45" i="1" s="1"/>
  <c r="T63" i="1"/>
  <c r="HJ25" i="1"/>
  <c r="HK25" i="1"/>
  <c r="ER36" i="1"/>
  <c r="ES36" i="1"/>
  <c r="ES49" i="1"/>
  <c r="ER49" i="1"/>
  <c r="FW6" i="1"/>
  <c r="FY6" i="1" s="1"/>
  <c r="EY6" i="1"/>
  <c r="FA6" i="1" s="1"/>
  <c r="FN6" i="1"/>
  <c r="FP6" i="1" s="1"/>
  <c r="FE6" i="1"/>
  <c r="FG6" i="1" s="1"/>
  <c r="FT6" i="1"/>
  <c r="FV6" i="1" s="1"/>
  <c r="EV6" i="1"/>
  <c r="EX6" i="1" s="1"/>
  <c r="FK6" i="1"/>
  <c r="FM6" i="1" s="1"/>
  <c r="EU6" i="1"/>
  <c r="FB6" i="1"/>
  <c r="FD6" i="1" s="1"/>
  <c r="FQ6" i="1"/>
  <c r="FS6" i="1" s="1"/>
  <c r="FH6" i="1"/>
  <c r="FJ6" i="1" s="1"/>
  <c r="HP50" i="1"/>
  <c r="HQ50" i="1"/>
  <c r="HN63" i="1"/>
  <c r="HM63" i="1"/>
  <c r="HH12" i="1"/>
  <c r="HG12" i="1"/>
  <c r="HJ39" i="1"/>
  <c r="HK39" i="1"/>
  <c r="HH32" i="1"/>
  <c r="HG32" i="1"/>
  <c r="ES60" i="1"/>
  <c r="ER60" i="1"/>
  <c r="FQ22" i="1"/>
  <c r="FS22" i="1" s="1"/>
  <c r="FH22" i="1"/>
  <c r="FJ22" i="1" s="1"/>
  <c r="FW22" i="1"/>
  <c r="FY22" i="1" s="1"/>
  <c r="EY22" i="1"/>
  <c r="FA22" i="1" s="1"/>
  <c r="FN22" i="1"/>
  <c r="FP22" i="1" s="1"/>
  <c r="FE22" i="1"/>
  <c r="FG22" i="1" s="1"/>
  <c r="FK22" i="1"/>
  <c r="FM22" i="1" s="1"/>
  <c r="EU22" i="1"/>
  <c r="FB22" i="1"/>
  <c r="FD22" i="1" s="1"/>
  <c r="EV22" i="1"/>
  <c r="EX22" i="1" s="1"/>
  <c r="FT22" i="1"/>
  <c r="FV22" i="1" s="1"/>
  <c r="T22" i="1"/>
  <c r="HN54" i="1"/>
  <c r="HM54" i="1"/>
  <c r="HG56" i="1"/>
  <c r="HH56" i="1"/>
  <c r="HG11" i="1"/>
  <c r="HH11" i="1"/>
  <c r="FT7" i="1"/>
  <c r="FV7" i="1" s="1"/>
  <c r="EV7" i="1"/>
  <c r="EX7" i="1" s="1"/>
  <c r="FK7" i="1"/>
  <c r="FM7" i="1" s="1"/>
  <c r="EU7" i="1"/>
  <c r="FB7" i="1"/>
  <c r="FD7" i="1" s="1"/>
  <c r="FQ7" i="1"/>
  <c r="FS7" i="1" s="1"/>
  <c r="FH7" i="1"/>
  <c r="FJ7" i="1" s="1"/>
  <c r="FW7" i="1"/>
  <c r="FY7" i="1" s="1"/>
  <c r="EY7" i="1"/>
  <c r="FA7" i="1" s="1"/>
  <c r="FN7" i="1"/>
  <c r="FP7" i="1" s="1"/>
  <c r="FE7" i="1"/>
  <c r="FG7" i="1" s="1"/>
  <c r="T61" i="1"/>
  <c r="O30" i="46"/>
  <c r="O12" i="46"/>
  <c r="HP47" i="1"/>
  <c r="HQ47" i="1"/>
  <c r="ER21" i="1"/>
  <c r="ES21" i="1"/>
  <c r="T11" i="1"/>
  <c r="ER26" i="1"/>
  <c r="ES26" i="1"/>
  <c r="HH30" i="1"/>
  <c r="HG30" i="1"/>
  <c r="ER51" i="1"/>
  <c r="ES51" i="1"/>
  <c r="HK38" i="1"/>
  <c r="HJ38" i="1"/>
  <c r="HK42" i="1"/>
  <c r="HJ42" i="1"/>
  <c r="FT30" i="1"/>
  <c r="FV30" i="1" s="1"/>
  <c r="EV30" i="1"/>
  <c r="EX30" i="1" s="1"/>
  <c r="FK30" i="1"/>
  <c r="FM30" i="1" s="1"/>
  <c r="FB30" i="1"/>
  <c r="FD30" i="1" s="1"/>
  <c r="FQ30" i="1"/>
  <c r="FS30" i="1" s="1"/>
  <c r="FH30" i="1"/>
  <c r="FJ30" i="1" s="1"/>
  <c r="FW30" i="1"/>
  <c r="FY30" i="1" s="1"/>
  <c r="EY30" i="1"/>
  <c r="FA30" i="1" s="1"/>
  <c r="FN30" i="1"/>
  <c r="FP30" i="1" s="1"/>
  <c r="FE30" i="1"/>
  <c r="FG30" i="1" s="1"/>
  <c r="EU30" i="1"/>
  <c r="HP22" i="1"/>
  <c r="HQ22" i="1"/>
  <c r="HK58" i="1"/>
  <c r="HJ58" i="1"/>
  <c r="HM26" i="1"/>
  <c r="HN26" i="1"/>
  <c r="FT32" i="1"/>
  <c r="FV32" i="1" s="1"/>
  <c r="EV32" i="1"/>
  <c r="EX32" i="1" s="1"/>
  <c r="FK32" i="1"/>
  <c r="FM32" i="1" s="1"/>
  <c r="EU32" i="1"/>
  <c r="FB32" i="1"/>
  <c r="FD32" i="1" s="1"/>
  <c r="FQ32" i="1"/>
  <c r="FS32" i="1" s="1"/>
  <c r="FH32" i="1"/>
  <c r="FJ32" i="1" s="1"/>
  <c r="FW32" i="1"/>
  <c r="FY32" i="1" s="1"/>
  <c r="EY32" i="1"/>
  <c r="FA32" i="1" s="1"/>
  <c r="FN32" i="1"/>
  <c r="FP32" i="1" s="1"/>
  <c r="FE32" i="1"/>
  <c r="FG32" i="1" s="1"/>
  <c r="HH64" i="1"/>
  <c r="HG64" i="1"/>
  <c r="ES41" i="1"/>
  <c r="ER41" i="1"/>
  <c r="EX48" i="1"/>
  <c r="T48" i="1"/>
  <c r="HN53" i="1"/>
  <c r="HM53" i="1"/>
  <c r="HK35" i="1"/>
  <c r="HJ35" i="1"/>
  <c r="CH13" i="1"/>
  <c r="CU12" i="1"/>
  <c r="AB12" i="1"/>
  <c r="CQ12" i="1"/>
  <c r="CS12" i="1"/>
  <c r="T28" i="1"/>
  <c r="HM21" i="1"/>
  <c r="HN21" i="1"/>
  <c r="HN5" i="1"/>
  <c r="HM5" i="1"/>
  <c r="FH13" i="1"/>
  <c r="FJ13" i="1" s="1"/>
  <c r="FN13" i="1"/>
  <c r="FP13" i="1" s="1"/>
  <c r="FT13" i="1"/>
  <c r="FV13" i="1" s="1"/>
  <c r="EV13" i="1"/>
  <c r="FK13" i="1"/>
  <c r="FM13" i="1" s="1"/>
  <c r="EY13" i="1"/>
  <c r="FA13" i="1" s="1"/>
  <c r="FW13" i="1"/>
  <c r="FY13" i="1" s="1"/>
  <c r="EU13" i="1"/>
  <c r="FQ13" i="1"/>
  <c r="FS13" i="1" s="1"/>
  <c r="FB13" i="1"/>
  <c r="FD13" i="1" s="1"/>
  <c r="FE13" i="1"/>
  <c r="FG13" i="1" s="1"/>
  <c r="HK49" i="1"/>
  <c r="HJ49" i="1"/>
  <c r="HJ62" i="1"/>
  <c r="HK62" i="1"/>
  <c r="ES64" i="1"/>
  <c r="ER64" i="1"/>
  <c r="HN40" i="1"/>
  <c r="HM40" i="1"/>
  <c r="HN15" i="1"/>
  <c r="HM15" i="1"/>
  <c r="FW38" i="1"/>
  <c r="FY38" i="1" s="1"/>
  <c r="EY38" i="1"/>
  <c r="FA38" i="1" s="1"/>
  <c r="FK38" i="1"/>
  <c r="FM38" i="1" s="1"/>
  <c r="EU38" i="1"/>
  <c r="FT38" i="1"/>
  <c r="FV38" i="1" s="1"/>
  <c r="FH38" i="1"/>
  <c r="FJ38" i="1" s="1"/>
  <c r="FQ38" i="1"/>
  <c r="FS38" i="1" s="1"/>
  <c r="EV38" i="1"/>
  <c r="FE38" i="1"/>
  <c r="FG38" i="1" s="1"/>
  <c r="FN38" i="1"/>
  <c r="FP38" i="1" s="1"/>
  <c r="FB38" i="1"/>
  <c r="FD38" i="1" s="1"/>
  <c r="FQ20" i="1"/>
  <c r="FS20" i="1" s="1"/>
  <c r="FW20" i="1"/>
  <c r="FY20" i="1" s="1"/>
  <c r="EY20" i="1"/>
  <c r="FA20" i="1" s="1"/>
  <c r="FE20" i="1"/>
  <c r="FG20" i="1" s="1"/>
  <c r="FK20" i="1"/>
  <c r="FM20" i="1" s="1"/>
  <c r="EU20" i="1"/>
  <c r="FB20" i="1"/>
  <c r="FD20" i="1" s="1"/>
  <c r="FT20" i="1"/>
  <c r="FV20" i="1" s="1"/>
  <c r="EV20" i="1"/>
  <c r="EX20" i="1" s="1"/>
  <c r="FN20" i="1"/>
  <c r="FP20" i="1" s="1"/>
  <c r="FH20" i="1"/>
  <c r="FJ20" i="1" s="1"/>
  <c r="HG44" i="1"/>
  <c r="HH44" i="1"/>
  <c r="T54" i="1"/>
  <c r="FT31" i="1"/>
  <c r="FV31" i="1" s="1"/>
  <c r="EV31" i="1"/>
  <c r="FK31" i="1"/>
  <c r="FM31" i="1" s="1"/>
  <c r="EU31" i="1"/>
  <c r="FB31" i="1"/>
  <c r="FD31" i="1" s="1"/>
  <c r="FQ31" i="1"/>
  <c r="FS31" i="1" s="1"/>
  <c r="FH31" i="1"/>
  <c r="FJ31" i="1" s="1"/>
  <c r="FW31" i="1"/>
  <c r="FY31" i="1" s="1"/>
  <c r="EY31" i="1"/>
  <c r="FA31" i="1" s="1"/>
  <c r="FN31" i="1"/>
  <c r="FP31" i="1" s="1"/>
  <c r="FE31" i="1"/>
  <c r="FG31" i="1" s="1"/>
  <c r="ES56" i="1"/>
  <c r="ER56" i="1"/>
  <c r="HM27" i="1"/>
  <c r="HN27" i="1"/>
  <c r="ER16" i="1"/>
  <c r="ES16" i="1"/>
  <c r="HN59" i="1"/>
  <c r="HM59" i="1"/>
  <c r="ES46" i="1"/>
  <c r="ER46" i="1"/>
  <c r="AH11" i="1"/>
  <c r="DC13" i="1"/>
  <c r="DD13" i="1" s="1"/>
  <c r="DE13" i="1" s="1"/>
  <c r="HN7" i="1"/>
  <c r="HM7" i="1"/>
  <c r="HN14" i="1"/>
  <c r="HM14" i="1"/>
  <c r="ER14" i="1"/>
  <c r="ES14" i="1"/>
  <c r="HN52" i="1"/>
  <c r="HM52" i="1"/>
  <c r="HJ20" i="1"/>
  <c r="HK20" i="1"/>
  <c r="HN8" i="1"/>
  <c r="HM8" i="1"/>
  <c r="ES44" i="1"/>
  <c r="ER44" i="1"/>
  <c r="ER50" i="1"/>
  <c r="ES50" i="1"/>
  <c r="CX15" i="1"/>
  <c r="Q14" i="1"/>
  <c r="CZ14" i="1"/>
  <c r="DA14" i="1" s="1"/>
  <c r="DB14" i="1" s="1"/>
  <c r="CY14" i="1"/>
  <c r="HM36" i="1"/>
  <c r="HN36" i="1"/>
  <c r="FT34" i="1"/>
  <c r="FV34" i="1" s="1"/>
  <c r="EV34" i="1"/>
  <c r="EX34" i="1" s="1"/>
  <c r="FK34" i="1"/>
  <c r="FM34" i="1" s="1"/>
  <c r="EU34" i="1"/>
  <c r="FB34" i="1"/>
  <c r="FD34" i="1" s="1"/>
  <c r="FQ34" i="1"/>
  <c r="FS34" i="1" s="1"/>
  <c r="FW34" i="1"/>
  <c r="FY34" i="1" s="1"/>
  <c r="EY34" i="1"/>
  <c r="FA34" i="1" s="1"/>
  <c r="FN34" i="1"/>
  <c r="FP34" i="1" s="1"/>
  <c r="FH34" i="1"/>
  <c r="FJ34" i="1" s="1"/>
  <c r="FE34" i="1"/>
  <c r="FG34" i="1" s="1"/>
  <c r="HG37" i="1"/>
  <c r="HH37" i="1"/>
  <c r="T9" i="1"/>
  <c r="HK43" i="1"/>
  <c r="HJ43" i="1"/>
  <c r="BN40" i="1"/>
  <c r="BO40" i="1" s="1"/>
  <c r="BV40" i="1"/>
  <c r="HG18" i="1"/>
  <c r="HH18" i="1"/>
  <c r="T40" i="1"/>
  <c r="T24" i="1"/>
  <c r="CX59" i="1"/>
  <c r="CZ58" i="1"/>
  <c r="DA58" i="1" s="1"/>
  <c r="DB58" i="1" s="1"/>
  <c r="CY58" i="1"/>
  <c r="Q58" i="1"/>
  <c r="AQ14" i="27"/>
  <c r="AP13" i="27"/>
  <c r="HK19" i="1"/>
  <c r="HJ19" i="1"/>
  <c r="HJ57" i="1"/>
  <c r="HK57" i="1"/>
  <c r="DC57" i="1"/>
  <c r="DD57" i="1" s="1"/>
  <c r="DE57" i="1" s="1"/>
  <c r="HG60" i="1"/>
  <c r="HH60" i="1"/>
  <c r="ES42" i="1"/>
  <c r="ER42" i="1"/>
  <c r="HM16" i="1"/>
  <c r="HN16" i="1"/>
  <c r="HQ48" i="1"/>
  <c r="HP48" i="1"/>
  <c r="FT29" i="1"/>
  <c r="FV29" i="1" s="1"/>
  <c r="EV29" i="1"/>
  <c r="FB29" i="1"/>
  <c r="FD29" i="1" s="1"/>
  <c r="FQ29" i="1"/>
  <c r="FS29" i="1" s="1"/>
  <c r="FW29" i="1"/>
  <c r="FY29" i="1" s="1"/>
  <c r="EY29" i="1"/>
  <c r="FA29" i="1" s="1"/>
  <c r="FH29" i="1"/>
  <c r="FJ29" i="1" s="1"/>
  <c r="FE29" i="1"/>
  <c r="FG29" i="1" s="1"/>
  <c r="FK29" i="1"/>
  <c r="FM29" i="1" s="1"/>
  <c r="EU29" i="1"/>
  <c r="FN29" i="1"/>
  <c r="FP29" i="1" s="1"/>
  <c r="HN23" i="1"/>
  <c r="HM23" i="1"/>
  <c r="HN13" i="1"/>
  <c r="HM13" i="1"/>
  <c r="HP55" i="1"/>
  <c r="HQ55" i="1"/>
  <c r="FK5" i="1"/>
  <c r="FM5" i="1" s="1"/>
  <c r="EU5" i="1"/>
  <c r="FB5" i="1"/>
  <c r="FD5" i="1" s="1"/>
  <c r="FQ5" i="1"/>
  <c r="FS5" i="1" s="1"/>
  <c r="FH5" i="1"/>
  <c r="FJ5" i="1" s="1"/>
  <c r="FW5" i="1"/>
  <c r="FY5" i="1" s="1"/>
  <c r="EY5" i="1"/>
  <c r="FA5" i="1" s="1"/>
  <c r="FN5" i="1"/>
  <c r="FP5" i="1" s="1"/>
  <c r="FE5" i="1"/>
  <c r="FG5" i="1" s="1"/>
  <c r="FT5" i="1"/>
  <c r="FV5" i="1" s="1"/>
  <c r="EV5" i="1"/>
  <c r="EX5" i="1" s="1"/>
  <c r="HK46" i="1"/>
  <c r="HJ46" i="1"/>
  <c r="HJ61" i="1"/>
  <c r="HK61" i="1"/>
  <c r="HN17" i="1"/>
  <c r="HM17" i="1"/>
  <c r="JJ12" i="1"/>
  <c r="HG45" i="1"/>
  <c r="HH45" i="1"/>
  <c r="FN35" i="1"/>
  <c r="FP35" i="1" s="1"/>
  <c r="FE35" i="1"/>
  <c r="FG35" i="1" s="1"/>
  <c r="FT35" i="1"/>
  <c r="FV35" i="1" s="1"/>
  <c r="EV35" i="1"/>
  <c r="EX35" i="1" s="1"/>
  <c r="FK35" i="1"/>
  <c r="FM35" i="1" s="1"/>
  <c r="EU35" i="1"/>
  <c r="FB35" i="1"/>
  <c r="FD35" i="1" s="1"/>
  <c r="FQ35" i="1"/>
  <c r="FS35" i="1" s="1"/>
  <c r="FH35" i="1"/>
  <c r="FJ35" i="1" s="1"/>
  <c r="FW35" i="1"/>
  <c r="FY35" i="1" s="1"/>
  <c r="EY35" i="1"/>
  <c r="FA35" i="1" s="1"/>
  <c r="HP10" i="1"/>
  <c r="HQ10" i="1"/>
  <c r="HT29" i="1"/>
  <c r="HS29" i="1"/>
  <c r="FT53" i="1"/>
  <c r="FV53" i="1" s="1"/>
  <c r="EV53" i="1"/>
  <c r="FK53" i="1"/>
  <c r="FM53" i="1" s="1"/>
  <c r="EU53" i="1"/>
  <c r="FB53" i="1"/>
  <c r="FD53" i="1" s="1"/>
  <c r="FQ53" i="1"/>
  <c r="FS53" i="1" s="1"/>
  <c r="FH53" i="1"/>
  <c r="FJ53" i="1" s="1"/>
  <c r="FW53" i="1"/>
  <c r="FY53" i="1" s="1"/>
  <c r="EY53" i="1"/>
  <c r="FA53" i="1" s="1"/>
  <c r="FN53" i="1"/>
  <c r="FP53" i="1" s="1"/>
  <c r="FE53" i="1"/>
  <c r="FG53" i="1" s="1"/>
  <c r="T15" i="1"/>
  <c r="HT10" i="1" l="1"/>
  <c r="HS10" i="1"/>
  <c r="DC58" i="1"/>
  <c r="DD58" i="1" s="1"/>
  <c r="DE58" i="1" s="1"/>
  <c r="FN14" i="1"/>
  <c r="FP14" i="1" s="1"/>
  <c r="FE14" i="1"/>
  <c r="FG14" i="1" s="1"/>
  <c r="FT14" i="1"/>
  <c r="FV14" i="1" s="1"/>
  <c r="EV14" i="1"/>
  <c r="EX14" i="1" s="1"/>
  <c r="FB14" i="1"/>
  <c r="FD14" i="1" s="1"/>
  <c r="FH14" i="1"/>
  <c r="FJ14" i="1" s="1"/>
  <c r="FW14" i="1"/>
  <c r="FY14" i="1" s="1"/>
  <c r="FQ14" i="1"/>
  <c r="FS14" i="1" s="1"/>
  <c r="FK14" i="1"/>
  <c r="FM14" i="1" s="1"/>
  <c r="EU14" i="1"/>
  <c r="EY14" i="1"/>
  <c r="FA14" i="1" s="1"/>
  <c r="HQ59" i="1"/>
  <c r="HP59" i="1"/>
  <c r="HQ40" i="1"/>
  <c r="HP40" i="1"/>
  <c r="FQ42" i="1"/>
  <c r="FS42" i="1" s="1"/>
  <c r="FH42" i="1"/>
  <c r="FJ42" i="1" s="1"/>
  <c r="FW42" i="1"/>
  <c r="FY42" i="1" s="1"/>
  <c r="EY42" i="1"/>
  <c r="FA42" i="1" s="1"/>
  <c r="FN42" i="1"/>
  <c r="FP42" i="1" s="1"/>
  <c r="FE42" i="1"/>
  <c r="FG42" i="1" s="1"/>
  <c r="FT42" i="1"/>
  <c r="FV42" i="1" s="1"/>
  <c r="EV42" i="1"/>
  <c r="EX42" i="1" s="1"/>
  <c r="FK42" i="1"/>
  <c r="FM42" i="1" s="1"/>
  <c r="EU42" i="1"/>
  <c r="FB42" i="1"/>
  <c r="FD42" i="1" s="1"/>
  <c r="T35" i="1"/>
  <c r="EX29" i="1"/>
  <c r="T29" i="1"/>
  <c r="HK60" i="1"/>
  <c r="HJ60" i="1"/>
  <c r="T14" i="1"/>
  <c r="FT64" i="1"/>
  <c r="FV64" i="1" s="1"/>
  <c r="EV64" i="1"/>
  <c r="FQ64" i="1"/>
  <c r="FS64" i="1" s="1"/>
  <c r="FH64" i="1"/>
  <c r="FJ64" i="1" s="1"/>
  <c r="EY64" i="1"/>
  <c r="FA64" i="1" s="1"/>
  <c r="FK64" i="1"/>
  <c r="FM64" i="1" s="1"/>
  <c r="FB64" i="1"/>
  <c r="FD64" i="1" s="1"/>
  <c r="FN64" i="1"/>
  <c r="FP64" i="1" s="1"/>
  <c r="FE64" i="1"/>
  <c r="FG64" i="1" s="1"/>
  <c r="EU64" i="1"/>
  <c r="FW64" i="1"/>
  <c r="FY64" i="1" s="1"/>
  <c r="AH12" i="1"/>
  <c r="HQ53" i="1"/>
  <c r="HP53" i="1"/>
  <c r="HJ64" i="1"/>
  <c r="HK64" i="1"/>
  <c r="HM58" i="1"/>
  <c r="HN58" i="1"/>
  <c r="FB26" i="1"/>
  <c r="FD26" i="1" s="1"/>
  <c r="FH26" i="1"/>
  <c r="FJ26" i="1" s="1"/>
  <c r="FW26" i="1"/>
  <c r="FY26" i="1" s="1"/>
  <c r="EY26" i="1"/>
  <c r="FA26" i="1" s="1"/>
  <c r="FT26" i="1"/>
  <c r="FV26" i="1" s="1"/>
  <c r="EV26" i="1"/>
  <c r="FK26" i="1"/>
  <c r="FM26" i="1" s="1"/>
  <c r="EU26" i="1"/>
  <c r="FQ26" i="1"/>
  <c r="FS26" i="1" s="1"/>
  <c r="FN26" i="1"/>
  <c r="FP26" i="1" s="1"/>
  <c r="FE26" i="1"/>
  <c r="FG26" i="1" s="1"/>
  <c r="O31" i="46"/>
  <c r="T30" i="46"/>
  <c r="EX47" i="1"/>
  <c r="T47" i="1"/>
  <c r="FB10" i="1"/>
  <c r="FD10" i="1" s="1"/>
  <c r="FW10" i="1"/>
  <c r="FY10" i="1" s="1"/>
  <c r="EY10" i="1"/>
  <c r="FA10" i="1" s="1"/>
  <c r="FN10" i="1"/>
  <c r="FP10" i="1" s="1"/>
  <c r="FK10" i="1"/>
  <c r="FM10" i="1" s="1"/>
  <c r="EU10" i="1"/>
  <c r="FE10" i="1"/>
  <c r="FG10" i="1" s="1"/>
  <c r="FT10" i="1"/>
  <c r="FV10" i="1" s="1"/>
  <c r="FQ10" i="1"/>
  <c r="FS10" i="1" s="1"/>
  <c r="EV10" i="1"/>
  <c r="FH10" i="1"/>
  <c r="FJ10" i="1" s="1"/>
  <c r="HN41" i="1"/>
  <c r="HM41" i="1"/>
  <c r="HK28" i="1"/>
  <c r="HJ28" i="1"/>
  <c r="HT55" i="1"/>
  <c r="HS55" i="1"/>
  <c r="FK50" i="1"/>
  <c r="FM50" i="1" s="1"/>
  <c r="EU50" i="1"/>
  <c r="FB50" i="1"/>
  <c r="FD50" i="1" s="1"/>
  <c r="FH50" i="1"/>
  <c r="FJ50" i="1" s="1"/>
  <c r="FW50" i="1"/>
  <c r="FY50" i="1" s="1"/>
  <c r="EY50" i="1"/>
  <c r="FA50" i="1" s="1"/>
  <c r="FN50" i="1"/>
  <c r="FP50" i="1" s="1"/>
  <c r="FT50" i="1"/>
  <c r="FV50" i="1" s="1"/>
  <c r="FQ50" i="1"/>
  <c r="FS50" i="1" s="1"/>
  <c r="EV50" i="1"/>
  <c r="EX50" i="1" s="1"/>
  <c r="FE50" i="1"/>
  <c r="FG50" i="1" s="1"/>
  <c r="HN20" i="1"/>
  <c r="HM20" i="1"/>
  <c r="HN62" i="1"/>
  <c r="HM62" i="1"/>
  <c r="JK64" i="1"/>
  <c r="JK63" i="1"/>
  <c r="JK61" i="1"/>
  <c r="JK62" i="1"/>
  <c r="JK60" i="1"/>
  <c r="JK56" i="1"/>
  <c r="JK59" i="1"/>
  <c r="JK58" i="1"/>
  <c r="JK57" i="1"/>
  <c r="JK52" i="1"/>
  <c r="JK55" i="1"/>
  <c r="JK54" i="1"/>
  <c r="JK51" i="1"/>
  <c r="JK50" i="1"/>
  <c r="JK49" i="1"/>
  <c r="JK48" i="1"/>
  <c r="JK53" i="1"/>
  <c r="JK44" i="1"/>
  <c r="JK43" i="1"/>
  <c r="JK5" i="1"/>
  <c r="JK2" i="1" s="1"/>
  <c r="JL4" i="1"/>
  <c r="JK45" i="1"/>
  <c r="JK6" i="1"/>
  <c r="JK46" i="1"/>
  <c r="JK7" i="1"/>
  <c r="JK8" i="1"/>
  <c r="JK47" i="1"/>
  <c r="JK9" i="1"/>
  <c r="JK10" i="1"/>
  <c r="JK11" i="1"/>
  <c r="JK12" i="1"/>
  <c r="T17" i="1"/>
  <c r="HP17" i="1"/>
  <c r="HQ17" i="1"/>
  <c r="HT22" i="1"/>
  <c r="HS22" i="1"/>
  <c r="HN38" i="1"/>
  <c r="HM38" i="1"/>
  <c r="HK56" i="1"/>
  <c r="HJ56" i="1"/>
  <c r="EX53" i="1"/>
  <c r="T53" i="1"/>
  <c r="HN61" i="1"/>
  <c r="HM61" i="1"/>
  <c r="FH51" i="1"/>
  <c r="FJ51" i="1" s="1"/>
  <c r="FW51" i="1"/>
  <c r="FY51" i="1" s="1"/>
  <c r="EY51" i="1"/>
  <c r="FA51" i="1" s="1"/>
  <c r="FN51" i="1"/>
  <c r="FP51" i="1" s="1"/>
  <c r="FE51" i="1"/>
  <c r="FG51" i="1" s="1"/>
  <c r="FT51" i="1"/>
  <c r="FV51" i="1" s="1"/>
  <c r="EV51" i="1"/>
  <c r="EX51" i="1" s="1"/>
  <c r="FK51" i="1"/>
  <c r="FM51" i="1" s="1"/>
  <c r="EU51" i="1"/>
  <c r="FB51" i="1"/>
  <c r="FD51" i="1" s="1"/>
  <c r="FQ51" i="1"/>
  <c r="FS51" i="1" s="1"/>
  <c r="FN60" i="1"/>
  <c r="FP60" i="1" s="1"/>
  <c r="FE60" i="1"/>
  <c r="FG60" i="1" s="1"/>
  <c r="FT60" i="1"/>
  <c r="FV60" i="1" s="1"/>
  <c r="EV60" i="1"/>
  <c r="FB60" i="1"/>
  <c r="FD60" i="1" s="1"/>
  <c r="FH60" i="1"/>
  <c r="FJ60" i="1" s="1"/>
  <c r="FW60" i="1"/>
  <c r="FY60" i="1" s="1"/>
  <c r="FQ60" i="1"/>
  <c r="FS60" i="1" s="1"/>
  <c r="EY60" i="1"/>
  <c r="FA60" i="1" s="1"/>
  <c r="FK60" i="1"/>
  <c r="FM60" i="1" s="1"/>
  <c r="EU60" i="1"/>
  <c r="HJ12" i="1"/>
  <c r="HK12" i="1"/>
  <c r="T45" i="1"/>
  <c r="JK13" i="1"/>
  <c r="HN33" i="1"/>
  <c r="HM33" i="1"/>
  <c r="HK31" i="1"/>
  <c r="HJ31" i="1"/>
  <c r="T32" i="1"/>
  <c r="HQ5" i="1"/>
  <c r="HP5" i="1"/>
  <c r="HS48" i="1"/>
  <c r="HT48" i="1"/>
  <c r="AQ15" i="27"/>
  <c r="AP15" i="27" s="1"/>
  <c r="AP14" i="27"/>
  <c r="HK37" i="1"/>
  <c r="HJ37" i="1"/>
  <c r="EX38" i="1"/>
  <c r="T38" i="1"/>
  <c r="CH14" i="1"/>
  <c r="CQ13" i="1"/>
  <c r="CU13" i="1"/>
  <c r="CS13" i="1"/>
  <c r="AB13" i="1"/>
  <c r="AB27" i="1" s="1"/>
  <c r="FB21" i="1"/>
  <c r="FD21" i="1" s="1"/>
  <c r="FH21" i="1"/>
  <c r="FJ21" i="1" s="1"/>
  <c r="FW21" i="1"/>
  <c r="FY21" i="1" s="1"/>
  <c r="EY21" i="1"/>
  <c r="FA21" i="1" s="1"/>
  <c r="FN21" i="1"/>
  <c r="FP21" i="1" s="1"/>
  <c r="FT21" i="1"/>
  <c r="FV21" i="1" s="1"/>
  <c r="EV21" i="1"/>
  <c r="EX21" i="1" s="1"/>
  <c r="FK21" i="1"/>
  <c r="FM21" i="1" s="1"/>
  <c r="EU21" i="1"/>
  <c r="FQ21" i="1"/>
  <c r="FS21" i="1" s="1"/>
  <c r="FE21" i="1"/>
  <c r="FG21" i="1" s="1"/>
  <c r="HN24" i="1"/>
  <c r="HM24" i="1"/>
  <c r="HQ36" i="1"/>
  <c r="HP36" i="1"/>
  <c r="HQ14" i="1"/>
  <c r="HP14" i="1"/>
  <c r="HQ27" i="1"/>
  <c r="HP27" i="1"/>
  <c r="HK44" i="1"/>
  <c r="HJ44" i="1"/>
  <c r="HP13" i="1"/>
  <c r="HQ13" i="1"/>
  <c r="HQ16" i="1"/>
  <c r="HP16" i="1"/>
  <c r="HK18" i="1"/>
  <c r="HJ18" i="1"/>
  <c r="FN44" i="1"/>
  <c r="FP44" i="1" s="1"/>
  <c r="FE44" i="1"/>
  <c r="FG44" i="1" s="1"/>
  <c r="FT44" i="1"/>
  <c r="FV44" i="1" s="1"/>
  <c r="EV44" i="1"/>
  <c r="EX44" i="1" s="1"/>
  <c r="FB44" i="1"/>
  <c r="FD44" i="1" s="1"/>
  <c r="EY44" i="1"/>
  <c r="FA44" i="1" s="1"/>
  <c r="FK44" i="1"/>
  <c r="FM44" i="1" s="1"/>
  <c r="EU44" i="1"/>
  <c r="FH44" i="1"/>
  <c r="FJ44" i="1" s="1"/>
  <c r="FW44" i="1"/>
  <c r="FY44" i="1" s="1"/>
  <c r="FQ44" i="1"/>
  <c r="FS44" i="1" s="1"/>
  <c r="FN46" i="1"/>
  <c r="FP46" i="1" s="1"/>
  <c r="FE46" i="1"/>
  <c r="FG46" i="1" s="1"/>
  <c r="FT46" i="1"/>
  <c r="FV46" i="1" s="1"/>
  <c r="EV46" i="1"/>
  <c r="EX46" i="1" s="1"/>
  <c r="FK46" i="1"/>
  <c r="FM46" i="1" s="1"/>
  <c r="EU46" i="1"/>
  <c r="FB46" i="1"/>
  <c r="FD46" i="1" s="1"/>
  <c r="FQ46" i="1"/>
  <c r="FS46" i="1" s="1"/>
  <c r="FH46" i="1"/>
  <c r="FJ46" i="1" s="1"/>
  <c r="EY46" i="1"/>
  <c r="FA46" i="1" s="1"/>
  <c r="FW46" i="1"/>
  <c r="FY46" i="1" s="1"/>
  <c r="T20" i="1"/>
  <c r="HQ15" i="1"/>
  <c r="HP15" i="1"/>
  <c r="HM49" i="1"/>
  <c r="HN49" i="1"/>
  <c r="EX13" i="1"/>
  <c r="T13" i="1"/>
  <c r="T27" i="1" s="1"/>
  <c r="HQ21" i="1"/>
  <c r="HP21" i="1"/>
  <c r="HQ26" i="1"/>
  <c r="HP26" i="1"/>
  <c r="HP54" i="1"/>
  <c r="HQ54" i="1"/>
  <c r="HP63" i="1"/>
  <c r="HQ63" i="1"/>
  <c r="FK49" i="1"/>
  <c r="FM49" i="1" s="1"/>
  <c r="EU49" i="1"/>
  <c r="FB49" i="1"/>
  <c r="FD49" i="1" s="1"/>
  <c r="FW49" i="1"/>
  <c r="FY49" i="1" s="1"/>
  <c r="EY49" i="1"/>
  <c r="FA49" i="1" s="1"/>
  <c r="FN49" i="1"/>
  <c r="FP49" i="1" s="1"/>
  <c r="EV49" i="1"/>
  <c r="FH49" i="1"/>
  <c r="FJ49" i="1" s="1"/>
  <c r="FE49" i="1"/>
  <c r="FG49" i="1" s="1"/>
  <c r="FT49" i="1"/>
  <c r="FV49" i="1" s="1"/>
  <c r="FQ49" i="1"/>
  <c r="FS49" i="1" s="1"/>
  <c r="JJ14" i="1"/>
  <c r="JB14" i="1"/>
  <c r="IT14" i="1"/>
  <c r="JI14" i="1"/>
  <c r="JA14" i="1"/>
  <c r="IS14" i="1"/>
  <c r="JH14" i="1"/>
  <c r="IZ14" i="1"/>
  <c r="JF14" i="1"/>
  <c r="IX14" i="1"/>
  <c r="JG14" i="1"/>
  <c r="JE14" i="1"/>
  <c r="JD14" i="1"/>
  <c r="AC15" i="1"/>
  <c r="JC14" i="1"/>
  <c r="IY14" i="1"/>
  <c r="IV14" i="1"/>
  <c r="JK14" i="1"/>
  <c r="IU14" i="1"/>
  <c r="IW14" i="1"/>
  <c r="S11" i="48"/>
  <c r="B11" i="48"/>
  <c r="V11" i="48"/>
  <c r="T11" i="48" s="1"/>
  <c r="W11" i="48" s="1"/>
  <c r="F11" i="48" s="1"/>
  <c r="T42" i="1"/>
  <c r="HM43" i="1"/>
  <c r="HN43" i="1"/>
  <c r="HN57" i="1"/>
  <c r="HM57" i="1"/>
  <c r="HQ52" i="1"/>
  <c r="HP52" i="1"/>
  <c r="HN35" i="1"/>
  <c r="HM35" i="1"/>
  <c r="HK11" i="1"/>
  <c r="HJ11" i="1"/>
  <c r="HT50" i="1"/>
  <c r="HS50" i="1"/>
  <c r="FH36" i="1"/>
  <c r="FJ36" i="1" s="1"/>
  <c r="FW36" i="1"/>
  <c r="FY36" i="1" s="1"/>
  <c r="EY36" i="1"/>
  <c r="FA36" i="1" s="1"/>
  <c r="FN36" i="1"/>
  <c r="FP36" i="1" s="1"/>
  <c r="FE36" i="1"/>
  <c r="FG36" i="1" s="1"/>
  <c r="FT36" i="1"/>
  <c r="FV36" i="1" s="1"/>
  <c r="EV36" i="1"/>
  <c r="EX36" i="1" s="1"/>
  <c r="FK36" i="1"/>
  <c r="FM36" i="1" s="1"/>
  <c r="EU36" i="1"/>
  <c r="FB36" i="1"/>
  <c r="FD36" i="1" s="1"/>
  <c r="FQ36" i="1"/>
  <c r="FS36" i="1" s="1"/>
  <c r="HW9" i="1"/>
  <c r="HV9" i="1"/>
  <c r="T7" i="1"/>
  <c r="T6" i="1"/>
  <c r="T34" i="1"/>
  <c r="HK45" i="1"/>
  <c r="HJ45" i="1"/>
  <c r="DE14" i="1"/>
  <c r="DC14" i="1"/>
  <c r="DD14" i="1" s="1"/>
  <c r="HQ7" i="1"/>
  <c r="HP7" i="1"/>
  <c r="FB56" i="1"/>
  <c r="FD56" i="1" s="1"/>
  <c r="FQ56" i="1"/>
  <c r="FS56" i="1" s="1"/>
  <c r="FH56" i="1"/>
  <c r="FJ56" i="1" s="1"/>
  <c r="FW56" i="1"/>
  <c r="FY56" i="1" s="1"/>
  <c r="EY56" i="1"/>
  <c r="FA56" i="1" s="1"/>
  <c r="FN56" i="1"/>
  <c r="FP56" i="1" s="1"/>
  <c r="FE56" i="1"/>
  <c r="FG56" i="1" s="1"/>
  <c r="FT56" i="1"/>
  <c r="FV56" i="1" s="1"/>
  <c r="EV56" i="1"/>
  <c r="EX56" i="1" s="1"/>
  <c r="FK56" i="1"/>
  <c r="FM56" i="1" s="1"/>
  <c r="EU56" i="1"/>
  <c r="HK30" i="1"/>
  <c r="HJ30" i="1"/>
  <c r="HN6" i="1"/>
  <c r="HM6" i="1"/>
  <c r="HT34" i="1"/>
  <c r="HS34" i="1"/>
  <c r="HQ51" i="1"/>
  <c r="HP51" i="1"/>
  <c r="FK58" i="1"/>
  <c r="FM58" i="1" s="1"/>
  <c r="EU58" i="1"/>
  <c r="FH58" i="1"/>
  <c r="FJ58" i="1" s="1"/>
  <c r="FE58" i="1"/>
  <c r="FG58" i="1" s="1"/>
  <c r="FN58" i="1"/>
  <c r="FP58" i="1" s="1"/>
  <c r="FW58" i="1"/>
  <c r="FY58" i="1" s="1"/>
  <c r="FB58" i="1"/>
  <c r="FD58" i="1" s="1"/>
  <c r="EY58" i="1"/>
  <c r="FA58" i="1" s="1"/>
  <c r="FT58" i="1"/>
  <c r="FV58" i="1" s="1"/>
  <c r="EV58" i="1"/>
  <c r="FQ58" i="1"/>
  <c r="FS58" i="1" s="1"/>
  <c r="HM19" i="1"/>
  <c r="HN19" i="1"/>
  <c r="HW29" i="1"/>
  <c r="HV29" i="1"/>
  <c r="HN46" i="1"/>
  <c r="HM46" i="1"/>
  <c r="FW41" i="1"/>
  <c r="FY41" i="1" s="1"/>
  <c r="EY41" i="1"/>
  <c r="FA41" i="1" s="1"/>
  <c r="FN41" i="1"/>
  <c r="FP41" i="1" s="1"/>
  <c r="FE41" i="1"/>
  <c r="FG41" i="1" s="1"/>
  <c r="FT41" i="1"/>
  <c r="FV41" i="1" s="1"/>
  <c r="EV41" i="1"/>
  <c r="EX41" i="1" s="1"/>
  <c r="FK41" i="1"/>
  <c r="FM41" i="1" s="1"/>
  <c r="EU41" i="1"/>
  <c r="FB41" i="1"/>
  <c r="FD41" i="1" s="1"/>
  <c r="FQ41" i="1"/>
  <c r="FS41" i="1" s="1"/>
  <c r="FH41" i="1"/>
  <c r="FJ41" i="1" s="1"/>
  <c r="HT47" i="1"/>
  <c r="HS47" i="1"/>
  <c r="HK32" i="1"/>
  <c r="HJ32" i="1"/>
  <c r="HQ23" i="1"/>
  <c r="HP23" i="1"/>
  <c r="CX60" i="1"/>
  <c r="CZ59" i="1"/>
  <c r="DA59" i="1" s="1"/>
  <c r="DB59" i="1" s="1"/>
  <c r="CY59" i="1"/>
  <c r="Q59" i="1"/>
  <c r="Q15" i="1"/>
  <c r="CX16" i="1"/>
  <c r="CY15" i="1"/>
  <c r="CZ15" i="1"/>
  <c r="DA15" i="1" s="1"/>
  <c r="DB15" i="1" s="1"/>
  <c r="HP8" i="1"/>
  <c r="HQ8" i="1"/>
  <c r="FT16" i="1"/>
  <c r="FV16" i="1" s="1"/>
  <c r="EV16" i="1"/>
  <c r="EX16" i="1" s="1"/>
  <c r="FK16" i="1"/>
  <c r="FM16" i="1" s="1"/>
  <c r="EU16" i="1"/>
  <c r="FB16" i="1"/>
  <c r="FD16" i="1" s="1"/>
  <c r="FH16" i="1"/>
  <c r="FJ16" i="1" s="1"/>
  <c r="FE16" i="1"/>
  <c r="FG16" i="1" s="1"/>
  <c r="FQ16" i="1"/>
  <c r="FS16" i="1" s="1"/>
  <c r="EY16" i="1"/>
  <c r="FA16" i="1" s="1"/>
  <c r="FN16" i="1"/>
  <c r="FP16" i="1" s="1"/>
  <c r="FW16" i="1"/>
  <c r="FY16" i="1" s="1"/>
  <c r="EX31" i="1"/>
  <c r="T31" i="1"/>
  <c r="HN42" i="1"/>
  <c r="HM42" i="1"/>
  <c r="HN39" i="1"/>
  <c r="HM39" i="1"/>
  <c r="HN25" i="1"/>
  <c r="HM25" i="1"/>
  <c r="T5" i="1"/>
  <c r="T30" i="1"/>
  <c r="T51" i="1"/>
  <c r="HT8" i="1" l="1"/>
  <c r="HS8" i="1"/>
  <c r="HT26" i="1"/>
  <c r="HS26" i="1"/>
  <c r="T44" i="1"/>
  <c r="HT16" i="1"/>
  <c r="HS16" i="1"/>
  <c r="HQ41" i="1"/>
  <c r="HP41" i="1"/>
  <c r="HT53" i="1"/>
  <c r="HS53" i="1"/>
  <c r="HT40" i="1"/>
  <c r="HS40" i="1"/>
  <c r="HW50" i="1"/>
  <c r="HV50" i="1"/>
  <c r="HQ57" i="1"/>
  <c r="HP57" i="1"/>
  <c r="HT14" i="1"/>
  <c r="HS14" i="1"/>
  <c r="HN37" i="1"/>
  <c r="HM37" i="1"/>
  <c r="HT5" i="1"/>
  <c r="HS5" i="1"/>
  <c r="HN12" i="1"/>
  <c r="HM12" i="1"/>
  <c r="HP38" i="1"/>
  <c r="HQ38" i="1"/>
  <c r="EX60" i="1"/>
  <c r="T60" i="1"/>
  <c r="EX10" i="1"/>
  <c r="T10" i="1"/>
  <c r="HQ42" i="1"/>
  <c r="HP42" i="1"/>
  <c r="HQ46" i="1"/>
  <c r="HP46" i="1"/>
  <c r="HW34" i="1"/>
  <c r="HV34" i="1"/>
  <c r="DE15" i="1"/>
  <c r="DC15" i="1"/>
  <c r="DD15" i="1" s="1"/>
  <c r="HW47" i="1"/>
  <c r="HV47" i="1"/>
  <c r="HQ43" i="1"/>
  <c r="HP43" i="1"/>
  <c r="HT21" i="1"/>
  <c r="HS21" i="1"/>
  <c r="HT13" i="1"/>
  <c r="HS13" i="1"/>
  <c r="T16" i="1"/>
  <c r="HY29" i="1"/>
  <c r="HZ29" i="1"/>
  <c r="HQ6" i="1"/>
  <c r="HP6" i="1"/>
  <c r="HT7" i="1"/>
  <c r="HS7" i="1"/>
  <c r="HN11" i="1"/>
  <c r="HM11" i="1"/>
  <c r="HT63" i="1"/>
  <c r="HS63" i="1"/>
  <c r="HT36" i="1"/>
  <c r="HS36" i="1"/>
  <c r="HQ61" i="1"/>
  <c r="HP61" i="1"/>
  <c r="HV22" i="1"/>
  <c r="HW22" i="1"/>
  <c r="HQ62" i="1"/>
  <c r="HP62" i="1"/>
  <c r="HV55" i="1"/>
  <c r="HW55" i="1"/>
  <c r="HP58" i="1"/>
  <c r="HQ58" i="1"/>
  <c r="EX64" i="1"/>
  <c r="T64" i="1"/>
  <c r="HT59" i="1"/>
  <c r="HS59" i="1"/>
  <c r="HW10" i="1"/>
  <c r="HV10" i="1"/>
  <c r="D11" i="48"/>
  <c r="Q12" i="48"/>
  <c r="JJ15" i="1"/>
  <c r="JB15" i="1"/>
  <c r="IT15" i="1"/>
  <c r="JI15" i="1"/>
  <c r="JA15" i="1"/>
  <c r="IS15" i="1"/>
  <c r="JH15" i="1"/>
  <c r="IZ15" i="1"/>
  <c r="JF15" i="1"/>
  <c r="IX15" i="1"/>
  <c r="JD15" i="1"/>
  <c r="AC16" i="1"/>
  <c r="JC15" i="1"/>
  <c r="IY15" i="1"/>
  <c r="IW15" i="1"/>
  <c r="JL15" i="1"/>
  <c r="IV15" i="1"/>
  <c r="JG15" i="1"/>
  <c r="JE15" i="1"/>
  <c r="JK15" i="1"/>
  <c r="IU15" i="1"/>
  <c r="HT15" i="1"/>
  <c r="HS15" i="1"/>
  <c r="HQ25" i="1"/>
  <c r="HP25" i="1"/>
  <c r="CZ16" i="1"/>
  <c r="DA16" i="1" s="1"/>
  <c r="DB16" i="1" s="1"/>
  <c r="CX17" i="1"/>
  <c r="Q16" i="1"/>
  <c r="CY16" i="1"/>
  <c r="HQ19" i="1"/>
  <c r="HP19" i="1"/>
  <c r="HY9" i="1"/>
  <c r="HZ9" i="1"/>
  <c r="T21" i="1"/>
  <c r="EX49" i="1"/>
  <c r="T49" i="1"/>
  <c r="T46" i="1"/>
  <c r="AH13" i="1"/>
  <c r="AH27" i="1" s="1"/>
  <c r="HN31" i="1"/>
  <c r="HM31" i="1"/>
  <c r="JL61" i="1"/>
  <c r="JL64" i="1"/>
  <c r="JL63" i="1"/>
  <c r="JL60" i="1"/>
  <c r="JL62" i="1"/>
  <c r="JL55" i="1"/>
  <c r="JL54" i="1"/>
  <c r="JL56" i="1"/>
  <c r="JL59" i="1"/>
  <c r="JL58" i="1"/>
  <c r="JL57" i="1"/>
  <c r="JL52" i="1"/>
  <c r="JL51" i="1"/>
  <c r="JL50" i="1"/>
  <c r="JL49" i="1"/>
  <c r="JL53" i="1"/>
  <c r="JL48" i="1"/>
  <c r="JL43" i="1"/>
  <c r="JL45" i="1"/>
  <c r="JL44" i="1"/>
  <c r="JL5" i="1"/>
  <c r="JL2" i="1"/>
  <c r="JL6" i="1"/>
  <c r="JL46" i="1"/>
  <c r="JL7" i="1"/>
  <c r="JL8" i="1"/>
  <c r="JL47" i="1"/>
  <c r="JL9" i="1"/>
  <c r="JL10" i="1"/>
  <c r="JL11" i="1"/>
  <c r="JL12" i="1"/>
  <c r="JL13" i="1"/>
  <c r="T36" i="1"/>
  <c r="DE59" i="1"/>
  <c r="DC59" i="1"/>
  <c r="DD59" i="1" s="1"/>
  <c r="HN44" i="1"/>
  <c r="HM44" i="1"/>
  <c r="CU14" i="1"/>
  <c r="AB14" i="1"/>
  <c r="CQ14" i="1"/>
  <c r="CH15" i="1"/>
  <c r="CS14" i="1"/>
  <c r="HP20" i="1"/>
  <c r="HQ20" i="1"/>
  <c r="EX26" i="1"/>
  <c r="T26" i="1"/>
  <c r="HN64" i="1"/>
  <c r="HM64" i="1"/>
  <c r="EX58" i="1"/>
  <c r="T58" i="1"/>
  <c r="HN18" i="1"/>
  <c r="HM18" i="1"/>
  <c r="HQ24" i="1"/>
  <c r="HP24" i="1"/>
  <c r="HW48" i="1"/>
  <c r="HV48" i="1"/>
  <c r="HN28" i="1"/>
  <c r="HM28" i="1"/>
  <c r="HQ33" i="1"/>
  <c r="HP33" i="1"/>
  <c r="Q60" i="1"/>
  <c r="CX61" i="1"/>
  <c r="CZ60" i="1"/>
  <c r="DA60" i="1" s="1"/>
  <c r="DB60" i="1" s="1"/>
  <c r="CY60" i="1"/>
  <c r="HT23" i="1"/>
  <c r="HS23" i="1"/>
  <c r="HT51" i="1"/>
  <c r="HS51" i="1"/>
  <c r="HN30" i="1"/>
  <c r="HM30" i="1"/>
  <c r="HQ35" i="1"/>
  <c r="HP35" i="1"/>
  <c r="HT54" i="1"/>
  <c r="HS54" i="1"/>
  <c r="HT17" i="1"/>
  <c r="HS17" i="1"/>
  <c r="HQ39" i="1"/>
  <c r="HP39" i="1"/>
  <c r="T56" i="1"/>
  <c r="HP49" i="1"/>
  <c r="HQ49" i="1"/>
  <c r="HN32" i="1"/>
  <c r="HM32" i="1"/>
  <c r="HN45" i="1"/>
  <c r="HM45" i="1"/>
  <c r="HT52" i="1"/>
  <c r="HS52" i="1"/>
  <c r="JL14" i="1"/>
  <c r="HT27" i="1"/>
  <c r="HS27" i="1"/>
  <c r="HN56" i="1"/>
  <c r="HM56" i="1"/>
  <c r="O32" i="46"/>
  <c r="T31" i="46"/>
  <c r="HN60" i="1"/>
  <c r="HM60" i="1"/>
  <c r="T50" i="1"/>
  <c r="T41" i="1"/>
  <c r="HQ45" i="1" l="1"/>
  <c r="HP45" i="1"/>
  <c r="HW17" i="1"/>
  <c r="HV17" i="1"/>
  <c r="HQ28" i="1"/>
  <c r="HP28" i="1"/>
  <c r="HQ18" i="1"/>
  <c r="HP18" i="1"/>
  <c r="HT62" i="1"/>
  <c r="HS62" i="1"/>
  <c r="HQ60" i="1"/>
  <c r="HP60" i="1"/>
  <c r="HW27" i="1"/>
  <c r="HV27" i="1"/>
  <c r="HQ32" i="1"/>
  <c r="HP32" i="1"/>
  <c r="HV23" i="1"/>
  <c r="HW23" i="1"/>
  <c r="HV15" i="1"/>
  <c r="HW15" i="1"/>
  <c r="HT58" i="1"/>
  <c r="HS58" i="1"/>
  <c r="HQ11" i="1"/>
  <c r="HP11" i="1"/>
  <c r="HT42" i="1"/>
  <c r="HS42" i="1"/>
  <c r="HQ12" i="1"/>
  <c r="HP12" i="1"/>
  <c r="HT57" i="1"/>
  <c r="HS57" i="1"/>
  <c r="HT38" i="1"/>
  <c r="HS38" i="1"/>
  <c r="HS35" i="1"/>
  <c r="HT35" i="1"/>
  <c r="CU15" i="1"/>
  <c r="AB15" i="1"/>
  <c r="CS15" i="1"/>
  <c r="CQ15" i="1"/>
  <c r="CH16" i="1"/>
  <c r="HT61" i="1"/>
  <c r="HS61" i="1"/>
  <c r="HV13" i="1"/>
  <c r="HW13" i="1"/>
  <c r="HT41" i="1"/>
  <c r="HS41" i="1"/>
  <c r="IC9" i="1"/>
  <c r="IB9" i="1"/>
  <c r="HT6" i="1"/>
  <c r="HS6" i="1"/>
  <c r="HQ37" i="1"/>
  <c r="HP37" i="1"/>
  <c r="HT43" i="1"/>
  <c r="HS43" i="1"/>
  <c r="O33" i="46"/>
  <c r="T32" i="46"/>
  <c r="DC60" i="1"/>
  <c r="DD60" i="1" s="1"/>
  <c r="DE60" i="1" s="1"/>
  <c r="HT33" i="1"/>
  <c r="HS33" i="1"/>
  <c r="HT24" i="1"/>
  <c r="HS24" i="1"/>
  <c r="AH14" i="1"/>
  <c r="Q17" i="1"/>
  <c r="CX18" i="1"/>
  <c r="CY17" i="1"/>
  <c r="CZ17" i="1"/>
  <c r="DA17" i="1" s="1"/>
  <c r="DB17" i="1" s="1"/>
  <c r="JI16" i="1"/>
  <c r="JA16" i="1"/>
  <c r="IS16" i="1"/>
  <c r="JH16" i="1"/>
  <c r="IZ16" i="1"/>
  <c r="JG16" i="1"/>
  <c r="IY16" i="1"/>
  <c r="JE16" i="1"/>
  <c r="IW16" i="1"/>
  <c r="AC17" i="1"/>
  <c r="JD16" i="1"/>
  <c r="JC16" i="1"/>
  <c r="JB16" i="1"/>
  <c r="IX16" i="1"/>
  <c r="JL16" i="1"/>
  <c r="IV16" i="1"/>
  <c r="JJ16" i="1"/>
  <c r="IT16" i="1"/>
  <c r="JF16" i="1"/>
  <c r="JK16" i="1"/>
  <c r="IU16" i="1"/>
  <c r="HZ10" i="1"/>
  <c r="HY10" i="1"/>
  <c r="HZ55" i="1"/>
  <c r="HY55" i="1"/>
  <c r="HW7" i="1"/>
  <c r="HV7" i="1"/>
  <c r="HW5" i="1"/>
  <c r="HV5" i="1"/>
  <c r="HZ50" i="1"/>
  <c r="HY50" i="1"/>
  <c r="HW8" i="1"/>
  <c r="HV8" i="1"/>
  <c r="HW52" i="1"/>
  <c r="HV52" i="1"/>
  <c r="HT49" i="1"/>
  <c r="HS49" i="1"/>
  <c r="HT39" i="1"/>
  <c r="HS39" i="1"/>
  <c r="HQ30" i="1"/>
  <c r="HP30" i="1"/>
  <c r="CX62" i="1"/>
  <c r="CZ61" i="1"/>
  <c r="DA61" i="1" s="1"/>
  <c r="DB61" i="1" s="1"/>
  <c r="CY61" i="1"/>
  <c r="Q61" i="1"/>
  <c r="HQ64" i="1"/>
  <c r="HP64" i="1"/>
  <c r="DC16" i="1"/>
  <c r="DD16" i="1" s="1"/>
  <c r="DE16" i="1"/>
  <c r="HW36" i="1"/>
  <c r="HV36" i="1"/>
  <c r="HW21" i="1"/>
  <c r="HV21" i="1"/>
  <c r="HY34" i="1"/>
  <c r="HZ34" i="1"/>
  <c r="HW16" i="1"/>
  <c r="HV16" i="1"/>
  <c r="IB29" i="1"/>
  <c r="IC29" i="1"/>
  <c r="HS46" i="1"/>
  <c r="HT46" i="1"/>
  <c r="HQ56" i="1"/>
  <c r="HP56" i="1"/>
  <c r="HW51" i="1"/>
  <c r="HV51" i="1"/>
  <c r="HQ31" i="1"/>
  <c r="HP31" i="1"/>
  <c r="HW63" i="1"/>
  <c r="HV63" i="1"/>
  <c r="HV14" i="1"/>
  <c r="HW14" i="1"/>
  <c r="HV59" i="1"/>
  <c r="HW59" i="1"/>
  <c r="HW40" i="1"/>
  <c r="HV40" i="1"/>
  <c r="HT20" i="1"/>
  <c r="HS20" i="1"/>
  <c r="HQ44" i="1"/>
  <c r="HP44" i="1"/>
  <c r="HT25" i="1"/>
  <c r="HS25" i="1"/>
  <c r="B12" i="48"/>
  <c r="V12" i="48"/>
  <c r="T12" i="48"/>
  <c r="W12" i="48" s="1"/>
  <c r="F12" i="48" s="1"/>
  <c r="S12" i="48"/>
  <c r="HZ22" i="1"/>
  <c r="HY22" i="1"/>
  <c r="HV54" i="1"/>
  <c r="HW54" i="1"/>
  <c r="HZ48" i="1"/>
  <c r="HY48" i="1"/>
  <c r="HT19" i="1"/>
  <c r="HS19" i="1"/>
  <c r="HZ47" i="1"/>
  <c r="HY47" i="1"/>
  <c r="HW53" i="1"/>
  <c r="HV53" i="1"/>
  <c r="HW26" i="1"/>
  <c r="HV26" i="1"/>
  <c r="HS64" i="1" l="1"/>
  <c r="HT64" i="1"/>
  <c r="HZ52" i="1"/>
  <c r="HY52" i="1"/>
  <c r="IC47" i="1"/>
  <c r="IB47" i="1"/>
  <c r="HW25" i="1"/>
  <c r="HV25" i="1"/>
  <c r="HZ63" i="1"/>
  <c r="HY63" i="1"/>
  <c r="HZ8" i="1"/>
  <c r="HY8" i="1"/>
  <c r="HY26" i="1"/>
  <c r="HZ26" i="1"/>
  <c r="HW19" i="1"/>
  <c r="HV19" i="1"/>
  <c r="IC22" i="1"/>
  <c r="IB22" i="1"/>
  <c r="HS44" i="1"/>
  <c r="HT44" i="1"/>
  <c r="HT31" i="1"/>
  <c r="HS31" i="1"/>
  <c r="HW46" i="1"/>
  <c r="HV46" i="1"/>
  <c r="HY16" i="1"/>
  <c r="HZ16" i="1"/>
  <c r="IC50" i="1"/>
  <c r="IB50" i="1"/>
  <c r="DE17" i="1"/>
  <c r="DC17" i="1"/>
  <c r="DD17" i="1" s="1"/>
  <c r="HW41" i="1"/>
  <c r="HV41" i="1"/>
  <c r="HW57" i="1"/>
  <c r="HV57" i="1"/>
  <c r="HZ23" i="1"/>
  <c r="HY23" i="1"/>
  <c r="HY40" i="1"/>
  <c r="HZ40" i="1"/>
  <c r="O34" i="46"/>
  <c r="T33" i="46"/>
  <c r="HT56" i="1"/>
  <c r="HS56" i="1"/>
  <c r="D12" i="48"/>
  <c r="Q13" i="48"/>
  <c r="IB34" i="1"/>
  <c r="IC34" i="1"/>
  <c r="DC61" i="1"/>
  <c r="DD61" i="1" s="1"/>
  <c r="DE61" i="1" s="1"/>
  <c r="HW49" i="1"/>
  <c r="HV49" i="1"/>
  <c r="HV33" i="1"/>
  <c r="HW33" i="1"/>
  <c r="HT37" i="1"/>
  <c r="HS37" i="1"/>
  <c r="HZ13" i="1"/>
  <c r="HY13" i="1"/>
  <c r="HW58" i="1"/>
  <c r="HV58" i="1"/>
  <c r="HY27" i="1"/>
  <c r="HZ27" i="1"/>
  <c r="HS18" i="1"/>
  <c r="HT18" i="1"/>
  <c r="HY21" i="1"/>
  <c r="HZ21" i="1"/>
  <c r="HT30" i="1"/>
  <c r="HS30" i="1"/>
  <c r="HY7" i="1"/>
  <c r="HZ7" i="1"/>
  <c r="HW6" i="1"/>
  <c r="HV6" i="1"/>
  <c r="HY53" i="1"/>
  <c r="HZ53" i="1"/>
  <c r="IC48" i="1"/>
  <c r="IB48" i="1"/>
  <c r="HV20" i="1"/>
  <c r="HW20" i="1"/>
  <c r="CZ62" i="1"/>
  <c r="DA62" i="1" s="1"/>
  <c r="DB62" i="1" s="1"/>
  <c r="CX63" i="1"/>
  <c r="CY62" i="1"/>
  <c r="Q62" i="1"/>
  <c r="HZ5" i="1"/>
  <c r="HY5" i="1"/>
  <c r="IB10" i="1"/>
  <c r="IC10" i="1"/>
  <c r="Q18" i="1"/>
  <c r="CZ18" i="1"/>
  <c r="DA18" i="1" s="1"/>
  <c r="DB18" i="1" s="1"/>
  <c r="CX19" i="1"/>
  <c r="CY18" i="1"/>
  <c r="HZ15" i="1"/>
  <c r="HY15" i="1"/>
  <c r="HZ54" i="1"/>
  <c r="HY54" i="1"/>
  <c r="HZ14" i="1"/>
  <c r="HY14" i="1"/>
  <c r="HZ51" i="1"/>
  <c r="HY51" i="1"/>
  <c r="IE29" i="1"/>
  <c r="IF29" i="1"/>
  <c r="HW35" i="1"/>
  <c r="HV35" i="1"/>
  <c r="HS12" i="1"/>
  <c r="HT12" i="1"/>
  <c r="HT28" i="1"/>
  <c r="HS28" i="1"/>
  <c r="HS60" i="1"/>
  <c r="HT60" i="1"/>
  <c r="HV61" i="1"/>
  <c r="HW61" i="1"/>
  <c r="HV42" i="1"/>
  <c r="HW42" i="1"/>
  <c r="HZ17" i="1"/>
  <c r="HY17" i="1"/>
  <c r="HV39" i="1"/>
  <c r="HW39" i="1"/>
  <c r="JJ17" i="1"/>
  <c r="JB17" i="1"/>
  <c r="IT17" i="1"/>
  <c r="JH17" i="1"/>
  <c r="IZ17" i="1"/>
  <c r="JG17" i="1"/>
  <c r="IY17" i="1"/>
  <c r="JF17" i="1"/>
  <c r="IX17" i="1"/>
  <c r="AC18" i="1"/>
  <c r="JL17" i="1"/>
  <c r="JD17" i="1"/>
  <c r="IV17" i="1"/>
  <c r="JK17" i="1"/>
  <c r="JC17" i="1"/>
  <c r="IU17" i="1"/>
  <c r="JI17" i="1"/>
  <c r="JE17" i="1"/>
  <c r="JA17" i="1"/>
  <c r="IW17" i="1"/>
  <c r="IS17" i="1"/>
  <c r="IF9" i="1"/>
  <c r="IE9" i="1"/>
  <c r="CS16" i="1"/>
  <c r="CH17" i="1"/>
  <c r="CU16" i="1"/>
  <c r="AB16" i="1"/>
  <c r="CQ16" i="1"/>
  <c r="HW38" i="1"/>
  <c r="HV38" i="1"/>
  <c r="HZ59" i="1"/>
  <c r="HY59" i="1"/>
  <c r="HZ36" i="1"/>
  <c r="HY36" i="1"/>
  <c r="IB55" i="1"/>
  <c r="IC55" i="1"/>
  <c r="HV24" i="1"/>
  <c r="HW24" i="1"/>
  <c r="HW43" i="1"/>
  <c r="HV43" i="1"/>
  <c r="AH15" i="1"/>
  <c r="HS11" i="1"/>
  <c r="HT11" i="1"/>
  <c r="HT32" i="1"/>
  <c r="HS32" i="1"/>
  <c r="HW62" i="1"/>
  <c r="HV62" i="1"/>
  <c r="HS45" i="1"/>
  <c r="HT45" i="1"/>
  <c r="IF55" i="1" l="1"/>
  <c r="IE55" i="1"/>
  <c r="II29" i="1"/>
  <c r="IH29" i="1"/>
  <c r="HW18" i="1"/>
  <c r="HV18" i="1"/>
  <c r="HZ46" i="1"/>
  <c r="HY46" i="1"/>
  <c r="HV11" i="1"/>
  <c r="HW11" i="1"/>
  <c r="HZ38" i="1"/>
  <c r="HY38" i="1"/>
  <c r="IB13" i="1"/>
  <c r="IC13" i="1"/>
  <c r="HW28" i="1"/>
  <c r="HV28" i="1"/>
  <c r="IC53" i="1"/>
  <c r="IB53" i="1"/>
  <c r="HW30" i="1"/>
  <c r="HV30" i="1"/>
  <c r="HW37" i="1"/>
  <c r="HV37" i="1"/>
  <c r="IF34" i="1"/>
  <c r="IE34" i="1"/>
  <c r="O35" i="46"/>
  <c r="O36" i="46" s="1"/>
  <c r="O37" i="46" s="1"/>
  <c r="O38" i="46" s="1"/>
  <c r="O39" i="46" s="1"/>
  <c r="O40" i="46" s="1"/>
  <c r="T34" i="46"/>
  <c r="T42" i="46" s="1"/>
  <c r="HZ57" i="1"/>
  <c r="HY57" i="1"/>
  <c r="IF50" i="1"/>
  <c r="IE50" i="1"/>
  <c r="HW31" i="1"/>
  <c r="HV31" i="1"/>
  <c r="HW64" i="1"/>
  <c r="HV64" i="1"/>
  <c r="HW60" i="1"/>
  <c r="HV60" i="1"/>
  <c r="IC5" i="1"/>
  <c r="IB5" i="1"/>
  <c r="CY63" i="1"/>
  <c r="CX64" i="1"/>
  <c r="Q63" i="1"/>
  <c r="CZ63" i="1"/>
  <c r="DA63" i="1" s="1"/>
  <c r="DB63" i="1" s="1"/>
  <c r="HY33" i="1"/>
  <c r="HZ33" i="1"/>
  <c r="IC40" i="1"/>
  <c r="IB40" i="1"/>
  <c r="IC26" i="1"/>
  <c r="IB26" i="1"/>
  <c r="HY43" i="1"/>
  <c r="HZ43" i="1"/>
  <c r="IC21" i="1"/>
  <c r="IB21" i="1"/>
  <c r="IC16" i="1"/>
  <c r="IB16" i="1"/>
  <c r="HW44" i="1"/>
  <c r="HV44" i="1"/>
  <c r="HY25" i="1"/>
  <c r="HZ25" i="1"/>
  <c r="HZ24" i="1"/>
  <c r="HY24" i="1"/>
  <c r="IC59" i="1"/>
  <c r="IB59" i="1"/>
  <c r="HZ61" i="1"/>
  <c r="HY61" i="1"/>
  <c r="IC15" i="1"/>
  <c r="IB15" i="1"/>
  <c r="HZ20" i="1"/>
  <c r="HY20" i="1"/>
  <c r="HZ6" i="1"/>
  <c r="HY6" i="1"/>
  <c r="HY58" i="1"/>
  <c r="HZ58" i="1"/>
  <c r="B13" i="48"/>
  <c r="V13" i="48"/>
  <c r="T13" i="48" s="1"/>
  <c r="W13" i="48" s="1"/>
  <c r="F13" i="48" s="1"/>
  <c r="S13" i="48"/>
  <c r="HZ41" i="1"/>
  <c r="HY41" i="1"/>
  <c r="IC7" i="1"/>
  <c r="IB7" i="1"/>
  <c r="IC36" i="1"/>
  <c r="IB36" i="1"/>
  <c r="JI18" i="1"/>
  <c r="JA18" i="1"/>
  <c r="IS18" i="1"/>
  <c r="JG18" i="1"/>
  <c r="IY18" i="1"/>
  <c r="JF18" i="1"/>
  <c r="IX18" i="1"/>
  <c r="JE18" i="1"/>
  <c r="IW18" i="1"/>
  <c r="JK18" i="1"/>
  <c r="JC18" i="1"/>
  <c r="IU18" i="1"/>
  <c r="JJ18" i="1"/>
  <c r="JB18" i="1"/>
  <c r="IT18" i="1"/>
  <c r="JH18" i="1"/>
  <c r="JD18" i="1"/>
  <c r="IZ18" i="1"/>
  <c r="IV18" i="1"/>
  <c r="AC19" i="1"/>
  <c r="JL18" i="1"/>
  <c r="HZ42" i="1"/>
  <c r="HY42" i="1"/>
  <c r="HV12" i="1"/>
  <c r="HW12" i="1"/>
  <c r="IC51" i="1"/>
  <c r="IB51" i="1"/>
  <c r="IE10" i="1"/>
  <c r="IF10" i="1"/>
  <c r="HZ62" i="1"/>
  <c r="HY62" i="1"/>
  <c r="CU17" i="1"/>
  <c r="AB17" i="1"/>
  <c r="CS17" i="1"/>
  <c r="CQ17" i="1"/>
  <c r="AH17" i="1" s="1"/>
  <c r="CH18" i="1"/>
  <c r="DC62" i="1"/>
  <c r="DD62" i="1" s="1"/>
  <c r="DE62" i="1" s="1"/>
  <c r="HW32" i="1"/>
  <c r="HV32" i="1"/>
  <c r="HZ39" i="1"/>
  <c r="HY39" i="1"/>
  <c r="HZ35" i="1"/>
  <c r="HY35" i="1"/>
  <c r="IB14" i="1"/>
  <c r="IC14" i="1"/>
  <c r="HZ49" i="1"/>
  <c r="HY49" i="1"/>
  <c r="IB23" i="1"/>
  <c r="IC23" i="1"/>
  <c r="IC8" i="1"/>
  <c r="IB8" i="1"/>
  <c r="IF47" i="1"/>
  <c r="IE47" i="1"/>
  <c r="II9" i="1"/>
  <c r="IH9" i="1"/>
  <c r="IF22" i="1"/>
  <c r="IE22" i="1"/>
  <c r="Q19" i="1"/>
  <c r="CZ19" i="1"/>
  <c r="DA19" i="1" s="1"/>
  <c r="DB19" i="1" s="1"/>
  <c r="CY19" i="1"/>
  <c r="CX20" i="1"/>
  <c r="IF48" i="1"/>
  <c r="IE48" i="1"/>
  <c r="HW56" i="1"/>
  <c r="HV56" i="1"/>
  <c r="IB52" i="1"/>
  <c r="IC52" i="1"/>
  <c r="HW45" i="1"/>
  <c r="HV45" i="1"/>
  <c r="AH16" i="1"/>
  <c r="IB17" i="1"/>
  <c r="IC17" i="1"/>
  <c r="IB54" i="1"/>
  <c r="IC54" i="1"/>
  <c r="DC18" i="1"/>
  <c r="DD18" i="1" s="1"/>
  <c r="DE18" i="1" s="1"/>
  <c r="IC27" i="1"/>
  <c r="IB27" i="1"/>
  <c r="HY19" i="1"/>
  <c r="HZ19" i="1"/>
  <c r="IB63" i="1"/>
  <c r="IC63" i="1"/>
  <c r="HZ45" i="1" l="1"/>
  <c r="HY45" i="1"/>
  <c r="II22" i="1"/>
  <c r="IH22" i="1"/>
  <c r="IE26" i="1"/>
  <c r="IF26" i="1"/>
  <c r="HY31" i="1"/>
  <c r="HZ31" i="1"/>
  <c r="II34" i="1"/>
  <c r="IH34" i="1"/>
  <c r="HZ11" i="1"/>
  <c r="HY11" i="1"/>
  <c r="D13" i="48"/>
  <c r="Q14" i="48"/>
  <c r="IF17" i="1"/>
  <c r="IE17" i="1"/>
  <c r="DC19" i="1"/>
  <c r="DD19" i="1" s="1"/>
  <c r="DE19" i="1"/>
  <c r="IK9" i="1"/>
  <c r="IL9" i="1"/>
  <c r="IC49" i="1"/>
  <c r="IB49" i="1"/>
  <c r="IC35" i="1"/>
  <c r="IB35" i="1"/>
  <c r="CQ18" i="1"/>
  <c r="AH18" i="1" s="1"/>
  <c r="CU18" i="1"/>
  <c r="AB18" i="1"/>
  <c r="CS18" i="1"/>
  <c r="CH19" i="1"/>
  <c r="II10" i="1"/>
  <c r="IH10" i="1"/>
  <c r="IC42" i="1"/>
  <c r="IB42" i="1"/>
  <c r="IF36" i="1"/>
  <c r="IE36" i="1"/>
  <c r="IC33" i="1"/>
  <c r="IB33" i="1"/>
  <c r="HZ37" i="1"/>
  <c r="HY37" i="1"/>
  <c r="IF13" i="1"/>
  <c r="IE13" i="1"/>
  <c r="IC57" i="1"/>
  <c r="IB57" i="1"/>
  <c r="IE21" i="1"/>
  <c r="IF21" i="1"/>
  <c r="HZ60" i="1"/>
  <c r="HY60" i="1"/>
  <c r="IC46" i="1"/>
  <c r="IB46" i="1"/>
  <c r="IC39" i="1"/>
  <c r="IB39" i="1"/>
  <c r="IF15" i="1"/>
  <c r="IE15" i="1"/>
  <c r="DC63" i="1"/>
  <c r="DD63" i="1" s="1"/>
  <c r="DE63" i="1" s="1"/>
  <c r="HY30" i="1"/>
  <c r="HZ30" i="1"/>
  <c r="HZ56" i="1"/>
  <c r="HY56" i="1"/>
  <c r="IF51" i="1"/>
  <c r="IE51" i="1"/>
  <c r="HY64" i="1"/>
  <c r="HZ64" i="1"/>
  <c r="IB24" i="1"/>
  <c r="IC24" i="1"/>
  <c r="IC19" i="1"/>
  <c r="IB19" i="1"/>
  <c r="II47" i="1"/>
  <c r="IH47" i="1"/>
  <c r="JG19" i="1"/>
  <c r="IY19" i="1"/>
  <c r="JI19" i="1"/>
  <c r="JA19" i="1"/>
  <c r="IS19" i="1"/>
  <c r="JH19" i="1"/>
  <c r="JJ19" i="1"/>
  <c r="IW19" i="1"/>
  <c r="JE19" i="1"/>
  <c r="IU19" i="1"/>
  <c r="JD19" i="1"/>
  <c r="IT19" i="1"/>
  <c r="JC19" i="1"/>
  <c r="AC20" i="1"/>
  <c r="JL19" i="1"/>
  <c r="IZ19" i="1"/>
  <c r="JK19" i="1"/>
  <c r="IX19" i="1"/>
  <c r="JB19" i="1"/>
  <c r="IV19" i="1"/>
  <c r="JF19" i="1"/>
  <c r="IF7" i="1"/>
  <c r="IE7" i="1"/>
  <c r="IC58" i="1"/>
  <c r="IB58" i="1"/>
  <c r="IB25" i="1"/>
  <c r="IC25" i="1"/>
  <c r="IC43" i="1"/>
  <c r="IB43" i="1"/>
  <c r="T45" i="46"/>
  <c r="U42" i="46"/>
  <c r="U45" i="46" s="1"/>
  <c r="V45" i="46" s="1"/>
  <c r="IH55" i="1"/>
  <c r="II55" i="1"/>
  <c r="IF54" i="1"/>
  <c r="IE54" i="1"/>
  <c r="IF8" i="1"/>
  <c r="IE8" i="1"/>
  <c r="IF14" i="1"/>
  <c r="IE14" i="1"/>
  <c r="IC61" i="1"/>
  <c r="IB61" i="1"/>
  <c r="CZ64" i="1"/>
  <c r="DA64" i="1" s="1"/>
  <c r="DB64" i="1" s="1"/>
  <c r="CY64" i="1"/>
  <c r="Q64" i="1"/>
  <c r="IF53" i="1"/>
  <c r="IE53" i="1"/>
  <c r="IB38" i="1"/>
  <c r="IC38" i="1"/>
  <c r="HY18" i="1"/>
  <c r="HZ18" i="1"/>
  <c r="HZ12" i="1"/>
  <c r="HY12" i="1"/>
  <c r="IB6" i="1"/>
  <c r="IC6" i="1"/>
  <c r="II48" i="1"/>
  <c r="IH48" i="1"/>
  <c r="IF23" i="1"/>
  <c r="IE23" i="1"/>
  <c r="HY32" i="1"/>
  <c r="HZ32" i="1"/>
  <c r="IB41" i="1"/>
  <c r="IC41" i="1"/>
  <c r="HZ44" i="1"/>
  <c r="HY44" i="1"/>
  <c r="Q20" i="1"/>
  <c r="CY20" i="1"/>
  <c r="CX21" i="1"/>
  <c r="CZ20" i="1"/>
  <c r="DA20" i="1" s="1"/>
  <c r="DB20" i="1" s="1"/>
  <c r="IF63" i="1"/>
  <c r="IE63" i="1"/>
  <c r="IE27" i="1"/>
  <c r="IF27" i="1"/>
  <c r="IF52" i="1"/>
  <c r="IE52" i="1"/>
  <c r="IC62" i="1"/>
  <c r="IB62" i="1"/>
  <c r="IB20" i="1"/>
  <c r="IC20" i="1"/>
  <c r="IF59" i="1"/>
  <c r="IE59" i="1"/>
  <c r="IF16" i="1"/>
  <c r="IE16" i="1"/>
  <c r="IF40" i="1"/>
  <c r="IE40" i="1"/>
  <c r="IE5" i="1"/>
  <c r="IF5" i="1"/>
  <c r="II50" i="1"/>
  <c r="IH50" i="1"/>
  <c r="HY28" i="1"/>
  <c r="HZ28" i="1"/>
  <c r="IL29" i="1"/>
  <c r="IK29" i="1"/>
  <c r="IC12" i="1" l="1"/>
  <c r="IB12" i="1"/>
  <c r="IE62" i="1"/>
  <c r="IF62" i="1"/>
  <c r="IC44" i="1"/>
  <c r="IB44" i="1"/>
  <c r="II23" i="1"/>
  <c r="IH23" i="1"/>
  <c r="IF58" i="1"/>
  <c r="IE58" i="1"/>
  <c r="IC56" i="1"/>
  <c r="IB56" i="1"/>
  <c r="IF35" i="1"/>
  <c r="IE35" i="1"/>
  <c r="IL22" i="1"/>
  <c r="IK22" i="1"/>
  <c r="IK50" i="1"/>
  <c r="IL50" i="1"/>
  <c r="II16" i="1"/>
  <c r="IH16" i="1"/>
  <c r="II63" i="1"/>
  <c r="IH63" i="1"/>
  <c r="IC18" i="1"/>
  <c r="IB18" i="1"/>
  <c r="DC64" i="1"/>
  <c r="DD64" i="1" s="1"/>
  <c r="DE64" i="1"/>
  <c r="II8" i="1"/>
  <c r="IH8" i="1"/>
  <c r="IB64" i="1"/>
  <c r="IC64" i="1"/>
  <c r="IH15" i="1"/>
  <c r="II15" i="1"/>
  <c r="II21" i="1"/>
  <c r="IH21" i="1"/>
  <c r="IC37" i="1"/>
  <c r="IB37" i="1"/>
  <c r="IL10" i="1"/>
  <c r="IN10" i="1" s="1"/>
  <c r="IK10" i="1"/>
  <c r="IH17" i="1"/>
  <c r="II17" i="1"/>
  <c r="IL34" i="1"/>
  <c r="IK34" i="1"/>
  <c r="IH14" i="1"/>
  <c r="II14" i="1"/>
  <c r="IF24" i="1"/>
  <c r="IE24" i="1"/>
  <c r="IC45" i="1"/>
  <c r="IB45" i="1"/>
  <c r="IN29" i="1"/>
  <c r="W29" i="1"/>
  <c r="IH59" i="1"/>
  <c r="II59" i="1"/>
  <c r="II52" i="1"/>
  <c r="IH52" i="1"/>
  <c r="Q21" i="1"/>
  <c r="CZ21" i="1"/>
  <c r="DA21" i="1" s="1"/>
  <c r="DB21" i="1" s="1"/>
  <c r="CX22" i="1"/>
  <c r="CY21" i="1"/>
  <c r="IF38" i="1"/>
  <c r="IE38" i="1"/>
  <c r="IF61" i="1"/>
  <c r="IE61" i="1"/>
  <c r="IH54" i="1"/>
  <c r="II54" i="1"/>
  <c r="IF43" i="1"/>
  <c r="IE43" i="1"/>
  <c r="IC30" i="1"/>
  <c r="IB30" i="1"/>
  <c r="IF39" i="1"/>
  <c r="IE39" i="1"/>
  <c r="IF33" i="1"/>
  <c r="IE33" i="1"/>
  <c r="IF49" i="1"/>
  <c r="IE49" i="1"/>
  <c r="IC31" i="1"/>
  <c r="IB31" i="1"/>
  <c r="II53" i="1"/>
  <c r="IH53" i="1"/>
  <c r="DE20" i="1"/>
  <c r="DC20" i="1"/>
  <c r="DD20" i="1" s="1"/>
  <c r="IL48" i="1"/>
  <c r="IN48" i="1" s="1"/>
  <c r="IK48" i="1"/>
  <c r="IL47" i="1"/>
  <c r="IN47" i="1" s="1"/>
  <c r="IK47" i="1"/>
  <c r="B14" i="48"/>
  <c r="V14" i="48"/>
  <c r="T14" i="48" s="1"/>
  <c r="W14" i="48" s="1"/>
  <c r="F14" i="48" s="1"/>
  <c r="S14" i="48"/>
  <c r="IC32" i="1"/>
  <c r="IB32" i="1"/>
  <c r="IF6" i="1"/>
  <c r="IE6" i="1"/>
  <c r="IE25" i="1"/>
  <c r="IF25" i="1"/>
  <c r="IE19" i="1"/>
  <c r="IF19" i="1"/>
  <c r="IN9" i="1"/>
  <c r="W9" i="1"/>
  <c r="II5" i="1"/>
  <c r="IH5" i="1"/>
  <c r="IF41" i="1"/>
  <c r="IE41" i="1"/>
  <c r="II7" i="1"/>
  <c r="IH7" i="1"/>
  <c r="JF20" i="1"/>
  <c r="IX20" i="1"/>
  <c r="JL20" i="1"/>
  <c r="JD20" i="1"/>
  <c r="IV20" i="1"/>
  <c r="AC21" i="1"/>
  <c r="JJ20" i="1"/>
  <c r="JB20" i="1"/>
  <c r="IT20" i="1"/>
  <c r="JH20" i="1"/>
  <c r="IZ20" i="1"/>
  <c r="JG20" i="1"/>
  <c r="IY20" i="1"/>
  <c r="IU20" i="1"/>
  <c r="JK20" i="1"/>
  <c r="JI20" i="1"/>
  <c r="JE20" i="1"/>
  <c r="JA20" i="1"/>
  <c r="IW20" i="1"/>
  <c r="JC20" i="1"/>
  <c r="IS20" i="1"/>
  <c r="CS19" i="1"/>
  <c r="CH20" i="1"/>
  <c r="CQ19" i="1"/>
  <c r="AH19" i="1" s="1"/>
  <c r="CU19" i="1"/>
  <c r="AB19" i="1"/>
  <c r="IB28" i="1"/>
  <c r="IC28" i="1"/>
  <c r="IF20" i="1"/>
  <c r="IE20" i="1"/>
  <c r="II27" i="1"/>
  <c r="IH27" i="1"/>
  <c r="IL55" i="1"/>
  <c r="IN55" i="1" s="1"/>
  <c r="IK55" i="1"/>
  <c r="II51" i="1"/>
  <c r="IH51" i="1"/>
  <c r="IF46" i="1"/>
  <c r="IE46" i="1"/>
  <c r="IF57" i="1"/>
  <c r="IE57" i="1"/>
  <c r="II36" i="1"/>
  <c r="IH36" i="1"/>
  <c r="II26" i="1"/>
  <c r="IH26" i="1"/>
  <c r="II40" i="1"/>
  <c r="IH40" i="1"/>
  <c r="IB60" i="1"/>
  <c r="IC60" i="1"/>
  <c r="IH13" i="1"/>
  <c r="II13" i="1"/>
  <c r="IF42" i="1"/>
  <c r="IE42" i="1"/>
  <c r="IC11" i="1"/>
  <c r="IB11" i="1"/>
  <c r="IL13" i="1" l="1"/>
  <c r="IK13" i="1"/>
  <c r="IL40" i="1"/>
  <c r="IN40" i="1" s="1"/>
  <c r="IK40" i="1"/>
  <c r="IH57" i="1"/>
  <c r="II57" i="1"/>
  <c r="II25" i="1"/>
  <c r="IH25" i="1"/>
  <c r="II43" i="1"/>
  <c r="IH43" i="1"/>
  <c r="II24" i="1"/>
  <c r="IH24" i="1"/>
  <c r="IE56" i="1"/>
  <c r="IF56" i="1"/>
  <c r="IH62" i="1"/>
  <c r="II62" i="1"/>
  <c r="W55" i="1"/>
  <c r="IL5" i="1"/>
  <c r="IN5" i="1" s="1"/>
  <c r="IK5" i="1"/>
  <c r="II38" i="1"/>
  <c r="IH38" i="1"/>
  <c r="IL59" i="1"/>
  <c r="IN59" i="1" s="1"/>
  <c r="IK59" i="1"/>
  <c r="IL14" i="1"/>
  <c r="IK14" i="1"/>
  <c r="II42" i="1"/>
  <c r="IH42" i="1"/>
  <c r="II46" i="1"/>
  <c r="IH46" i="1"/>
  <c r="IH33" i="1"/>
  <c r="II33" i="1"/>
  <c r="IL54" i="1"/>
  <c r="IK54" i="1"/>
  <c r="IF64" i="1"/>
  <c r="IE64" i="1"/>
  <c r="IE18" i="1"/>
  <c r="IF18" i="1"/>
  <c r="IN22" i="1"/>
  <c r="W22" i="1"/>
  <c r="II58" i="1"/>
  <c r="IH58" i="1"/>
  <c r="W48" i="1"/>
  <c r="IF12" i="1"/>
  <c r="IE12" i="1"/>
  <c r="Q22" i="1"/>
  <c r="CX23" i="1"/>
  <c r="CY22" i="1"/>
  <c r="CZ22" i="1"/>
  <c r="DA22" i="1" s="1"/>
  <c r="DB22" i="1" s="1"/>
  <c r="CQ20" i="1"/>
  <c r="CH21" i="1"/>
  <c r="CU20" i="1"/>
  <c r="CS20" i="1"/>
  <c r="AB20" i="1"/>
  <c r="IL7" i="1"/>
  <c r="IK7" i="1"/>
  <c r="II6" i="1"/>
  <c r="IH6" i="1"/>
  <c r="IH39" i="1"/>
  <c r="II39" i="1"/>
  <c r="DC21" i="1"/>
  <c r="DD21" i="1" s="1"/>
  <c r="DE21" i="1" s="1"/>
  <c r="IN34" i="1"/>
  <c r="W34" i="1"/>
  <c r="IE37" i="1"/>
  <c r="IF37" i="1"/>
  <c r="IL63" i="1"/>
  <c r="IN63" i="1" s="1"/>
  <c r="IK63" i="1"/>
  <c r="W63" i="1"/>
  <c r="IL23" i="1"/>
  <c r="IN23" i="1" s="1"/>
  <c r="IK23" i="1"/>
  <c r="W23" i="1"/>
  <c r="IE60" i="1"/>
  <c r="IF60" i="1"/>
  <c r="IK51" i="1"/>
  <c r="IL51" i="1"/>
  <c r="IH20" i="1"/>
  <c r="II20" i="1"/>
  <c r="JG21" i="1"/>
  <c r="IY21" i="1"/>
  <c r="JE21" i="1"/>
  <c r="IW21" i="1"/>
  <c r="AC22" i="1"/>
  <c r="JL21" i="1"/>
  <c r="JD21" i="1"/>
  <c r="IV21" i="1"/>
  <c r="JK21" i="1"/>
  <c r="JC21" i="1"/>
  <c r="IU21" i="1"/>
  <c r="JI21" i="1"/>
  <c r="JA21" i="1"/>
  <c r="IS21" i="1"/>
  <c r="JH21" i="1"/>
  <c r="IZ21" i="1"/>
  <c r="JJ21" i="1"/>
  <c r="JF21" i="1"/>
  <c r="JB21" i="1"/>
  <c r="IT21" i="1"/>
  <c r="IX21" i="1"/>
  <c r="IF31" i="1"/>
  <c r="IE31" i="1"/>
  <c r="IL17" i="1"/>
  <c r="IN17" i="1" s="1"/>
  <c r="IK17" i="1"/>
  <c r="W17" i="1"/>
  <c r="IL8" i="1"/>
  <c r="IN8" i="1" s="1"/>
  <c r="IK8" i="1"/>
  <c r="II35" i="1"/>
  <c r="IH35" i="1"/>
  <c r="W40" i="1"/>
  <c r="IK27" i="1"/>
  <c r="IL27" i="1"/>
  <c r="IL53" i="1"/>
  <c r="IN53" i="1" s="1"/>
  <c r="IK53" i="1"/>
  <c r="IE11" i="1"/>
  <c r="IF11" i="1"/>
  <c r="IK36" i="1"/>
  <c r="IL36" i="1"/>
  <c r="II41" i="1"/>
  <c r="IH41" i="1"/>
  <c r="II19" i="1"/>
  <c r="IH19" i="1"/>
  <c r="IF32" i="1"/>
  <c r="IE32" i="1"/>
  <c r="IF30" i="1"/>
  <c r="IE30" i="1"/>
  <c r="II61" i="1"/>
  <c r="IH61" i="1"/>
  <c r="IE45" i="1"/>
  <c r="IF45" i="1"/>
  <c r="IK21" i="1"/>
  <c r="IL21" i="1"/>
  <c r="IN21" i="1" s="1"/>
  <c r="IK16" i="1"/>
  <c r="IL16" i="1"/>
  <c r="IN16" i="1" s="1"/>
  <c r="IE44" i="1"/>
  <c r="IF44" i="1"/>
  <c r="IK26" i="1"/>
  <c r="IL26" i="1"/>
  <c r="IN26" i="1" s="1"/>
  <c r="IE28" i="1"/>
  <c r="IF28" i="1"/>
  <c r="W5" i="1"/>
  <c r="D14" i="48"/>
  <c r="Q15" i="48"/>
  <c r="II49" i="1"/>
  <c r="IH49" i="1"/>
  <c r="IL52" i="1"/>
  <c r="IN52" i="1" s="1"/>
  <c r="IK52" i="1"/>
  <c r="W52" i="1"/>
  <c r="W10" i="1"/>
  <c r="IL15" i="1"/>
  <c r="IN15" i="1" s="1"/>
  <c r="IK15" i="1"/>
  <c r="IN50" i="1"/>
  <c r="W50" i="1"/>
  <c r="W47" i="1"/>
  <c r="II28" i="1" l="1"/>
  <c r="IH28" i="1"/>
  <c r="II45" i="1"/>
  <c r="IH45" i="1"/>
  <c r="IL35" i="1"/>
  <c r="IN35" i="1" s="1"/>
  <c r="IK35" i="1"/>
  <c r="W16" i="1"/>
  <c r="IL61" i="1"/>
  <c r="IN61" i="1" s="1"/>
  <c r="IK61" i="1"/>
  <c r="W61" i="1"/>
  <c r="IK19" i="1"/>
  <c r="IL19" i="1"/>
  <c r="IN19" i="1" s="1"/>
  <c r="JF22" i="1"/>
  <c r="IX22" i="1"/>
  <c r="AC23" i="1"/>
  <c r="JE22" i="1"/>
  <c r="IW22" i="1"/>
  <c r="JL22" i="1"/>
  <c r="JD22" i="1"/>
  <c r="IV22" i="1"/>
  <c r="JK22" i="1"/>
  <c r="JC22" i="1"/>
  <c r="IU22" i="1"/>
  <c r="JJ22" i="1"/>
  <c r="JB22" i="1"/>
  <c r="IT22" i="1"/>
  <c r="JH22" i="1"/>
  <c r="IZ22" i="1"/>
  <c r="JG22" i="1"/>
  <c r="IY22" i="1"/>
  <c r="JI22" i="1"/>
  <c r="JA22" i="1"/>
  <c r="IS22" i="1"/>
  <c r="IL39" i="1"/>
  <c r="IN39" i="1" s="1"/>
  <c r="IK39" i="1"/>
  <c r="II18" i="1"/>
  <c r="IH18" i="1"/>
  <c r="II56" i="1"/>
  <c r="IH56" i="1"/>
  <c r="W21" i="1"/>
  <c r="B15" i="48"/>
  <c r="V15" i="48"/>
  <c r="T15" i="48"/>
  <c r="W15" i="48" s="1"/>
  <c r="F15" i="48" s="1"/>
  <c r="S15" i="48"/>
  <c r="IL41" i="1"/>
  <c r="IK41" i="1"/>
  <c r="II30" i="1"/>
  <c r="IH30" i="1"/>
  <c r="II44" i="1"/>
  <c r="IH44" i="1"/>
  <c r="IK49" i="1"/>
  <c r="IL49" i="1"/>
  <c r="IN49" i="1" s="1"/>
  <c r="IN27" i="1"/>
  <c r="W27" i="1"/>
  <c r="II60" i="1"/>
  <c r="IH60" i="1"/>
  <c r="II37" i="1"/>
  <c r="IH37" i="1"/>
  <c r="IH12" i="1"/>
  <c r="II12" i="1"/>
  <c r="IL25" i="1"/>
  <c r="IN25" i="1" s="1"/>
  <c r="IK25" i="1"/>
  <c r="W26" i="1"/>
  <c r="CH22" i="1"/>
  <c r="AB21" i="1"/>
  <c r="CS21" i="1"/>
  <c r="CQ21" i="1"/>
  <c r="CU21" i="1"/>
  <c r="IL46" i="1"/>
  <c r="IK46" i="1"/>
  <c r="IL38" i="1"/>
  <c r="IK38" i="1"/>
  <c r="IL57" i="1"/>
  <c r="IK57" i="1"/>
  <c r="AH20" i="1"/>
  <c r="II64" i="1"/>
  <c r="IH64" i="1"/>
  <c r="IL24" i="1"/>
  <c r="IN24" i="1" s="1"/>
  <c r="IK24" i="1"/>
  <c r="IL6" i="1"/>
  <c r="IK6" i="1"/>
  <c r="DE22" i="1"/>
  <c r="DC22" i="1"/>
  <c r="DD22" i="1" s="1"/>
  <c r="IL42" i="1"/>
  <c r="IK42" i="1"/>
  <c r="W59" i="1"/>
  <c r="II11" i="1"/>
  <c r="IH11" i="1"/>
  <c r="IL20" i="1"/>
  <c r="IK20" i="1"/>
  <c r="IK58" i="1"/>
  <c r="IL58" i="1"/>
  <c r="IN58" i="1" s="1"/>
  <c r="IN54" i="1"/>
  <c r="W54" i="1"/>
  <c r="W19" i="1"/>
  <c r="IN36" i="1"/>
  <c r="W36" i="1"/>
  <c r="II32" i="1"/>
  <c r="IH32" i="1"/>
  <c r="CY23" i="1"/>
  <c r="CX24" i="1"/>
  <c r="Q23" i="1"/>
  <c r="CZ23" i="1"/>
  <c r="DA23" i="1" s="1"/>
  <c r="DB23" i="1" s="1"/>
  <c r="IL33" i="1"/>
  <c r="IN33" i="1" s="1"/>
  <c r="IK33" i="1"/>
  <c r="W33" i="1"/>
  <c r="IN14" i="1"/>
  <c r="W14" i="1"/>
  <c r="IL62" i="1"/>
  <c r="IK62" i="1"/>
  <c r="IK43" i="1"/>
  <c r="IL43" i="1"/>
  <c r="W53" i="1"/>
  <c r="IN7" i="1"/>
  <c r="W7" i="1"/>
  <c r="W15" i="1"/>
  <c r="W49" i="1"/>
  <c r="W8" i="1"/>
  <c r="II31" i="1"/>
  <c r="IH31" i="1"/>
  <c r="IN51" i="1"/>
  <c r="W51" i="1"/>
  <c r="W39" i="1"/>
  <c r="W25" i="1"/>
  <c r="IN13" i="1"/>
  <c r="W13" i="1"/>
  <c r="IL31" i="1" l="1"/>
  <c r="IN31" i="1" s="1"/>
  <c r="IK31" i="1"/>
  <c r="W31" i="1"/>
  <c r="IN42" i="1"/>
  <c r="W42" i="1"/>
  <c r="IN57" i="1"/>
  <c r="W57" i="1"/>
  <c r="Q16" i="48"/>
  <c r="D15" i="48"/>
  <c r="CQ22" i="1"/>
  <c r="CH23" i="1"/>
  <c r="CU22" i="1"/>
  <c r="AB22" i="1"/>
  <c r="CS22" i="1"/>
  <c r="IL18" i="1"/>
  <c r="IN18" i="1" s="1"/>
  <c r="IK18" i="1"/>
  <c r="IL32" i="1"/>
  <c r="IN32" i="1" s="1"/>
  <c r="IK32" i="1"/>
  <c r="IN38" i="1"/>
  <c r="W38" i="1"/>
  <c r="IL37" i="1"/>
  <c r="IK37" i="1"/>
  <c r="IN20" i="1"/>
  <c r="W20" i="1"/>
  <c r="IL44" i="1"/>
  <c r="IK44" i="1"/>
  <c r="IL45" i="1"/>
  <c r="IK45" i="1"/>
  <c r="IN43" i="1"/>
  <c r="W43" i="1"/>
  <c r="IN6" i="1"/>
  <c r="W6" i="1"/>
  <c r="IK64" i="1"/>
  <c r="IL64" i="1"/>
  <c r="IN46" i="1"/>
  <c r="W46" i="1"/>
  <c r="IK60" i="1"/>
  <c r="IL60" i="1"/>
  <c r="DC23" i="1"/>
  <c r="DD23" i="1" s="1"/>
  <c r="DE23" i="1" s="1"/>
  <c r="IL11" i="1"/>
  <c r="IN11" i="1" s="1"/>
  <c r="IK11" i="1"/>
  <c r="W11" i="1"/>
  <c r="IL30" i="1"/>
  <c r="IK30" i="1"/>
  <c r="IL28" i="1"/>
  <c r="IK28" i="1"/>
  <c r="AH21" i="1"/>
  <c r="IL12" i="1"/>
  <c r="IK12" i="1"/>
  <c r="IL56" i="1"/>
  <c r="IN56" i="1" s="1"/>
  <c r="IK56" i="1"/>
  <c r="W56" i="1"/>
  <c r="AC24" i="1"/>
  <c r="JL23" i="1"/>
  <c r="JD23" i="1"/>
  <c r="IV23" i="1"/>
  <c r="JK23" i="1"/>
  <c r="JC23" i="1"/>
  <c r="IU23" i="1"/>
  <c r="JJ23" i="1"/>
  <c r="JB23" i="1"/>
  <c r="IT23" i="1"/>
  <c r="JI23" i="1"/>
  <c r="JA23" i="1"/>
  <c r="IS23" i="1"/>
  <c r="JH23" i="1"/>
  <c r="IZ23" i="1"/>
  <c r="JF23" i="1"/>
  <c r="IX23" i="1"/>
  <c r="JE23" i="1"/>
  <c r="IW23" i="1"/>
  <c r="JG23" i="1"/>
  <c r="IY23" i="1"/>
  <c r="W58" i="1"/>
  <c r="IN62" i="1"/>
  <c r="W62" i="1"/>
  <c r="CY24" i="1"/>
  <c r="CX25" i="1"/>
  <c r="CZ24" i="1"/>
  <c r="DA24" i="1" s="1"/>
  <c r="DB24" i="1" s="1"/>
  <c r="Q24" i="1"/>
  <c r="W24" i="1"/>
  <c r="IN41" i="1"/>
  <c r="W41" i="1"/>
  <c r="W18" i="1"/>
  <c r="W35" i="1"/>
  <c r="W32" i="1"/>
  <c r="V16" i="48" l="1"/>
  <c r="S16" i="48"/>
  <c r="B16" i="48"/>
  <c r="CY25" i="1"/>
  <c r="CX26" i="1"/>
  <c r="CZ25" i="1"/>
  <c r="DA25" i="1" s="1"/>
  <c r="DB25" i="1" s="1"/>
  <c r="Q25" i="1"/>
  <c r="CX27" i="1"/>
  <c r="AC25" i="1"/>
  <c r="JL24" i="1"/>
  <c r="JD24" i="1"/>
  <c r="IV24" i="1"/>
  <c r="JK24" i="1"/>
  <c r="JC24" i="1"/>
  <c r="IU24" i="1"/>
  <c r="JJ24" i="1"/>
  <c r="JB24" i="1"/>
  <c r="IT24" i="1"/>
  <c r="JI24" i="1"/>
  <c r="JA24" i="1"/>
  <c r="IS24" i="1"/>
  <c r="JH24" i="1"/>
  <c r="IZ24" i="1"/>
  <c r="JF24" i="1"/>
  <c r="IX24" i="1"/>
  <c r="JE24" i="1"/>
  <c r="IW24" i="1"/>
  <c r="JG24" i="1"/>
  <c r="IY24" i="1"/>
  <c r="IN28" i="1"/>
  <c r="W28" i="1"/>
  <c r="IN60" i="1"/>
  <c r="W60" i="1"/>
  <c r="DC24" i="1"/>
  <c r="DD24" i="1" s="1"/>
  <c r="DE24" i="1" s="1"/>
  <c r="IN37" i="1"/>
  <c r="W37" i="1"/>
  <c r="IN45" i="1"/>
  <c r="W45" i="1"/>
  <c r="CH24" i="1"/>
  <c r="CU23" i="1"/>
  <c r="AB23" i="1"/>
  <c r="CS23" i="1"/>
  <c r="CQ23" i="1"/>
  <c r="AH23" i="1" s="1"/>
  <c r="IN64" i="1"/>
  <c r="W64" i="1"/>
  <c r="AH22" i="1"/>
  <c r="IN30" i="1"/>
  <c r="W30" i="1"/>
  <c r="IN12" i="1"/>
  <c r="W12" i="1"/>
  <c r="IN44" i="1"/>
  <c r="W44" i="1"/>
  <c r="DC25" i="1" l="1"/>
  <c r="DD25" i="1" s="1"/>
  <c r="DE25" i="1" s="1"/>
  <c r="Q26" i="1"/>
  <c r="CZ26" i="1"/>
  <c r="DA26" i="1" s="1"/>
  <c r="DB26" i="1" s="1"/>
  <c r="CY26" i="1"/>
  <c r="Q17" i="48"/>
  <c r="D16" i="48"/>
  <c r="AC27" i="1"/>
  <c r="JG25" i="1"/>
  <c r="IY25" i="1"/>
  <c r="AC26" i="1"/>
  <c r="JL25" i="1"/>
  <c r="JD25" i="1"/>
  <c r="IV25" i="1"/>
  <c r="JI25" i="1"/>
  <c r="JA25" i="1"/>
  <c r="IS25" i="1"/>
  <c r="JJ25" i="1"/>
  <c r="IW25" i="1"/>
  <c r="JH25" i="1"/>
  <c r="IU25" i="1"/>
  <c r="JF25" i="1"/>
  <c r="IT25" i="1"/>
  <c r="JE25" i="1"/>
  <c r="JC25" i="1"/>
  <c r="IZ25" i="1"/>
  <c r="JK25" i="1"/>
  <c r="IX25" i="1"/>
  <c r="JB25" i="1"/>
  <c r="T16" i="48"/>
  <c r="W16" i="48" s="1"/>
  <c r="F16" i="48" s="1"/>
  <c r="CH25" i="1"/>
  <c r="AB24" i="1"/>
  <c r="CU24" i="1"/>
  <c r="CS24" i="1"/>
  <c r="CQ24" i="1"/>
  <c r="CX28" i="1"/>
  <c r="CY27" i="1"/>
  <c r="CZ27" i="1"/>
  <c r="DA27" i="1" s="1"/>
  <c r="DB27" i="1" s="1"/>
  <c r="JI27" i="1" l="1"/>
  <c r="JA27" i="1"/>
  <c r="IS27" i="1"/>
  <c r="JG27" i="1"/>
  <c r="IY27" i="1"/>
  <c r="AC28" i="1"/>
  <c r="JH27" i="1"/>
  <c r="IW27" i="1"/>
  <c r="JF27" i="1"/>
  <c r="IV27" i="1"/>
  <c r="JE27" i="1"/>
  <c r="IU27" i="1"/>
  <c r="JD27" i="1"/>
  <c r="IT27" i="1"/>
  <c r="JC27" i="1"/>
  <c r="JK27" i="1"/>
  <c r="IZ27" i="1"/>
  <c r="JJ27" i="1"/>
  <c r="IX27" i="1"/>
  <c r="JL27" i="1"/>
  <c r="JB27" i="1"/>
  <c r="S17" i="48"/>
  <c r="V17" i="48"/>
  <c r="T17" i="48" s="1"/>
  <c r="W17" i="48" s="1"/>
  <c r="F17" i="48" s="1"/>
  <c r="B17" i="48"/>
  <c r="DC27" i="1"/>
  <c r="DD27" i="1" s="1"/>
  <c r="DE27" i="1"/>
  <c r="CH26" i="1"/>
  <c r="AB25" i="1"/>
  <c r="CH27" i="1"/>
  <c r="CU25" i="1"/>
  <c r="CS25" i="1"/>
  <c r="CQ25" i="1"/>
  <c r="DC26" i="1"/>
  <c r="DD26" i="1" s="1"/>
  <c r="DE26" i="1"/>
  <c r="Q28" i="1"/>
  <c r="CY28" i="1"/>
  <c r="CX30" i="1"/>
  <c r="CZ28" i="1"/>
  <c r="DA28" i="1" s="1"/>
  <c r="DB28" i="1" s="1"/>
  <c r="CX29" i="1"/>
  <c r="AH24" i="1"/>
  <c r="JG26" i="1"/>
  <c r="IY26" i="1"/>
  <c r="JE26" i="1"/>
  <c r="IW26" i="1"/>
  <c r="JL26" i="1"/>
  <c r="JD26" i="1"/>
  <c r="IV26" i="1"/>
  <c r="JI26" i="1"/>
  <c r="JA26" i="1"/>
  <c r="IS26" i="1"/>
  <c r="JH26" i="1"/>
  <c r="IZ26" i="1"/>
  <c r="JJ26" i="1"/>
  <c r="JF26" i="1"/>
  <c r="JC26" i="1"/>
  <c r="JB26" i="1"/>
  <c r="IX26" i="1"/>
  <c r="IT26" i="1"/>
  <c r="JK26" i="1"/>
  <c r="IU26" i="1"/>
  <c r="Q30" i="1" l="1"/>
  <c r="CZ30" i="1"/>
  <c r="DA30" i="1" s="1"/>
  <c r="DB30" i="1" s="1"/>
  <c r="CY30" i="1"/>
  <c r="CX31" i="1"/>
  <c r="CH28" i="1"/>
  <c r="CS27" i="1"/>
  <c r="CU27" i="1"/>
  <c r="CQ27" i="1"/>
  <c r="JI28" i="1"/>
  <c r="JA28" i="1"/>
  <c r="IS28" i="1"/>
  <c r="JG28" i="1"/>
  <c r="IY28" i="1"/>
  <c r="JF28" i="1"/>
  <c r="IX28" i="1"/>
  <c r="AC30" i="1"/>
  <c r="AC29" i="1"/>
  <c r="JL28" i="1"/>
  <c r="JD28" i="1"/>
  <c r="IV28" i="1"/>
  <c r="JH28" i="1"/>
  <c r="JE28" i="1"/>
  <c r="JC28" i="1"/>
  <c r="JB28" i="1"/>
  <c r="IZ28" i="1"/>
  <c r="JK28" i="1"/>
  <c r="IU28" i="1"/>
  <c r="JJ28" i="1"/>
  <c r="IT28" i="1"/>
  <c r="IW28" i="1"/>
  <c r="DC28" i="1"/>
  <c r="DD28" i="1" s="1"/>
  <c r="DE28" i="1" s="1"/>
  <c r="CS26" i="1"/>
  <c r="CU26" i="1"/>
  <c r="AB26" i="1"/>
  <c r="CQ26" i="1"/>
  <c r="AH26" i="1" s="1"/>
  <c r="Q18" i="48"/>
  <c r="D17" i="48"/>
  <c r="Q29" i="1"/>
  <c r="CY29" i="1"/>
  <c r="CZ29" i="1"/>
  <c r="DA29" i="1" s="1"/>
  <c r="DB29" i="1" s="1"/>
  <c r="AH25" i="1"/>
  <c r="JI30" i="1" l="1"/>
  <c r="JA30" i="1"/>
  <c r="IS30" i="1"/>
  <c r="JH30" i="1"/>
  <c r="IZ30" i="1"/>
  <c r="JG30" i="1"/>
  <c r="IY30" i="1"/>
  <c r="JF30" i="1"/>
  <c r="IX30" i="1"/>
  <c r="JE30" i="1"/>
  <c r="IW30" i="1"/>
  <c r="AC31" i="1"/>
  <c r="JL30" i="1"/>
  <c r="JD30" i="1"/>
  <c r="IV30" i="1"/>
  <c r="JK30" i="1"/>
  <c r="JC30" i="1"/>
  <c r="IU30" i="1"/>
  <c r="JJ30" i="1"/>
  <c r="JB30" i="1"/>
  <c r="IT30" i="1"/>
  <c r="S18" i="48"/>
  <c r="B18" i="48"/>
  <c r="T18" i="48"/>
  <c r="W18" i="48" s="1"/>
  <c r="F18" i="48" s="1"/>
  <c r="V18" i="48"/>
  <c r="CQ28" i="1"/>
  <c r="CH30" i="1"/>
  <c r="CH29" i="1"/>
  <c r="AB28" i="1"/>
  <c r="CU28" i="1"/>
  <c r="CS28" i="1"/>
  <c r="Q31" i="1"/>
  <c r="CZ31" i="1"/>
  <c r="DA31" i="1" s="1"/>
  <c r="DB31" i="1" s="1"/>
  <c r="CY31" i="1"/>
  <c r="CX32" i="1"/>
  <c r="DC30" i="1"/>
  <c r="DD30" i="1" s="1"/>
  <c r="DE30" i="1" s="1"/>
  <c r="DC29" i="1"/>
  <c r="DD29" i="1" s="1"/>
  <c r="DE29" i="1" s="1"/>
  <c r="JI29" i="1"/>
  <c r="JA29" i="1"/>
  <c r="IS29" i="1"/>
  <c r="JG29" i="1"/>
  <c r="IY29" i="1"/>
  <c r="JF29" i="1"/>
  <c r="IX29" i="1"/>
  <c r="JL29" i="1"/>
  <c r="JD29" i="1"/>
  <c r="IV29" i="1"/>
  <c r="JK29" i="1"/>
  <c r="JC29" i="1"/>
  <c r="IU29" i="1"/>
  <c r="IZ29" i="1"/>
  <c r="IW29" i="1"/>
  <c r="IT29" i="1"/>
  <c r="JJ29" i="1"/>
  <c r="JE29" i="1"/>
  <c r="JB29" i="1"/>
  <c r="JH29" i="1"/>
  <c r="Q19" i="48" l="1"/>
  <c r="D18" i="48"/>
  <c r="JI31" i="1"/>
  <c r="JA31" i="1"/>
  <c r="IS31" i="1"/>
  <c r="JH31" i="1"/>
  <c r="IZ31" i="1"/>
  <c r="JG31" i="1"/>
  <c r="IY31" i="1"/>
  <c r="JF31" i="1"/>
  <c r="IX31" i="1"/>
  <c r="JE31" i="1"/>
  <c r="IW31" i="1"/>
  <c r="AC32" i="1"/>
  <c r="JL31" i="1"/>
  <c r="JD31" i="1"/>
  <c r="IV31" i="1"/>
  <c r="JK31" i="1"/>
  <c r="JC31" i="1"/>
  <c r="IU31" i="1"/>
  <c r="IT31" i="1"/>
  <c r="JJ31" i="1"/>
  <c r="JB31" i="1"/>
  <c r="CQ29" i="1"/>
  <c r="AH29" i="1" s="1"/>
  <c r="AB29" i="1"/>
  <c r="CS29" i="1"/>
  <c r="CU29" i="1"/>
  <c r="Q32" i="1"/>
  <c r="CX33" i="1"/>
  <c r="CZ32" i="1"/>
  <c r="DA32" i="1" s="1"/>
  <c r="DB32" i="1" s="1"/>
  <c r="CY32" i="1"/>
  <c r="CQ30" i="1"/>
  <c r="AH30" i="1" s="1"/>
  <c r="CH31" i="1"/>
  <c r="AB30" i="1"/>
  <c r="CU30" i="1"/>
  <c r="CS30" i="1"/>
  <c r="AH28" i="1"/>
  <c r="DC31" i="1"/>
  <c r="DD31" i="1" s="1"/>
  <c r="DE31" i="1"/>
  <c r="DC32" i="1" l="1"/>
  <c r="DD32" i="1" s="1"/>
  <c r="DE32" i="1" s="1"/>
  <c r="AC33" i="1"/>
  <c r="JI32" i="1"/>
  <c r="JA32" i="1"/>
  <c r="IS32" i="1"/>
  <c r="JH32" i="1"/>
  <c r="IZ32" i="1"/>
  <c r="JG32" i="1"/>
  <c r="IY32" i="1"/>
  <c r="JF32" i="1"/>
  <c r="IX32" i="1"/>
  <c r="JE32" i="1"/>
  <c r="IW32" i="1"/>
  <c r="JL32" i="1"/>
  <c r="JD32" i="1"/>
  <c r="IV32" i="1"/>
  <c r="JK32" i="1"/>
  <c r="JC32" i="1"/>
  <c r="IU32" i="1"/>
  <c r="IT32" i="1"/>
  <c r="JJ32" i="1"/>
  <c r="JB32" i="1"/>
  <c r="CX34" i="1"/>
  <c r="Q33" i="1"/>
  <c r="CZ33" i="1"/>
  <c r="DA33" i="1" s="1"/>
  <c r="DB33" i="1" s="1"/>
  <c r="CY33" i="1"/>
  <c r="CS31" i="1"/>
  <c r="CQ31" i="1"/>
  <c r="CH32" i="1"/>
  <c r="AB31" i="1"/>
  <c r="CU31" i="1"/>
  <c r="B19" i="48"/>
  <c r="S19" i="48"/>
  <c r="V19" i="48"/>
  <c r="T19" i="48"/>
  <c r="W19" i="48" s="1"/>
  <c r="F19" i="48" s="1"/>
  <c r="AH31" i="1" l="1"/>
  <c r="CX35" i="1"/>
  <c r="Q34" i="1"/>
  <c r="CZ34" i="1"/>
  <c r="DA34" i="1" s="1"/>
  <c r="DB34" i="1" s="1"/>
  <c r="CY34" i="1"/>
  <c r="CH33" i="1"/>
  <c r="AB32" i="1"/>
  <c r="CU32" i="1"/>
  <c r="CQ32" i="1"/>
  <c r="CS32" i="1"/>
  <c r="AC34" i="1"/>
  <c r="JF33" i="1"/>
  <c r="IX33" i="1"/>
  <c r="JE33" i="1"/>
  <c r="IW33" i="1"/>
  <c r="JL33" i="1"/>
  <c r="JD33" i="1"/>
  <c r="IV33" i="1"/>
  <c r="JI33" i="1"/>
  <c r="JA33" i="1"/>
  <c r="IS33" i="1"/>
  <c r="JH33" i="1"/>
  <c r="IZ33" i="1"/>
  <c r="JG33" i="1"/>
  <c r="JC33" i="1"/>
  <c r="JB33" i="1"/>
  <c r="IY33" i="1"/>
  <c r="IU33" i="1"/>
  <c r="IT33" i="1"/>
  <c r="JK33" i="1"/>
  <c r="JJ33" i="1"/>
  <c r="DE33" i="1"/>
  <c r="DC33" i="1"/>
  <c r="DD33" i="1" s="1"/>
  <c r="D19" i="48"/>
  <c r="Q20" i="48"/>
  <c r="CH34" i="1" l="1"/>
  <c r="AB33" i="1"/>
  <c r="CS33" i="1"/>
  <c r="CU33" i="1"/>
  <c r="CQ33" i="1"/>
  <c r="AH33" i="1" s="1"/>
  <c r="DC34" i="1"/>
  <c r="DD34" i="1" s="1"/>
  <c r="DE34" i="1" s="1"/>
  <c r="B20" i="48"/>
  <c r="V20" i="48"/>
  <c r="T20" i="48" s="1"/>
  <c r="W20" i="48" s="1"/>
  <c r="F20" i="48" s="1"/>
  <c r="S20" i="48"/>
  <c r="JI34" i="1"/>
  <c r="JA34" i="1"/>
  <c r="IS34" i="1"/>
  <c r="JH34" i="1"/>
  <c r="IZ34" i="1"/>
  <c r="JG34" i="1"/>
  <c r="IY34" i="1"/>
  <c r="AC35" i="1"/>
  <c r="JF34" i="1"/>
  <c r="IX34" i="1"/>
  <c r="JL34" i="1"/>
  <c r="JD34" i="1"/>
  <c r="IV34" i="1"/>
  <c r="JK34" i="1"/>
  <c r="JC34" i="1"/>
  <c r="IU34" i="1"/>
  <c r="JJ34" i="1"/>
  <c r="JE34" i="1"/>
  <c r="JB34" i="1"/>
  <c r="IW34" i="1"/>
  <c r="IT34" i="1"/>
  <c r="Q35" i="1"/>
  <c r="CX36" i="1"/>
  <c r="CY35" i="1"/>
  <c r="CZ35" i="1"/>
  <c r="DA35" i="1" s="1"/>
  <c r="DB35" i="1" s="1"/>
  <c r="AH32" i="1"/>
  <c r="JK35" i="1" l="1"/>
  <c r="JC35" i="1"/>
  <c r="IU35" i="1"/>
  <c r="JJ35" i="1"/>
  <c r="JB35" i="1"/>
  <c r="IT35" i="1"/>
  <c r="JI35" i="1"/>
  <c r="JA35" i="1"/>
  <c r="IS35" i="1"/>
  <c r="JH35" i="1"/>
  <c r="IZ35" i="1"/>
  <c r="JG35" i="1"/>
  <c r="IY35" i="1"/>
  <c r="AC36" i="1"/>
  <c r="JF35" i="1"/>
  <c r="IX35" i="1"/>
  <c r="JE35" i="1"/>
  <c r="IW35" i="1"/>
  <c r="IV35" i="1"/>
  <c r="JL35" i="1"/>
  <c r="JD35" i="1"/>
  <c r="D20" i="48"/>
  <c r="Q21" i="48"/>
  <c r="Q36" i="1"/>
  <c r="CX37" i="1"/>
  <c r="CY36" i="1"/>
  <c r="CZ36" i="1"/>
  <c r="DA36" i="1" s="1"/>
  <c r="DB36" i="1" s="1"/>
  <c r="DC35" i="1"/>
  <c r="DD35" i="1" s="1"/>
  <c r="DE35" i="1" s="1"/>
  <c r="CH35" i="1"/>
  <c r="AB34" i="1"/>
  <c r="CU34" i="1"/>
  <c r="CS34" i="1"/>
  <c r="CQ34" i="1"/>
  <c r="B21" i="48" l="1"/>
  <c r="V21" i="48"/>
  <c r="S21" i="48"/>
  <c r="JE36" i="1"/>
  <c r="IW36" i="1"/>
  <c r="JL36" i="1"/>
  <c r="JD36" i="1"/>
  <c r="IV36" i="1"/>
  <c r="JK36" i="1"/>
  <c r="JC36" i="1"/>
  <c r="IU36" i="1"/>
  <c r="JJ36" i="1"/>
  <c r="JB36" i="1"/>
  <c r="IT36" i="1"/>
  <c r="JI36" i="1"/>
  <c r="JA36" i="1"/>
  <c r="IS36" i="1"/>
  <c r="JH36" i="1"/>
  <c r="IZ36" i="1"/>
  <c r="JG36" i="1"/>
  <c r="IY36" i="1"/>
  <c r="IX36" i="1"/>
  <c r="AC37" i="1"/>
  <c r="JF36" i="1"/>
  <c r="CH36" i="1"/>
  <c r="AB35" i="1"/>
  <c r="CS35" i="1"/>
  <c r="CU35" i="1"/>
  <c r="CQ35" i="1"/>
  <c r="DC36" i="1"/>
  <c r="DD36" i="1" s="1"/>
  <c r="DE36" i="1" s="1"/>
  <c r="AH34" i="1"/>
  <c r="Q37" i="1"/>
  <c r="CX38" i="1"/>
  <c r="CY37" i="1"/>
  <c r="CZ37" i="1"/>
  <c r="DA37" i="1" s="1"/>
  <c r="DB37" i="1" s="1"/>
  <c r="DC37" i="1" l="1"/>
  <c r="DD37" i="1" s="1"/>
  <c r="DE37" i="1" s="1"/>
  <c r="D21" i="48"/>
  <c r="Q22" i="48"/>
  <c r="CX39" i="1"/>
  <c r="Q38" i="1"/>
  <c r="CZ38" i="1"/>
  <c r="DA38" i="1" s="1"/>
  <c r="DB38" i="1" s="1"/>
  <c r="CY38" i="1"/>
  <c r="T21" i="48"/>
  <c r="W21" i="48" s="1"/>
  <c r="F21" i="48" s="1"/>
  <c r="AH35" i="1"/>
  <c r="CH37" i="1"/>
  <c r="AB36" i="1"/>
  <c r="CQ36" i="1"/>
  <c r="CS36" i="1"/>
  <c r="CU36" i="1"/>
  <c r="JG37" i="1"/>
  <c r="IY37" i="1"/>
  <c r="AC38" i="1"/>
  <c r="JF37" i="1"/>
  <c r="IX37" i="1"/>
  <c r="JE37" i="1"/>
  <c r="IW37" i="1"/>
  <c r="JL37" i="1"/>
  <c r="JD37" i="1"/>
  <c r="IV37" i="1"/>
  <c r="JK37" i="1"/>
  <c r="JC37" i="1"/>
  <c r="IU37" i="1"/>
  <c r="JJ37" i="1"/>
  <c r="JB37" i="1"/>
  <c r="IT37" i="1"/>
  <c r="JI37" i="1"/>
  <c r="JA37" i="1"/>
  <c r="IS37" i="1"/>
  <c r="JH37" i="1"/>
  <c r="IZ37" i="1"/>
  <c r="AH36" i="1" l="1"/>
  <c r="CX40" i="1"/>
  <c r="Q39" i="1"/>
  <c r="CZ39" i="1"/>
  <c r="DA39" i="1" s="1"/>
  <c r="DB39" i="1" s="1"/>
  <c r="CY39" i="1"/>
  <c r="B22" i="48"/>
  <c r="V22" i="48"/>
  <c r="T22" i="48"/>
  <c r="W22" i="48" s="1"/>
  <c r="F22" i="48" s="1"/>
  <c r="S22" i="48"/>
  <c r="DC38" i="1"/>
  <c r="DD38" i="1" s="1"/>
  <c r="DE38" i="1" s="1"/>
  <c r="AB37" i="1"/>
  <c r="CH38" i="1"/>
  <c r="CS37" i="1"/>
  <c r="CU37" i="1"/>
  <c r="CQ37" i="1"/>
  <c r="AH37" i="1" s="1"/>
  <c r="JL38" i="1"/>
  <c r="JD38" i="1"/>
  <c r="IV38" i="1"/>
  <c r="JK38" i="1"/>
  <c r="JC38" i="1"/>
  <c r="IU38" i="1"/>
  <c r="JH38" i="1"/>
  <c r="IZ38" i="1"/>
  <c r="JJ38" i="1"/>
  <c r="IX38" i="1"/>
  <c r="JI38" i="1"/>
  <c r="IW38" i="1"/>
  <c r="JG38" i="1"/>
  <c r="IT38" i="1"/>
  <c r="JF38" i="1"/>
  <c r="IS38" i="1"/>
  <c r="JE38" i="1"/>
  <c r="JB38" i="1"/>
  <c r="JA38" i="1"/>
  <c r="IY38" i="1"/>
  <c r="AC39" i="1"/>
  <c r="AB38" i="1" l="1"/>
  <c r="CH39" i="1"/>
  <c r="CU38" i="1"/>
  <c r="CS38" i="1"/>
  <c r="CQ38" i="1"/>
  <c r="AH38" i="1" s="1"/>
  <c r="DC39" i="1"/>
  <c r="DD39" i="1" s="1"/>
  <c r="DE39" i="1"/>
  <c r="AC40" i="1"/>
  <c r="JF39" i="1"/>
  <c r="IX39" i="1"/>
  <c r="JE39" i="1"/>
  <c r="IW39" i="1"/>
  <c r="JL39" i="1"/>
  <c r="JD39" i="1"/>
  <c r="IV39" i="1"/>
  <c r="JK39" i="1"/>
  <c r="JJ39" i="1"/>
  <c r="JB39" i="1"/>
  <c r="IT39" i="1"/>
  <c r="JI39" i="1"/>
  <c r="JA39" i="1"/>
  <c r="IS39" i="1"/>
  <c r="JH39" i="1"/>
  <c r="JG39" i="1"/>
  <c r="JC39" i="1"/>
  <c r="IZ39" i="1"/>
  <c r="IY39" i="1"/>
  <c r="IU39" i="1"/>
  <c r="CX41" i="1"/>
  <c r="Q40" i="1"/>
  <c r="CZ40" i="1"/>
  <c r="DA40" i="1" s="1"/>
  <c r="DB40" i="1" s="1"/>
  <c r="CY40" i="1"/>
  <c r="D22" i="48"/>
  <c r="Q23" i="48"/>
  <c r="JI40" i="1" l="1"/>
  <c r="JA40" i="1"/>
  <c r="IS40" i="1"/>
  <c r="JH40" i="1"/>
  <c r="IZ40" i="1"/>
  <c r="JG40" i="1"/>
  <c r="IY40" i="1"/>
  <c r="JF40" i="1"/>
  <c r="IX40" i="1"/>
  <c r="JE40" i="1"/>
  <c r="IW40" i="1"/>
  <c r="AC41" i="1"/>
  <c r="JL40" i="1"/>
  <c r="JD40" i="1"/>
  <c r="IV40" i="1"/>
  <c r="JK40" i="1"/>
  <c r="JC40" i="1"/>
  <c r="IU40" i="1"/>
  <c r="IT40" i="1"/>
  <c r="JJ40" i="1"/>
  <c r="JB40" i="1"/>
  <c r="DC40" i="1"/>
  <c r="DD40" i="1" s="1"/>
  <c r="DE40" i="1" s="1"/>
  <c r="CY41" i="1"/>
  <c r="Q41" i="1"/>
  <c r="CX42" i="1"/>
  <c r="CZ41" i="1"/>
  <c r="DA41" i="1" s="1"/>
  <c r="DB41" i="1" s="1"/>
  <c r="CH40" i="1"/>
  <c r="AB39" i="1"/>
  <c r="CS39" i="1"/>
  <c r="CQ39" i="1"/>
  <c r="AH39" i="1" s="1"/>
  <c r="CU39" i="1"/>
  <c r="B23" i="48"/>
  <c r="V23" i="48"/>
  <c r="S23" i="48"/>
  <c r="T23" i="48" s="1"/>
  <c r="W23" i="48" s="1"/>
  <c r="F23" i="48" s="1"/>
  <c r="DC41" i="1" l="1"/>
  <c r="DD41" i="1" s="1"/>
  <c r="DE41" i="1"/>
  <c r="Q24" i="48"/>
  <c r="D23" i="48"/>
  <c r="CH41" i="1"/>
  <c r="AB40" i="1"/>
  <c r="CU40" i="1"/>
  <c r="CQ40" i="1"/>
  <c r="AH40" i="1" s="1"/>
  <c r="CS40" i="1"/>
  <c r="AC42" i="1"/>
  <c r="JL41" i="1"/>
  <c r="JD41" i="1"/>
  <c r="IV41" i="1"/>
  <c r="JK41" i="1"/>
  <c r="JC41" i="1"/>
  <c r="IU41" i="1"/>
  <c r="JJ41" i="1"/>
  <c r="JB41" i="1"/>
  <c r="IT41" i="1"/>
  <c r="JI41" i="1"/>
  <c r="JA41" i="1"/>
  <c r="IS41" i="1"/>
  <c r="JH41" i="1"/>
  <c r="IZ41" i="1"/>
  <c r="JG41" i="1"/>
  <c r="IY41" i="1"/>
  <c r="JF41" i="1"/>
  <c r="IX41" i="1"/>
  <c r="JE41" i="1"/>
  <c r="IW41" i="1"/>
  <c r="CZ42" i="1"/>
  <c r="DA42" i="1" s="1"/>
  <c r="DB42" i="1" s="1"/>
  <c r="CX43" i="1"/>
  <c r="CY42" i="1"/>
  <c r="Q42" i="1"/>
  <c r="CX44" i="1" l="1"/>
  <c r="CY43" i="1"/>
  <c r="Q43" i="1"/>
  <c r="CZ43" i="1"/>
  <c r="DA43" i="1" s="1"/>
  <c r="DB43" i="1" s="1"/>
  <c r="CH42" i="1"/>
  <c r="CS41" i="1"/>
  <c r="CQ41" i="1"/>
  <c r="AH41" i="1" s="1"/>
  <c r="AB41" i="1"/>
  <c r="CU41" i="1"/>
  <c r="DC42" i="1"/>
  <c r="DD42" i="1" s="1"/>
  <c r="DE42" i="1" s="1"/>
  <c r="V24" i="48"/>
  <c r="S24" i="48"/>
  <c r="T24" i="48" s="1"/>
  <c r="W24" i="48" s="1"/>
  <c r="F24" i="48" s="1"/>
  <c r="B24" i="48"/>
  <c r="JF42" i="1"/>
  <c r="IX42" i="1"/>
  <c r="JE42" i="1"/>
  <c r="IW42" i="1"/>
  <c r="JL42" i="1"/>
  <c r="IR5" i="1" s="1"/>
  <c r="IR6" i="1" s="1"/>
  <c r="JD42" i="1"/>
  <c r="IV42" i="1"/>
  <c r="JK42" i="1"/>
  <c r="JC42" i="1"/>
  <c r="IU42" i="1"/>
  <c r="JJ42" i="1"/>
  <c r="JB42" i="1"/>
  <c r="IT42" i="1"/>
  <c r="JI42" i="1"/>
  <c r="JA42" i="1"/>
  <c r="IS42" i="1"/>
  <c r="JH42" i="1"/>
  <c r="IZ42" i="1"/>
  <c r="JG42" i="1"/>
  <c r="IY42" i="1"/>
  <c r="CQ42" i="1" l="1"/>
  <c r="AB42" i="1"/>
  <c r="CU42" i="1"/>
  <c r="CS42" i="1"/>
  <c r="DC43" i="1"/>
  <c r="DD43" i="1" s="1"/>
  <c r="DE43" i="1" s="1"/>
  <c r="Q25" i="48"/>
  <c r="D24" i="48"/>
  <c r="CX45" i="1"/>
  <c r="Q44" i="1"/>
  <c r="CZ44" i="1"/>
  <c r="DA44" i="1" s="1"/>
  <c r="DB44" i="1" s="1"/>
  <c r="CY44" i="1"/>
  <c r="DC44" i="1" l="1"/>
  <c r="DD44" i="1" s="1"/>
  <c r="DE44" i="1" s="1"/>
  <c r="S25" i="48"/>
  <c r="V25" i="48"/>
  <c r="T25" i="48" s="1"/>
  <c r="W25" i="48" s="1"/>
  <c r="F25" i="48" s="1"/>
  <c r="B25" i="48"/>
  <c r="CX46" i="1"/>
  <c r="CZ45" i="1"/>
  <c r="DA45" i="1" s="1"/>
  <c r="DB45" i="1" s="1"/>
  <c r="Q45" i="1"/>
  <c r="CY45" i="1"/>
  <c r="AH42" i="1"/>
  <c r="DC45" i="1" l="1"/>
  <c r="DD45" i="1" s="1"/>
  <c r="DE45" i="1" s="1"/>
  <c r="Q46" i="1"/>
  <c r="CZ46" i="1"/>
  <c r="DA46" i="1" s="1"/>
  <c r="DB46" i="1" s="1"/>
  <c r="CY46" i="1"/>
  <c r="Q26" i="48"/>
  <c r="D25" i="48"/>
  <c r="S26" i="48" l="1"/>
  <c r="B26" i="48"/>
  <c r="V26" i="48"/>
  <c r="T26" i="48" s="1"/>
  <c r="W26" i="48" s="1"/>
  <c r="F26" i="48" s="1"/>
  <c r="DC46" i="1"/>
  <c r="DD46" i="1" s="1"/>
  <c r="DE46" i="1" s="1"/>
  <c r="Q27" i="48" l="1"/>
  <c r="D26" i="48"/>
  <c r="B27" i="48" l="1"/>
  <c r="V27" i="48"/>
  <c r="S27" i="48"/>
  <c r="D27" i="48" l="1"/>
  <c r="Q28" i="48"/>
  <c r="T27" i="48"/>
  <c r="W27" i="48" s="1"/>
  <c r="F27" i="48" s="1"/>
  <c r="B28" i="48" l="1"/>
  <c r="V28" i="48"/>
  <c r="T28" i="48" s="1"/>
  <c r="W28" i="48" s="1"/>
  <c r="F28" i="48" s="1"/>
  <c r="S28" i="48"/>
  <c r="D28" i="48" l="1"/>
  <c r="Q29" i="48"/>
  <c r="B29" i="48" l="1"/>
  <c r="V29" i="48"/>
  <c r="S29" i="48"/>
  <c r="T29" i="48" s="1"/>
  <c r="W29" i="48" s="1"/>
  <c r="F29" i="48" s="1"/>
  <c r="D29" i="48" l="1"/>
  <c r="Q30" i="48"/>
  <c r="B30" i="48" l="1"/>
  <c r="V30" i="48"/>
  <c r="S30" i="48"/>
  <c r="T30" i="48" s="1"/>
  <c r="W30" i="48" s="1"/>
  <c r="F30" i="48" s="1"/>
  <c r="Q31" i="48" l="1"/>
  <c r="D30" i="48"/>
  <c r="B31" i="48" l="1"/>
  <c r="V31" i="48"/>
  <c r="S31" i="48"/>
  <c r="Q32" i="48" l="1"/>
  <c r="D31" i="48"/>
  <c r="T31" i="48"/>
  <c r="W31" i="48" s="1"/>
  <c r="F31" i="48" s="1"/>
  <c r="V32" i="48" l="1"/>
  <c r="T32" i="48" s="1"/>
  <c r="W32" i="48" s="1"/>
  <c r="F32" i="48" s="1"/>
  <c r="S32" i="48"/>
  <c r="B32" i="48"/>
  <c r="Q33" i="48" l="1"/>
  <c r="D32" i="48"/>
  <c r="S33" i="48" l="1"/>
  <c r="V33" i="48"/>
  <c r="T33" i="48" s="1"/>
  <c r="W33" i="48" s="1"/>
  <c r="F33" i="48" s="1"/>
  <c r="B33" i="48"/>
  <c r="Q34" i="48" l="1"/>
  <c r="D33" i="48"/>
  <c r="S34" i="48" l="1"/>
  <c r="D34" i="48" s="1"/>
  <c r="B34" i="48"/>
  <c r="V34" i="48"/>
  <c r="T34" i="48" s="1"/>
  <c r="W34" i="48" s="1"/>
  <c r="F34" i="48" s="1"/>
</calcChain>
</file>

<file path=xl/comments1.xml><?xml version="1.0" encoding="utf-8"?>
<comments xmlns="http://schemas.openxmlformats.org/spreadsheetml/2006/main">
  <authors>
    <author>jianlong wo</author>
  </authors>
  <commentList>
    <comment ref="CT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K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AL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F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</commentList>
</comments>
</file>

<file path=xl/comments10.xml><?xml version="1.0" encoding="utf-8"?>
<comments xmlns="http://schemas.openxmlformats.org/spreadsheetml/2006/main">
  <authors>
    <author>jianlong wo</author>
    <author>user</author>
  </authors>
  <commentList>
    <comment ref="I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V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H2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H3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</commentList>
</comments>
</file>

<file path=xl/comments11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N1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N21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2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W2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2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W2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L4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M4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L45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M4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L46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M4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L47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M4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K6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小额话费券标准价值10～100之间
炮倍不同小额话费的金额不同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例如下面数据，表示话费赛开始后20s出现热气球track，90s后移除track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200次破罩子，</t>
        </r>
      </text>
    </comment>
  </commentList>
</comments>
</file>

<file path=xl/comments14.xml><?xml version="1.0" encoding="utf-8"?>
<comments xmlns="http://schemas.openxmlformats.org/spreadsheetml/2006/main">
  <authors>
    <author>user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>user:
按照当前等级得积分，然后升级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6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7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09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3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39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2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3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67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68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1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86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实际金币需要*炮倍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百分比后保留一位小数</t>
        </r>
      </text>
    </comment>
  </commentList>
</comments>
</file>

<file path=xl/comments4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O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R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S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T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V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O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E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5.xml><?xml version="1.0" encoding="utf-8"?>
<comments xmlns="http://schemas.openxmlformats.org/spreadsheetml/2006/main">
  <authors>
    <author>jianlong wo</author>
    <author>86177</author>
  </authors>
  <commentList>
    <comment ref="Q4" authorId="0" shapeId="0">
      <text>
        <r>
          <rPr>
            <b/>
            <sz val="9"/>
            <rFont val="宋体"/>
            <family val="3"/>
            <charset val="134"/>
          </rPr>
          <t>阶段五结束条件</t>
        </r>
        <r>
          <rPr>
            <sz val="9"/>
            <rFont val="宋体"/>
            <family val="3"/>
            <charset val="134"/>
          </rPr>
          <t xml:space="preserve">
当玩家持有金币 - 房间最大炮倍*屏幕子弹最大数量20满足进入下一个高级房间金币范围</t>
        </r>
      </text>
    </comment>
    <comment ref="L7" authorId="1" shapeId="0">
      <text>
        <r>
          <rPr>
            <b/>
            <sz val="9"/>
            <rFont val="宋体"/>
            <family val="3"/>
            <charset val="134"/>
          </rPr>
          <t>修改前为:</t>
        </r>
        <r>
          <rPr>
            <sz val="9"/>
            <rFont val="宋体"/>
            <family val="3"/>
            <charset val="134"/>
          </rPr>
          <t xml:space="preserve">
3301,3302,3303</t>
        </r>
      </text>
    </comment>
  </commentList>
</comments>
</file>

<file path=xl/comments6.xml><?xml version="1.0" encoding="utf-8"?>
<comments xmlns="http://schemas.openxmlformats.org/spreadsheetml/2006/main">
  <authors>
    <author>jianlong wo</author>
  </authors>
  <commentList>
    <comment ref="M2" authorId="0" shapeId="0">
      <text>
        <r>
          <rPr>
            <b/>
            <sz val="9"/>
            <rFont val="宋体"/>
            <family val="3"/>
            <charset val="134"/>
          </rPr>
          <t>1天按照4小时游戏时长计算</t>
        </r>
      </text>
    </comment>
  </commentList>
</comments>
</file>

<file path=xl/comments7.xml><?xml version="1.0" encoding="utf-8"?>
<comments xmlns="http://schemas.openxmlformats.org/spreadsheetml/2006/main">
  <authors>
    <author>jianlong wo</author>
    <author>User</author>
    <author>user</author>
    <author>作者</author>
    <author>燕</author>
  </authors>
  <commentList>
    <comment ref="Z1" authorId="0" shapeId="0">
      <text>
        <r>
          <rPr>
            <sz val="9"/>
            <rFont val="宋体"/>
            <family val="3"/>
            <charset val="134"/>
          </rPr>
          <t>捕鱼掉落话费券占比为计算值</t>
        </r>
      </text>
    </comment>
    <comment ref="AQ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添加新的小精灵需要跟美术确认</t>
        </r>
      </text>
    </comment>
    <comment ref="BG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H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I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J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K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Q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目前参考的是闪电鱼的</t>
        </r>
      </text>
    </comment>
    <comment ref="CA1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在鱼的价值的基础上，额外拿出10%，作为小游戏奖励</t>
        </r>
      </text>
    </comment>
    <comment ref="DJ1" authorId="0" shapeId="0">
      <text>
        <r>
          <rPr>
            <sz val="9"/>
            <rFont val="宋体"/>
            <family val="3"/>
            <charset val="134"/>
          </rPr>
          <t>捕鱼掉落、抽奖、每日任务、话费鱼潮上限GM中配置；
话费券金币价值GM配置</t>
        </r>
      </text>
    </comment>
    <comment ref="CY2" authorId="3" shapeId="0">
      <text>
        <r>
          <rPr>
            <b/>
            <sz val="9"/>
            <rFont val="宋体"/>
            <family val="3"/>
            <charset val="134"/>
          </rPr>
          <t>话费券金币价值:</t>
        </r>
        <r>
          <rPr>
            <sz val="9"/>
            <rFont val="宋体"/>
            <family val="3"/>
            <charset val="134"/>
          </rPr>
          <t xml:space="preserve">
通过乐缤纷捕鱼净消耗金币和(玩家充值-消耗话费券）的比例大致确定值
此值为标准值，GM可配置方便调整</t>
        </r>
      </text>
    </comment>
    <comment ref="DI3" authorId="3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小于1000炮，按照1000炮的来计算</t>
        </r>
      </text>
    </comment>
    <comment ref="A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B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C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J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掉落抽奖券时根据随机后的score值算出来的
要求炮倍*score必须是100的倍数</t>
        </r>
      </text>
    </comment>
    <comment ref="K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掉落抽奖券时根据随机后的score值算出来的
要求炮倍*score必须是100的倍数</t>
        </r>
      </text>
    </comment>
    <comment ref="X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普通鱼掉落，锁定、冰送、召唤，按照开炮次数来计算，出现的物品的价值，还没配置</t>
        </r>
      </text>
    </comment>
    <comment ref="AM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充值库存&gt;=当前炮倍率*reCRate时，充值库存系数生效，否则不生效</t>
        </r>
      </text>
    </comment>
    <comment ref="AY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冰晶跟着缩放比一起走</t>
        </r>
      </text>
    </comment>
    <comment ref="BA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fruit\art\pokemon\Effect\底座 小精灵脚下原盘提交</t>
        </r>
      </text>
    </comment>
    <comment ref="BH4" authorId="4" shapeId="0">
      <text>
        <r>
          <rPr>
            <sz val="9"/>
            <rFont val="宋体"/>
            <family val="3"/>
            <charset val="134"/>
          </rPr>
          <t xml:space="preserve">
泡泡捕鱼当前使用版本</t>
        </r>
      </text>
    </comment>
    <comment ref="DL4" authorId="0" shapeId="0">
      <text>
        <r>
          <rPr>
            <b/>
            <sz val="9"/>
            <rFont val="宋体"/>
            <family val="3"/>
            <charset val="134"/>
          </rPr>
          <t>基础值是个固定值</t>
        </r>
      </text>
    </comment>
    <comment ref="DT4" authorId="0" shapeId="0">
      <text>
        <r>
          <rPr>
            <b/>
            <sz val="9"/>
            <rFont val="宋体"/>
            <family val="3"/>
            <charset val="134"/>
          </rPr>
          <t xml:space="preserve">鱼被捕获情况下掉落概率
按照分值计算出的大致概率
</t>
        </r>
      </text>
    </comment>
    <comment ref="GA4" authorId="0" shapeId="0">
      <text>
        <r>
          <rPr>
            <b/>
            <sz val="9"/>
            <rFont val="宋体"/>
            <family val="3"/>
            <charset val="134"/>
          </rPr>
          <t>基础值是个固定值</t>
        </r>
      </text>
    </comment>
    <comment ref="GI4" authorId="0" shapeId="0">
      <text>
        <r>
          <rPr>
            <b/>
            <sz val="9"/>
            <rFont val="宋体"/>
            <family val="3"/>
            <charset val="134"/>
          </rPr>
          <t xml:space="preserve">鱼被捕获情况下掉落概率
按照分值计算出的大致概率
</t>
        </r>
      </text>
    </comment>
    <comment ref="DN5" authorId="0" shapeId="0">
      <text>
        <r>
          <rPr>
            <b/>
            <sz val="9"/>
            <rFont val="宋体"/>
            <family val="3"/>
            <charset val="134"/>
          </rPr>
          <t>鱼被捕获概率*鱼被捕获下掉落概率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C5" authorId="0" shapeId="0">
      <text>
        <r>
          <rPr>
            <b/>
            <sz val="9"/>
            <rFont val="宋体"/>
            <family val="3"/>
            <charset val="134"/>
          </rPr>
          <t>鱼被捕获概率*鱼被捕获下掉落概率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G5" authorId="0" shapeId="0">
      <text>
        <r>
          <rPr>
            <b/>
            <sz val="9"/>
            <rFont val="宋体"/>
            <family val="3"/>
            <charset val="134"/>
          </rPr>
          <t>总额</t>
        </r>
      </text>
    </comment>
    <comment ref="GH5" authorId="0" shapeId="0">
      <text>
        <r>
          <rPr>
            <b/>
            <sz val="9"/>
            <rFont val="宋体"/>
            <family val="3"/>
            <charset val="134"/>
          </rPr>
          <t>面额</t>
        </r>
      </text>
    </comment>
    <comment ref="BW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5分钟出现一个红包，20分钟出完</t>
        </r>
      </text>
    </comment>
    <comment ref="E3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从【黄金鱼分值设计】score不能为float类型</t>
        </r>
      </text>
    </comment>
    <comment ref="I3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黄金鱼走权重随机</t>
        </r>
      </text>
    </comment>
    <comment ref="AQ35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AQ37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B4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图鉴占位配置，book_Num填写就表示需要展示，哪怕为空</t>
        </r>
      </text>
    </comment>
    <comment ref="P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不掉小游戏卡牌</t>
        </r>
      </text>
    </comment>
    <comment ref="I43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I45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DR4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冰海精灵、玄龙鲸鱼、艾莎技能触发一刻不掉福卡</t>
        </r>
      </text>
    </comment>
    <comment ref="GG45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冰海精灵、玄龙鲸鱼、艾莎技能触发一刻不掉福卡</t>
        </r>
      </text>
    </comment>
    <comment ref="I47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4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B49" authorId="0" shapeId="0">
      <text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不掉抽奖券、小游戏卡牌、福卡、免费开火增加时间、无充值池子必中</t>
        </r>
      </text>
    </comment>
    <comment ref="I49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49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DR4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</t>
        </r>
      </text>
    </comment>
    <comment ref="GG4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</t>
        </r>
      </text>
    </comment>
    <comment ref="I50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5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Z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特殊鱼、龙舟、福卡不掉抽奖券、小游戏卡牌、免费开火增加时间</t>
        </r>
      </text>
    </comment>
    <comment ref="B51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aishaskill
艾莎技能</t>
        </r>
      </text>
    </comment>
    <comment ref="I51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E5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分值没啥意义，实际根据存储总金币计算值</t>
        </r>
      </text>
    </comment>
    <comment ref="I52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52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E53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卡牌鱼价值和不掉卡牌鱼的分值是一样的</t>
        </r>
      </text>
    </comment>
    <comment ref="I53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AA53" authorId="0" shapeId="0">
      <text>
        <r>
          <rPr>
            <b/>
            <sz val="9"/>
            <rFont val="宋体"/>
            <family val="3"/>
            <charset val="134"/>
          </rPr>
          <t>海豚特殊处理，捕获必掉卡牌，额外掉落为0%</t>
        </r>
      </text>
    </comment>
    <comment ref="I54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C5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I55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P55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DT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W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Z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C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F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I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L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O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R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U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X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A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D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G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J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M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P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S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V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Y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I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L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O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R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U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GX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A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D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G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J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M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P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S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V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HY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B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E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H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K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N55" authorId="0" shapeId="0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I56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I57" authorId="0" shapeId="0">
      <text>
        <r>
          <rPr>
            <sz val="9"/>
            <rFont val="宋体"/>
            <family val="3"/>
            <charset val="134"/>
          </rPr>
          <t>不能改为scoreF</t>
        </r>
      </text>
    </comment>
    <comment ref="L5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小额话费券标准价值1～10、10~100、100~1000之间
炮倍不同小额话费的金额不同</t>
        </r>
      </text>
    </comment>
    <comment ref="P5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</commentList>
</comments>
</file>

<file path=xl/comments8.xml><?xml version="1.0" encoding="utf-8"?>
<comments xmlns="http://schemas.openxmlformats.org/spreadsheetml/2006/main">
  <authors>
    <author>user</author>
    <author>作者</author>
    <author>86177</author>
    <author>jianlong wo</author>
  </authors>
  <commentList>
    <comment ref="F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K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I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M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R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V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A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E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J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N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D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>
      <text>
        <r>
          <rPr>
            <b/>
            <sz val="9"/>
            <rFont val="宋体"/>
            <family val="3"/>
            <charset val="134"/>
          </rPr>
          <t>86177:</t>
        </r>
        <r>
          <rPr>
            <sz val="9"/>
            <rFont val="宋体"/>
            <family val="3"/>
            <charset val="134"/>
          </rPr>
          <t xml:space="preserve">
档位奖励需要有这个区间之外的最大值和最小值</t>
        </r>
      </text>
    </comment>
    <comment ref="DP1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DO17" authorId="3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comments9.xml><?xml version="1.0" encoding="utf-8"?>
<comments xmlns="http://schemas.openxmlformats.org/spreadsheetml/2006/main">
  <authors>
    <author>user</author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根据鱼的分值分配掉落组
1200炮必掉一个道具</t>
        </r>
      </text>
    </comment>
  </commentList>
</comments>
</file>

<file path=xl/sharedStrings.xml><?xml version="1.0" encoding="utf-8"?>
<sst xmlns="http://schemas.openxmlformats.org/spreadsheetml/2006/main" count="5660" uniqueCount="2589">
  <si>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</si>
  <si>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</si>
  <si>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</si>
  <si>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</si>
  <si>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</si>
  <si>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</si>
  <si>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</si>
  <si>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</si>
  <si>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</si>
  <si>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</si>
  <si>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</si>
  <si>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</si>
  <si>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</si>
  <si>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</si>
  <si>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</si>
  <si>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</si>
  <si>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</si>
  <si>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</si>
  <si>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</si>
  <si>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</si>
  <si>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</si>
  <si>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</si>
  <si>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</si>
  <si>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rmbType6</t>
  </si>
  <si>
    <t>lgDantouId</t>
  </si>
  <si>
    <t>eggNeedGold</t>
  </si>
  <si>
    <t>monkeySkillNeed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</si>
  <si>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</si>
  <si>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</si>
  <si>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</si>
  <si>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</si>
  <si>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</si>
  <si>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</si>
  <si>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</si>
  <si>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</si>
  <si>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</si>
  <si>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</si>
  <si>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</si>
  <si>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</si>
  <si>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</si>
  <si>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</si>
  <si>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</si>
  <si>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</si>
  <si>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</si>
  <si>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</si>
  <si>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</si>
  <si>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</si>
  <si>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</si>
  <si>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</si>
  <si>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</si>
  <si>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</si>
  <si>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</si>
  <si>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</si>
  <si>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</si>
  <si>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</si>
  <si>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</si>
  <si>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</si>
  <si>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</si>
  <si>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</si>
  <si>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</si>
  <si>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</si>
  <si>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</si>
  <si>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</si>
  <si>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</si>
  <si>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</si>
  <si>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</si>
  <si>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</si>
  <si>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</si>
  <si>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</si>
  <si>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</si>
  <si>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普通鱼(非奖金鱼)默认E
只改变经典场、龙王专场
9600=9600/10000</t>
  </si>
  <si>
    <t>奖金鱼默认E
(黄金鱼、boss、特殊鱼)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</si>
  <si>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</si>
  <si>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</si>
  <si>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</si>
  <si>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</si>
  <si>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</si>
  <si>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</si>
  <si>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</si>
  <si>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</si>
  <si>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</si>
  <si>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</si>
  <si>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</si>
  <si>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</si>
  <si>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</si>
  <si>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</si>
  <si>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</si>
  <si>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</si>
  <si>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</si>
  <si>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</si>
  <si>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</si>
  <si>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</si>
  <si>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</si>
  <si>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</si>
  <si>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</si>
  <si>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</si>
  <si>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</si>
  <si>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</si>
  <si>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</si>
  <si>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</si>
  <si>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</si>
  <si>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</si>
  <si>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</si>
  <si>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</si>
  <si>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</si>
  <si>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</si>
  <si>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</si>
  <si>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</si>
  <si>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</si>
  <si>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</si>
  <si>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</si>
  <si>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</si>
  <si>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</si>
  <si>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</si>
  <si>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</si>
  <si>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</si>
  <si>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</si>
  <si>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</si>
  <si>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</si>
  <si>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</si>
  <si>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</si>
  <si>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</si>
  <si>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</si>
  <si>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</si>
  <si>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</si>
  <si>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</si>
  <si>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阶段3.2</t>
  </si>
  <si>
    <t>福卡金币价值</t>
  </si>
  <si>
    <t>阶段3.3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</si>
  <si>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</si>
  <si>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</si>
  <si>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</si>
  <si>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</si>
  <si>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</si>
  <si>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</si>
  <si>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</si>
  <si>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</si>
  <si>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</si>
  <si>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</si>
  <si>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阶段1-4，5+1，结束条件为池子，阶段5为跳转房间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</si>
  <si>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</si>
  <si>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</si>
  <si>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</si>
  <si>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</si>
  <si>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</si>
  <si>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</si>
  <si>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</si>
  <si>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</si>
  <si>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</si>
  <si>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</si>
  <si>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</si>
  <si>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</si>
  <si>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</si>
  <si>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</si>
  <si>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</si>
  <si>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</si>
  <si>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</si>
  <si>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</si>
  <si>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</si>
  <si>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</si>
  <si>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</si>
  <si>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</si>
  <si>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</si>
  <si>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</si>
  <si>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</si>
  <si>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</si>
  <si>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</si>
  <si>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</si>
  <si>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</si>
  <si>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</si>
  <si>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</si>
  <si>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</si>
  <si>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</si>
  <si>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</si>
  <si>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</si>
  <si>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</si>
  <si>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</si>
  <si>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</si>
  <si>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</si>
  <si>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</si>
  <si>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</si>
  <si>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</si>
  <si>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</si>
  <si>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</si>
  <si>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</si>
  <si>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</si>
  <si>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</si>
  <si>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</si>
  <si>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</si>
  <si>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</si>
  <si>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</si>
  <si>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</si>
  <si>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</si>
  <si>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</si>
  <si>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</si>
  <si>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</si>
  <si>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</si>
  <si>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</si>
  <si>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</si>
  <si>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</si>
  <si>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</si>
  <si>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</si>
  <si>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</si>
  <si>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</si>
  <si>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</si>
  <si>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</si>
  <si>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</si>
  <si>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</si>
  <si>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</si>
  <si>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</si>
  <si>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</si>
  <si>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</si>
  <si>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</si>
  <si>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</si>
  <si>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</si>
  <si>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</si>
  <si>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</si>
  <si>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</si>
  <si>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</si>
  <si>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</si>
  <si>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</si>
  <si>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</si>
  <si>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</si>
  <si>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</si>
  <si>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</si>
  <si>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</si>
  <si>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</si>
  <si>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</si>
  <si>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</si>
  <si>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</si>
  <si>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</si>
  <si>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</si>
  <si>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</si>
  <si>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</si>
  <si>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</si>
  <si>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</si>
  <si>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</si>
  <si>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BHjinglingScore</t>
  </si>
  <si>
    <t>冰海精灵boss分值</t>
  </si>
  <si>
    <t>BHjinglingIndex</t>
  </si>
  <si>
    <t>[[10,10,1,75],[10,10,2,150],[10,10,3,225]]</t>
  </si>
  <si>
    <t>冰海精灵阶段对应得[时间/秒，增加时间上限，倍数，分值]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</si>
  <si>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</si>
  <si>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</si>
  <si>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</si>
  <si>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</si>
  <si>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</si>
  <si>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</si>
  <si>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</si>
  <si>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</si>
  <si>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</si>
  <si>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</si>
  <si>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</si>
  <si>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</si>
  <si>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</si>
  <si>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</si>
  <si>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</si>
  <si>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</si>
  <si>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</si>
  <si>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</si>
  <si>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</si>
  <si>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</si>
  <si>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</si>
  <si>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</si>
  <si>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</si>
  <si>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</si>
  <si>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</si>
  <si>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财神每次翻倍时间/s，用来控制龙龟boss播放led的延时时间</t>
  </si>
  <si>
    <t>jubaopenFanbei</t>
  </si>
  <si>
    <t>14</t>
  </si>
  <si>
    <t>聚宝盆翻倍总时间/s，用来控制聚宝盆播放led的延时时间</t>
  </si>
  <si>
    <t>lzTrackLeave</t>
  </si>
  <si>
    <t>龙舟及福卡争夺赛相关track快速游出屏幕需要时间/秒</t>
  </si>
  <si>
    <t>initItems</t>
  </si>
  <si>
    <t>2|1204|300,2|1001|2,1|2|5000</t>
  </si>
  <si>
    <t>玩家初始数据，启航礼包：福卡、锁定、金币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</si>
  <si>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</si>
  <si>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</si>
  <si>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</si>
  <si>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</si>
  <si>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</si>
  <si>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</si>
  <si>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</si>
  <si>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</si>
  <si>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</si>
  <si>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</si>
  <si>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</si>
  <si>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</si>
  <si>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</si>
  <si>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</si>
  <si>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</si>
  <si>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</si>
  <si>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</si>
  <si>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</si>
  <si>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</si>
  <si>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</si>
  <si>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</si>
  <si>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</si>
  <si>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</si>
  <si>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</si>
  <si>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</si>
  <si>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</si>
  <si>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</si>
  <si>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</si>
  <si>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</si>
  <si>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</si>
  <si>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</si>
  <si>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</si>
  <si>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</si>
  <si>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</si>
  <si>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</si>
  <si>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</si>
  <si>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</si>
  <si>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</si>
  <si>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</si>
  <si>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</si>
  <si>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</si>
  <si>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</si>
  <si>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</si>
  <si>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</si>
  <si>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</si>
  <si>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</si>
  <si>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</si>
  <si>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</si>
  <si>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</si>
  <si>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</si>
  <si>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</si>
  <si>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</si>
  <si>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</si>
  <si>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</si>
  <si>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</si>
  <si>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</si>
  <si>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</si>
  <si>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</si>
  <si>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</si>
  <si>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</si>
  <si>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</si>
  <si>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</si>
  <si>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</si>
  <si>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</si>
  <si>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</si>
  <si>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</si>
  <si>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</si>
  <si>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</si>
  <si>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</si>
  <si>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</si>
  <si>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</si>
  <si>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</si>
  <si>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</si>
  <si>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</si>
  <si>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</si>
  <si>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</si>
  <si>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</si>
  <si>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</si>
  <si>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</si>
  <si>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</si>
  <si>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</si>
  <si>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</si>
  <si>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</si>
  <si>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</si>
  <si>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</si>
  <si>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</si>
  <si>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</si>
  <si>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</si>
  <si>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</si>
  <si>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</si>
  <si>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</si>
  <si>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</si>
  <si>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</si>
  <si>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</si>
  <si>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</si>
  <si>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</si>
  <si>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</si>
  <si>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</si>
  <si>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</si>
  <si>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</si>
  <si>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</si>
  <si>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</si>
  <si>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</si>
  <si>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</si>
  <si>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</si>
  <si>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</si>
  <si>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</si>
  <si>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</si>
  <si>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</si>
  <si>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</si>
  <si>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</si>
  <si>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</si>
  <si>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</si>
  <si>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</si>
  <si>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</si>
  <si>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</si>
  <si>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</si>
  <si>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</si>
  <si>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</si>
  <si>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</si>
  <si>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</si>
  <si>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</si>
  <si>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</si>
  <si>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</si>
  <si>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</si>
  <si>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</si>
  <si>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</si>
  <si>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</si>
  <si>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</si>
  <si>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</si>
  <si>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</si>
  <si>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</si>
  <si>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</si>
  <si>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</si>
  <si>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</si>
  <si>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</si>
  <si>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</si>
  <si>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</si>
  <si>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</si>
  <si>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</si>
  <si>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</si>
  <si>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</si>
  <si>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</si>
  <si>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</si>
  <si>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</si>
  <si>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</si>
  <si>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</si>
  <si>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</si>
  <si>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</si>
  <si>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</si>
  <si>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</si>
  <si>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</si>
  <si>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</si>
  <si>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</si>
  <si>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</si>
  <si>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</si>
  <si>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</si>
  <si>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</si>
  <si>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</si>
  <si>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</si>
  <si>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</si>
  <si>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</si>
  <si>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</si>
  <si>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</si>
  <si>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</si>
  <si>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</si>
  <si>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</si>
  <si>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</si>
  <si>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</si>
  <si>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</si>
  <si>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</si>
  <si>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</si>
  <si>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</si>
  <si>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</si>
  <si>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</si>
  <si>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</si>
  <si>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</si>
  <si>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</si>
  <si>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</si>
  <si>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</si>
  <si>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</si>
  <si>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</si>
  <si>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</si>
  <si>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</si>
  <si>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</si>
  <si>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</si>
  <si>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</si>
  <si>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</si>
  <si>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</si>
  <si>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</si>
  <si>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</si>
  <si>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</si>
  <si>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</si>
  <si>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</si>
  <si>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</si>
  <si>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</si>
  <si>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</si>
  <si>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</si>
  <si>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</si>
  <si>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</si>
  <si>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</si>
  <si>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</si>
  <si>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</si>
  <si>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</si>
  <si>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</si>
  <si>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</si>
  <si>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</si>
  <si>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</si>
  <si>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</si>
  <si>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</si>
  <si>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</si>
  <si>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</si>
  <si>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</si>
  <si>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</si>
  <si>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</si>
  <si>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</si>
  <si>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</si>
  <si>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</si>
  <si>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</si>
  <si>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</si>
  <si>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</si>
  <si>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</si>
  <si>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</si>
  <si>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</si>
  <si>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</si>
  <si>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</si>
  <si>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</si>
  <si>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</si>
  <si>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</si>
  <si>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</si>
  <si>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</si>
  <si>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</si>
  <si>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</si>
  <si>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</si>
  <si>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</si>
  <si>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</si>
  <si>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</si>
  <si>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</si>
  <si>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</si>
  <si>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</si>
  <si>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</si>
  <si>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</si>
  <si>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</si>
  <si>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</si>
  <si>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</si>
  <si>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</si>
  <si>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</si>
  <si>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</si>
  <si>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</si>
  <si>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</si>
  <si>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</si>
  <si>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</si>
  <si>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</si>
  <si>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</si>
  <si>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</si>
  <si>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</si>
  <si>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</si>
  <si>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</si>
  <si>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</si>
  <si>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</si>
  <si>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</si>
  <si>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</si>
  <si>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</si>
  <si>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</si>
  <si>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</si>
  <si>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</si>
  <si>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</si>
  <si>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</si>
  <si>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</si>
  <si>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</si>
  <si>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</si>
  <si>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</si>
  <si>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</si>
  <si>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</si>
  <si>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</si>
  <si>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</si>
  <si>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</si>
  <si>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</si>
  <si>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</si>
  <si>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</si>
  <si>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</si>
  <si>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</si>
  <si>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</si>
  <si>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</si>
  <si>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</si>
  <si>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若触发后玩家有3次未购买则今日不在触发。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</si>
  <si>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</si>
  <si>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</si>
  <si>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</si>
  <si>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</si>
  <si>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</si>
  <si>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</si>
  <si>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</si>
  <si>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</si>
  <si>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</si>
  <si>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</si>
  <si>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</si>
  <si>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</si>
  <si>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</si>
  <si>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</si>
  <si>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</si>
  <si>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</si>
  <si>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</si>
  <si>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</si>
  <si>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</si>
  <si>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</si>
  <si>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</si>
  <si>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</si>
  <si>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</si>
  <si>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</si>
  <si>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</si>
  <si>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</si>
  <si>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</si>
  <si>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</si>
  <si>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</si>
  <si>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</si>
  <si>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</si>
  <si>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</si>
  <si>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</si>
  <si>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</si>
  <si>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</si>
  <si>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</si>
  <si>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</si>
  <si>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</si>
  <si>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</si>
  <si>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</si>
  <si>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</si>
  <si>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</si>
  <si>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</si>
  <si>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</si>
  <si>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</si>
  <si>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</si>
  <si>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</si>
  <si>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</si>
  <si>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</si>
  <si>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</si>
  <si>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</si>
  <si>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</si>
  <si>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</si>
  <si>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</si>
  <si>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</si>
  <si>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</si>
  <si>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</si>
  <si>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</si>
  <si>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</si>
  <si>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</si>
  <si>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</si>
  <si>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</si>
  <si>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</si>
  <si>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</si>
  <si>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</si>
  <si>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</si>
  <si>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</si>
  <si>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</si>
  <si>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</si>
  <si>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</si>
  <si>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</si>
  <si>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</si>
  <si>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</si>
  <si>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</si>
  <si>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</si>
  <si>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</si>
  <si>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</si>
  <si>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</si>
  <si>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</si>
  <si>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</si>
  <si>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</si>
  <si>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</si>
  <si>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</si>
  <si>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</si>
  <si>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</si>
  <si>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</si>
  <si>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</si>
  <si>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</si>
  <si>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</si>
  <si>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</si>
  <si>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</si>
  <si>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</si>
  <si>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</si>
  <si>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</si>
  <si>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</si>
  <si>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</si>
  <si>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</si>
  <si>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</si>
  <si>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</si>
  <si>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</si>
  <si>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</si>
  <si>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</si>
  <si>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</si>
  <si>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</si>
  <si>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</si>
  <si>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</si>
  <si>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</si>
  <si>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</si>
  <si>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</si>
  <si>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</si>
  <si>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</si>
  <si>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</si>
  <si>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</si>
  <si>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</si>
  <si>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</si>
  <si>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</si>
  <si>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</si>
  <si>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</si>
  <si>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</si>
  <si>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</si>
  <si>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</si>
  <si>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</si>
  <si>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</si>
  <si>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</si>
  <si>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</si>
  <si>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</si>
  <si>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</si>
  <si>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</si>
  <si>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</si>
  <si>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</si>
  <si>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</si>
  <si>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</si>
  <si>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</si>
  <si>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</si>
  <si>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</si>
  <si>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</si>
  <si>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</si>
  <si>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</si>
  <si>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</si>
  <si>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</si>
  <si>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</si>
  <si>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</si>
  <si>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</si>
  <si>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</si>
  <si>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</si>
  <si>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</si>
  <si>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</si>
  <si>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</si>
  <si>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</si>
  <si>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</si>
  <si>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</si>
  <si>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</si>
  <si>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</si>
  <si>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</si>
  <si>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</si>
  <si>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</si>
  <si>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</si>
  <si>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</si>
  <si>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</si>
  <si>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</si>
  <si>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</si>
  <si>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</si>
  <si>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</si>
  <si>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</si>
  <si>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</si>
  <si>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</si>
  <si>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</si>
  <si>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</si>
  <si>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</si>
  <si>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</si>
  <si>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</si>
  <si>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</si>
  <si>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</si>
  <si>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</si>
  <si>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</si>
  <si>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</si>
  <si>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</si>
  <si>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</si>
  <si>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</si>
  <si>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</si>
  <si>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</si>
  <si>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</si>
  <si>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</si>
  <si>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</si>
  <si>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</si>
  <si>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</si>
  <si>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</si>
  <si>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</si>
  <si>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</si>
  <si>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</si>
  <si>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</si>
  <si>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</si>
  <si>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</si>
  <si>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</si>
  <si>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</si>
  <si>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</si>
  <si>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</si>
  <si>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</si>
  <si>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</si>
  <si>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</si>
  <si>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</si>
  <si>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</si>
  <si>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</si>
  <si>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</si>
  <si>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</si>
  <si>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</si>
  <si>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</si>
  <si>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</si>
  <si>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</si>
  <si>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</si>
  <si>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</si>
  <si>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</si>
  <si>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</si>
  <si>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</si>
  <si>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</si>
  <si>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</si>
  <si>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</si>
  <si>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</si>
  <si>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</si>
  <si>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</si>
  <si>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</si>
  <si>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</si>
  <si>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</si>
  <si>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</si>
  <si>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</si>
  <si>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</si>
  <si>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</si>
  <si>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</si>
  <si>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</si>
  <si>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</si>
  <si>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</si>
  <si>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</si>
  <si>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</si>
  <si>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</si>
  <si>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</si>
  <si>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</si>
  <si>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</si>
  <si>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</si>
  <si>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</si>
  <si>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</si>
  <si>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</si>
  <si>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</si>
  <si>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</si>
  <si>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</si>
  <si>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</si>
  <si>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</si>
  <si>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</si>
  <si>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</si>
  <si>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</si>
  <si>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</si>
  <si>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</si>
  <si>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</si>
  <si>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</si>
  <si>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</si>
  <si>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</si>
  <si>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</si>
  <si>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</si>
  <si>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</si>
  <si>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</si>
  <si>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</si>
  <si>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</si>
  <si>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</si>
  <si>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</si>
  <si>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</si>
  <si>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</si>
  <si>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</si>
  <si>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</si>
  <si>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</si>
  <si>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</si>
  <si>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</si>
  <si>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</si>
  <si>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</si>
  <si>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</si>
  <si>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</si>
  <si>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</si>
  <si>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</si>
  <si>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</si>
  <si>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</si>
  <si>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</si>
  <si>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</si>
  <si>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</si>
  <si>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</si>
  <si>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</si>
  <si>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</si>
  <si>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</si>
  <si>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</si>
  <si>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</si>
  <si>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1250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</si>
  <si>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</si>
  <si>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</si>
  <si>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</si>
  <si>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</si>
  <si>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</si>
  <si>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</si>
  <si>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</si>
  <si>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</si>
  <si>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</si>
  <si>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</si>
  <si>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</si>
  <si>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</si>
  <si>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</si>
  <si>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</si>
  <si>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</si>
  <si>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</si>
  <si>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</si>
  <si>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</si>
  <si>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</si>
  <si>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</si>
  <si>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</si>
  <si>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</si>
  <si>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</si>
  <si>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</si>
  <si>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</si>
  <si>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r>
      <rPr>
        <sz val="11"/>
        <color theme="1"/>
        <rFont val="微软雅黑"/>
        <family val="2"/>
        <charset val="134"/>
      </rPr>
      <t>mongkey</t>
    </r>
    <r>
      <rPr>
        <sz val="11"/>
        <color theme="1"/>
        <rFont val="微软雅黑"/>
        <family val="2"/>
        <charset val="134"/>
      </rPr>
      <t>SPG</t>
    </r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</si>
  <si>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</si>
  <si>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</si>
  <si>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</si>
  <si>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</si>
  <si>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</si>
  <si>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</si>
  <si>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</si>
  <si>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</si>
  <si>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</si>
  <si>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</si>
  <si>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</si>
  <si>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</si>
  <si>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</si>
  <si>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</si>
  <si>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</si>
  <si>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</si>
  <si>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</si>
  <si>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</si>
  <si>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</si>
  <si>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</si>
  <si>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</si>
  <si>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</si>
  <si>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</si>
  <si>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</si>
  <si>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</si>
  <si>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</si>
  <si>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</si>
  <si>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</si>
  <si>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</si>
  <si>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</si>
  <si>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</si>
  <si>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</si>
  <si>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</si>
  <si>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</si>
  <si>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</si>
  <si>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</si>
  <si>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</si>
  <si>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</si>
  <si>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</si>
  <si>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</si>
  <si>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</si>
  <si>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</si>
  <si>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</si>
  <si>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</si>
  <si>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</si>
  <si>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</si>
  <si>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</si>
  <si>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</si>
  <si>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</si>
  <si>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</si>
  <si>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</si>
  <si>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</si>
  <si>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</si>
  <si>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</si>
  <si>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</si>
  <si>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</si>
  <si>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</si>
  <si>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</si>
  <si>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</si>
  <si>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</si>
  <si>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</si>
  <si>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</si>
  <si>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</si>
  <si>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</si>
  <si>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</si>
  <si>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</si>
  <si>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</si>
  <si>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</si>
  <si>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</si>
  <si>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</si>
  <si>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</si>
  <si>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</si>
  <si>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</si>
  <si>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</si>
  <si>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</si>
  <si>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</si>
  <si>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</si>
  <si>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</si>
  <si>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</si>
  <si>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</si>
  <si>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</si>
  <si>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</si>
  <si>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</si>
  <si>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</si>
  <si>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</si>
  <si>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</si>
  <si>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</si>
  <si>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</si>
  <si>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</si>
  <si>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</si>
  <si>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</si>
  <si>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</si>
  <si>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</si>
  <si>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</si>
  <si>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幸运值每8~18秒重置或捕获奖金鱼后重置</t>
  </si>
  <si>
    <t>1次不出</t>
  </si>
  <si>
    <t>出1次</t>
  </si>
  <si>
    <t>出2次</t>
  </si>
  <si>
    <t>出3次</t>
  </si>
  <si>
    <t>出4次</t>
  </si>
  <si>
    <t>c</t>
  </si>
  <si>
    <t>成功概率、失败概率为计算值</t>
  </si>
  <si>
    <t>炮倍</t>
  </si>
  <si>
    <t>score</t>
  </si>
  <si>
    <t>基础金币</t>
  </si>
  <si>
    <t>G</t>
  </si>
  <si>
    <t>addGPer</t>
  </si>
  <si>
    <t>addG</t>
  </si>
  <si>
    <t>failGetPer</t>
  </si>
  <si>
    <t>failP</t>
  </si>
  <si>
    <t>failShowP</t>
  </si>
  <si>
    <t>colour</t>
  </si>
  <si>
    <t>tips</t>
  </si>
  <si>
    <t>拿钱走人</t>
  </si>
  <si>
    <t>从有实际自爆率开始计算</t>
  </si>
  <si>
    <t>连击次数</t>
  </si>
  <si>
    <r>
      <rPr>
        <b/>
        <sz val="9"/>
        <color rgb="FF7030A0"/>
        <rFont val="微软雅黑"/>
        <family val="2"/>
        <charset val="134"/>
      </rPr>
      <t xml:space="preserve">每次成功金币加成%
</t>
    </r>
    <r>
      <rPr>
        <sz val="8"/>
        <color rgb="FF7030A0"/>
        <rFont val="微软雅黑"/>
        <family val="2"/>
        <charset val="134"/>
      </rPr>
      <t>超过连击次数的按照最后一次计算</t>
    </r>
  </si>
  <si>
    <t>点击成功后的金币</t>
  </si>
  <si>
    <t>失败后拿走
当前金币%
，50表示50%</t>
  </si>
  <si>
    <t>自爆概率
服务器计算用</t>
  </si>
  <si>
    <t>修正自暴率
客户端展示</t>
  </si>
  <si>
    <t>自暴率数字色值，不配置为白色</t>
  </si>
  <si>
    <t>气泡提示
连击之前的气泡提示
key1,key2，表示从两个里面随机一个</t>
  </si>
  <si>
    <t>初始金币</t>
  </si>
  <si>
    <t>每次成功金币加成%</t>
  </si>
  <si>
    <t>点击成功概率</t>
  </si>
  <si>
    <t>失败后拿走金币%</t>
  </si>
  <si>
    <t>自爆获得金币</t>
  </si>
  <si>
    <t>点击失败概率</t>
  </si>
  <si>
    <t>失败显示值</t>
  </si>
  <si>
    <t>本次行为的期望金币值</t>
  </si>
  <si>
    <t>hetun_click1</t>
  </si>
  <si>
    <t>hetun_click2</t>
  </si>
  <si>
    <t>hetun_click3</t>
  </si>
  <si>
    <t>hetun_click4</t>
  </si>
  <si>
    <t>hetun_click5</t>
  </si>
  <si>
    <t>hetun_click4,hetun_click5</t>
  </si>
  <si>
    <t>ff0000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</si>
  <si>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</si>
  <si>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</si>
  <si>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</si>
  <si>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</si>
  <si>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</si>
  <si>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</si>
  <si>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</si>
  <si>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</si>
  <si>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</si>
  <si>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oneTimeBuy</t>
  </si>
  <si>
    <t>oneTimeReward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</si>
  <si>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</si>
  <si>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</si>
  <si>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</si>
  <si>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</si>
  <si>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</si>
  <si>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</si>
  <si>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</si>
  <si>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</si>
  <si>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</si>
  <si>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</si>
  <si>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</si>
  <si>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</si>
  <si>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</si>
  <si>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</si>
  <si>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</si>
  <si>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</si>
  <si>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</si>
  <si>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</si>
  <si>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</si>
  <si>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</si>
  <si>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</si>
  <si>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</si>
  <si>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</si>
  <si>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</si>
  <si>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</si>
  <si>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</si>
  <si>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</si>
  <si>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</si>
  <si>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</si>
  <si>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</si>
  <si>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</si>
  <si>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</si>
  <si>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</si>
  <si>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</si>
  <si>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</si>
  <si>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</si>
  <si>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</si>
  <si>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商城免费领取金币</t>
  </si>
  <si>
    <t>商城免费领取钻石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</si>
  <si>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</si>
  <si>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</si>
  <si>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</si>
  <si>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</si>
  <si>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</si>
  <si>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</si>
  <si>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</si>
  <si>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</si>
  <si>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</si>
  <si>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</si>
  <si>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</si>
  <si>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</si>
  <si>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</si>
  <si>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</si>
  <si>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</si>
  <si>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</si>
  <si>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</si>
  <si>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</si>
  <si>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</si>
  <si>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</si>
  <si>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</si>
  <si>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</si>
  <si>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</si>
  <si>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</si>
  <si>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</si>
  <si>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</si>
  <si>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</si>
  <si>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</si>
  <si>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</si>
  <si>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</si>
  <si>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</si>
  <si>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</si>
  <si>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</si>
  <si>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</si>
  <si>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</si>
  <si>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</si>
  <si>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</si>
  <si>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</si>
  <si>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</si>
  <si>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</si>
  <si>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</si>
  <si>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</si>
  <si>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</si>
  <si>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幸运值范围
幸运值*最终能量为最后能量</t>
  </si>
  <si>
    <t>平均值</t>
  </si>
  <si>
    <t>倒计时/小时</t>
  </si>
  <si>
    <t>每天领取</t>
  </si>
  <si>
    <t>v0--v3</t>
  </si>
  <si>
    <t>值范围（小）</t>
  </si>
  <si>
    <t>值范围（大）</t>
  </si>
  <si>
    <t>1|2|10000,1|2|15000,1|2|20000</t>
  </si>
  <si>
    <t>1|1|1,1|1|1</t>
  </si>
  <si>
    <t>2|1001|1,2|1002|1,2|1004|1,2|1601|5</t>
  </si>
  <si>
    <t>[[4,0.95],[5,0.95],[6,0.85]]</t>
  </si>
  <si>
    <t>基础炮</t>
  </si>
  <si>
    <t>总期望</t>
  </si>
  <si>
    <t>16,0,12,99</t>
  </si>
  <si>
    <t>0,3</t>
  </si>
  <si>
    <t>8</t>
  </si>
  <si>
    <t>1|2|500000</t>
  </si>
  <si>
    <t>1|2|20000,1|2|30000,1|2|40000</t>
  </si>
  <si>
    <t>1|1|1,1|1|2</t>
  </si>
  <si>
    <t>金刚王座</t>
  </si>
  <si>
    <t>16,0,17,3,5</t>
  </si>
  <si>
    <t>0,4,8</t>
  </si>
  <si>
    <t>1|2|2000000</t>
  </si>
  <si>
    <t>2|1001|1,2|1002|1,2|1004|1,2|1601|6</t>
  </si>
  <si>
    <t>急速旋涡</t>
  </si>
  <si>
    <t>16,0,9,7,4</t>
  </si>
  <si>
    <t>0,4,5</t>
  </si>
  <si>
    <t>1|2|5000000</t>
  </si>
  <si>
    <t>4,5</t>
  </si>
  <si>
    <t>1|2|300000</t>
  </si>
  <si>
    <t>未来科技</t>
  </si>
  <si>
    <t>16,0,9,7,12</t>
  </si>
  <si>
    <t>1|2|10000000</t>
  </si>
  <si>
    <t>2|1001|2,2|1002|2,2|1004|2,2|1601|8</t>
  </si>
  <si>
    <t>1|2|1000000</t>
  </si>
  <si>
    <t>1|2|7500000</t>
  </si>
  <si>
    <t>热能熔炉</t>
  </si>
  <si>
    <t>16,0,2,9,7,4,5</t>
  </si>
  <si>
    <t>1|2|15000000</t>
  </si>
  <si>
    <t>1|2|40000,1|2|50000,1|2|60000,1|2|70000,1|2|80000</t>
  </si>
  <si>
    <t>1|1|2,1|1|3,1|1|4</t>
  </si>
  <si>
    <t>1|2|1500000</t>
  </si>
  <si>
    <t>生命守护</t>
  </si>
  <si>
    <t>16,0,2,9,7,3,12</t>
  </si>
  <si>
    <t>0,4,9,8</t>
  </si>
  <si>
    <t>1|2|18000000</t>
  </si>
  <si>
    <t>2|1001|2,2|1002|2,2|1004|2,2|1601|10</t>
  </si>
  <si>
    <t>1|2|3000000</t>
  </si>
  <si>
    <t>磁悬风暴</t>
  </si>
  <si>
    <t>0,4,5,9,7</t>
  </si>
  <si>
    <t>1|2|25000000</t>
  </si>
  <si>
    <t>2|1001|3,2|1002|3,2|1004|3,2|1601|10</t>
  </si>
  <si>
    <t>1,1</t>
  </si>
  <si>
    <t>2,5</t>
  </si>
  <si>
    <t>6,10</t>
  </si>
  <si>
    <t>恶魔城堡</t>
  </si>
  <si>
    <t>16,0,2,9,7,12</t>
  </si>
  <si>
    <t>0,9,8,7</t>
  </si>
  <si>
    <t>1|2|50000000</t>
  </si>
  <si>
    <t>2|1001|3,2|1002|3,2|1004|3,2|1601|12</t>
  </si>
  <si>
    <t>11,15</t>
  </si>
  <si>
    <t>赤色火焰</t>
  </si>
  <si>
    <t>0,4,9,8,7</t>
  </si>
  <si>
    <t>1|2|100000000</t>
  </si>
  <si>
    <t>1|2|80000,1|2|90000,1|2|100000,1|2|110000,1|2|120000</t>
  </si>
  <si>
    <t>1|1|4,1|1|5,1|1|6</t>
  </si>
  <si>
    <t>2|1001|3,2|1002|3,2|1004|3,2|1601|15</t>
  </si>
  <si>
    <t>16,20</t>
  </si>
  <si>
    <t>末日裁决</t>
  </si>
  <si>
    <t>v4--v7</t>
  </si>
  <si>
    <t>16,0,2,9,7,4,12</t>
  </si>
  <si>
    <t>1|2|200000000</t>
  </si>
  <si>
    <t>2|1001|3,2|1002|3,2|1004|3,2|1601|20</t>
  </si>
  <si>
    <t>1|2|20000000</t>
  </si>
  <si>
    <t>v8--v10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</si>
  <si>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</si>
  <si>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</si>
  <si>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</si>
  <si>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</si>
  <si>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</si>
  <si>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</si>
  <si>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</si>
  <si>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</si>
  <si>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</si>
  <si>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</si>
  <si>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</si>
  <si>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</si>
  <si>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</si>
  <si>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jbpBasicG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</si>
  <si>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</si>
  <si>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</si>
  <si>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</si>
  <si>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</si>
  <si>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</si>
  <si>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</si>
  <si>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</si>
  <si>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</si>
  <si>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</si>
  <si>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</si>
  <si>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</si>
  <si>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</si>
  <si>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</si>
  <si>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</si>
  <si>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</si>
  <si>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</si>
  <si>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</si>
  <si>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dtSpineAnimation</t>
  </si>
  <si>
    <t>soffsit</t>
  </si>
  <si>
    <t>billNum</t>
  </si>
  <si>
    <t>peculiarity</t>
  </si>
  <si>
    <t>peculiarityBox</t>
  </si>
  <si>
    <t>peculiarityZh</t>
  </si>
  <si>
    <t>leaveUp</t>
  </si>
  <si>
    <t>通过全局表查看任务出现时机</t>
  </si>
  <si>
    <t>房间id
1新手,2初级
3中级,4高级
5竞技场,6核弹专场</t>
  </si>
  <si>
    <t>是否作为快速开始选择房间
1表示是，
0表示否</t>
  </si>
  <si>
    <t>房间可以使用的最小炮倍率</t>
  </si>
  <si>
    <t>房间可以使用的最大炮倍率</t>
  </si>
  <si>
    <t>进入房间最小金币数量</t>
  </si>
  <si>
    <t>进入房间最大金币数量
-1表示无穷大</t>
  </si>
  <si>
    <t>进入房间最小vip等级</t>
  </si>
  <si>
    <t>进入房间默认炮倍
后续保存玩家使用炮倍</t>
  </si>
  <si>
    <t>每日首次解锁
该房间奖励金币</t>
  </si>
  <si>
    <t>悬赏任务出现时机：
1按照全局表房间时间间隔出现
2按照全局表房间总开火次数出现
3按照自己消耗参赛子弹个数</t>
  </si>
  <si>
    <t>小游戏卡牌类型：
-1表示该房间不掉小游戏卡牌
1寻宝鱼,2国王的悬赏
3开贝壳,4神龙聚首</t>
  </si>
  <si>
    <t>悬赏任务从以下中随机一个</t>
  </si>
  <si>
    <t>聚宝盆在每个房间基础金币值</t>
  </si>
  <si>
    <t>前期节奏，每个房间
开火次数上限
超过上限后该房间前期演出节奏结束</t>
  </si>
  <si>
    <t xml:space="preserve">该房间在前期节奏期间
演出金币小于某个值后必中
0表示无此限制
</t>
  </si>
  <si>
    <r>
      <rPr>
        <b/>
        <sz val="9"/>
        <color rgb="FFFF0000"/>
        <rFont val="微软雅黑"/>
        <family val="2"/>
        <charset val="134"/>
      </rPr>
      <t>经典场</t>
    </r>
    <r>
      <rPr>
        <sz val="9"/>
        <color theme="1"/>
        <rFont val="微软雅黑"/>
        <family val="2"/>
        <charset val="134"/>
      </rPr>
      <t>前期节奏期间
上一个房间是x时，返回该房间则新手能量为B计算方式</t>
    </r>
  </si>
  <si>
    <t>新手、初级、中级房不破产礼包对应的1-4阶段金币池子，阶段5以玩家持有的金币数量达到进入下一房间要求为准
炮解锁表</t>
  </si>
  <si>
    <t xml:space="preserve">不破产阶段5也是
跳转房间需要持有的金币数量
以玩家持有的金币数量达到进入下一房间要求为准
</t>
  </si>
  <si>
    <r>
      <rPr>
        <sz val="9"/>
        <color theme="1"/>
        <rFont val="微软雅黑"/>
        <family val="2"/>
        <charset val="134"/>
      </rPr>
      <t xml:space="preserve">每个房间对应的人民币掉落范围，前后都是闭区间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</si>
  <si>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掉落的情况
</t>
    </r>
    <r>
      <rPr>
        <sz val="9"/>
        <color rgb="FFFF0000"/>
        <rFont val="微软雅黑"/>
        <family val="2"/>
        <charset val="134"/>
      </rPr>
      <t>暂时废弃</t>
    </r>
  </si>
  <si>
    <r>
      <rPr>
        <sz val="9"/>
        <color theme="1"/>
        <rFont val="微软雅黑"/>
        <family val="2"/>
        <charset val="134"/>
      </rPr>
      <t xml:space="preserve">话费券单位
</t>
    </r>
    <r>
      <rPr>
        <sz val="9"/>
        <color rgb="FFFF0000"/>
        <rFont val="微软雅黑"/>
        <family val="2"/>
        <charset val="134"/>
      </rPr>
      <t>实际除以10以人民币为单位掉落
暂时废弃</t>
    </r>
  </si>
  <si>
    <t>玩家解锁当前房间时
话费券上限额外增加值
单位0.01</t>
  </si>
  <si>
    <t>loading的场景配图名字</t>
  </si>
  <si>
    <t>loading的场景对应的特色玩家描述
icon、描述、框
框颜色</t>
  </si>
  <si>
    <t xml:space="preserve">对应的场景名称：
场景切换顺序
</t>
  </si>
  <si>
    <r>
      <rPr>
        <sz val="9"/>
        <color theme="1"/>
        <rFont val="微软雅黑"/>
        <family val="2"/>
        <charset val="134"/>
      </rPr>
      <t>对应的场景名称：
场景切换顺序，</t>
    </r>
    <r>
      <rPr>
        <sz val="9"/>
        <color rgb="FFFF0000"/>
        <rFont val="微软雅黑"/>
        <family val="2"/>
        <charset val="134"/>
      </rPr>
      <t>竞技场没有场景切换，金币场和弹头场有
bg_aisha,bg_binghai,bg_caishen,bg_longjing</t>
    </r>
  </si>
  <si>
    <t>场景切换时间间隔/分钟
3,5表示3～5之间随机一个时间，可能是3.5分钟</t>
  </si>
  <si>
    <t>对应的音效：</t>
  </si>
  <si>
    <r>
      <rPr>
        <sz val="9"/>
        <color theme="1"/>
        <rFont val="微软雅黑"/>
        <family val="2"/>
        <charset val="134"/>
      </rPr>
      <t xml:space="preserve">大厅动画
形象spine动画
</t>
    </r>
    <r>
      <rPr>
        <sz val="9"/>
        <color rgb="FFFF0000"/>
        <rFont val="微软雅黑"/>
        <family val="2"/>
        <charset val="134"/>
      </rPr>
      <t>(对应的每个房间入口显示表现)</t>
    </r>
  </si>
  <si>
    <t>渔场入口
spine对应的皮肤</t>
  </si>
  <si>
    <t>大厅
spine对应的动作</t>
  </si>
  <si>
    <t>大厅动画偏移
x,y</t>
  </si>
  <si>
    <t>话费赛奖励数量，大厅显示用
-1表示无话费赛</t>
  </si>
  <si>
    <t xml:space="preserve">房间下方特色玩法
1.龙舟赛
2.福卡来袭
3.小游戏卡牌
4.艾莎
5.财神
6.玄龙鲸
7.金蟾
8.冰海精灵
9.雷神锤
10.暴富鸭
11.蟹将军
12.爆爆河豚
13.聚宝盆
</t>
  </si>
  <si>
    <t xml:space="preserve">房间下方特色玩法的外框,注意与特色玩法的位置对应
1.最高级
2.中级
3.普通
</t>
  </si>
  <si>
    <t xml:space="preserve">房间下方特色玩法的描述（多语言）
c：初级龙舟赛
z：中级龙舟赛
g：高级龙舟赛
2.福卡来袭
3.小游戏卡牌
4.艾莎
5.财神
6.玄龙鲸
7.金蟾
8.冰海精灵
9.雷神锤
10.暴富鸭
11.蟹将军
12.爆爆河豚
13.聚宝盆
</t>
  </si>
  <si>
    <t>离开此房间进入下一房间的飞升动画提示
1.升至下一渔场
2.傲视群雄前往高级渔场
3.突破啦！下个渔场见
4.天选之子已达高级渔场</t>
  </si>
  <si>
    <t>对应loadingTS</t>
  </si>
  <si>
    <t>3,4,5,6</t>
  </si>
  <si>
    <t>0.05,0.15</t>
  </si>
  <si>
    <t>0.5,1,1.5</t>
  </si>
  <si>
    <t>tx_ld_hsbz</t>
  </si>
  <si>
    <t>[[ic_dcj_8,tx_ld_bhjl_01,ui_dcj_k_1],[ic_dcj_9,tx_ld_lsc_01,ui_dcj_k_3],[ic_dcj_17,tx_ld_bbht_01,ui_dcj_k_3],[ic_dcj_18,tx_ld_jbp_01,ui_dcj_k_3]]</t>
  </si>
  <si>
    <t>bg_aisha</t>
  </si>
  <si>
    <t>3,5</t>
  </si>
  <si>
    <t>yinxiao_rukou2</t>
  </si>
  <si>
    <t>zhangyu</t>
  </si>
  <si>
    <t>haishenbaozang</t>
  </si>
  <si>
    <t>animation</t>
  </si>
  <si>
    <t>16,3</t>
  </si>
  <si>
    <t>8,9,12,13</t>
  </si>
  <si>
    <t>1,3,3,3</t>
  </si>
  <si>
    <t>1,2,3,4</t>
  </si>
  <si>
    <t>冰海精灵</t>
  </si>
  <si>
    <t>ic_dcj_8</t>
  </si>
  <si>
    <t>tx_ld_bhjl_01</t>
  </si>
  <si>
    <t>ui_dcj_k_1</t>
  </si>
  <si>
    <t>3201,3202,3203</t>
  </si>
  <si>
    <t>0.15,0.25</t>
  </si>
  <si>
    <t>1.5,2,2.5</t>
  </si>
  <si>
    <t>tx_ld_hxsh</t>
  </si>
  <si>
    <t>[[ic_dcj_4,tx_ld_as_01,ui_dcj_k_3],[ic_dcj_1,tx_ld_cjlzfks_01,ui_dcj_k_1],[ic_dcj_17,tx_ld_bbht_01,ui_dcj_k_3],[ic_dcj_3,tx_ld_xyxkp_01,ui_dcj_k_3]]</t>
  </si>
  <si>
    <t>bg_binghai</t>
  </si>
  <si>
    <t>yinxiao_rukou1</t>
  </si>
  <si>
    <t>pangxie</t>
  </si>
  <si>
    <t>hengixngsihai</t>
  </si>
  <si>
    <t>12,-8</t>
  </si>
  <si>
    <t>1,12,4,3</t>
  </si>
  <si>
    <t>c,12,4,3</t>
  </si>
  <si>
    <t>雷神锤</t>
  </si>
  <si>
    <t>ic_dcj_9</t>
  </si>
  <si>
    <t>tx_ld_lsc_01</t>
  </si>
  <si>
    <t>ui_dcj_k_3</t>
  </si>
  <si>
    <t>4,5,6</t>
  </si>
  <si>
    <t>0.3,0.5</t>
  </si>
  <si>
    <t>3,4,5</t>
  </si>
  <si>
    <t>tx_ld_jcjb</t>
  </si>
  <si>
    <t>[[ic_dcj_5,tx_ld_cs_01,ui_dcj_k_3],[ic_dcj_7,tx_ld_jc_01,ui_dcj_k_1],[ic_dcj_1,tx_ld_zjlzfks_01,ui_dcj_k_3],[ic_dcj_18,tx_ld_jbp_01,ui_dcj_k_3]]</t>
  </si>
  <si>
    <t>bg_caishen</t>
  </si>
  <si>
    <t>jinchan</t>
  </si>
  <si>
    <t>jinchanjubao</t>
  </si>
  <si>
    <t>-8,-27</t>
  </si>
  <si>
    <t>7,1,13,5</t>
  </si>
  <si>
    <t>7,z,13,5</t>
  </si>
  <si>
    <t>爆爆河豚</t>
  </si>
  <si>
    <t>ic_dcj_17</t>
  </si>
  <si>
    <t>tx_ld_bbht_01</t>
  </si>
  <si>
    <r>
      <rPr>
        <sz val="11"/>
        <color theme="1"/>
        <rFont val="微软雅黑"/>
        <family val="2"/>
        <charset val="134"/>
      </rPr>
      <t>1</t>
    </r>
    <r>
      <rPr>
        <sz val="11"/>
        <color theme="1"/>
        <rFont val="微软雅黑"/>
        <family val="2"/>
        <charset val="134"/>
      </rPr>
      <t>,2,</t>
    </r>
    <r>
      <rPr>
        <sz val="11"/>
        <color theme="1"/>
        <rFont val="微软雅黑"/>
        <family val="2"/>
        <charset val="134"/>
      </rPr>
      <t>3,4,5,6</t>
    </r>
  </si>
  <si>
    <t>tx_ld_llxk</t>
  </si>
  <si>
    <t>[[ic_dcj_6,tx_ld_xlj_01,ui_dcj_k_3],[ic_dcj_7,tx_ld_jc_01,ui_dcj_k_1],[ic_dcj_1,tx_ld_gjlzfks_01,ui_dcj_k_3],[ic_dcj_5,tx_ld_cs_01,ui_dcj_k_3]]</t>
  </si>
  <si>
    <t>bg_longjing</t>
  </si>
  <si>
    <t>longlingxuanku</t>
  </si>
  <si>
    <t>35,15</t>
  </si>
  <si>
    <t>7,1,5,6</t>
  </si>
  <si>
    <t>7,g,5,6</t>
  </si>
  <si>
    <t>聚宝盆</t>
  </si>
  <si>
    <t>ic_dcj_18</t>
  </si>
  <si>
    <t>tx_ld_jbp_01</t>
  </si>
  <si>
    <t>tx_ld_jjc</t>
  </si>
  <si>
    <t>[[ic_dcj_15,tx_ld_pm_01,ui_dcj_k_1],[ic_dcj_14,tx_ld_zd_01,ui_dcj_k_3],[ic_dcj_16,tx_ld_xyjf_01,ui_dcj_k_3],[ic_dcj_12,tx_ld_pb_02,ui_dcj_k_3]]</t>
  </si>
  <si>
    <t>bg_jingji</t>
  </si>
  <si>
    <t>jingjichang</t>
  </si>
  <si>
    <t>0,0</t>
  </si>
  <si>
    <t>8,9,10,11</t>
  </si>
  <si>
    <t>tx_ld_hdzc</t>
  </si>
  <si>
    <t>[[ic_dcj_13,tx_ld_hjyhzz_01,ui_dcj_k_1],[ic_dcj_12,tx_ld_pb_01,ui_dcj_k_3],[ic_dcj_7,tx_ld_jc_01,ui_dcj_k_1],[ic_dcj_1,tx_ld_gjlzfks_01,ui_dcj_k_3]]</t>
  </si>
  <si>
    <t>bg_kongqi</t>
  </si>
  <si>
    <t>anim_guoneilonggui</t>
  </si>
  <si>
    <t>hedanzhuanchang</t>
  </si>
  <si>
    <t>0,30</t>
  </si>
  <si>
    <t>艾莎</t>
  </si>
  <si>
    <t>ic_dcj_4</t>
  </si>
  <si>
    <t>tx_ld_as_01</t>
  </si>
  <si>
    <t>ic_dcj_1</t>
  </si>
  <si>
    <t>tx_ld_cjlzfks_01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</si>
  <si>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</si>
  <si>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</si>
  <si>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</si>
  <si>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</si>
  <si>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</si>
  <si>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</si>
  <si>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</si>
  <si>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</si>
  <si>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</si>
  <si>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tx_ld_zjlzfks_01</t>
  </si>
  <si>
    <t>福卡来袭</t>
  </si>
  <si>
    <t>ic_dcj_2_1</t>
  </si>
  <si>
    <t>tx_ld_fklx_01</t>
  </si>
  <si>
    <t>玄龙鲸</t>
  </si>
  <si>
    <t>ic_dcj_6</t>
  </si>
  <si>
    <t>tx_ld_xlj_01</t>
  </si>
  <si>
    <t>tx_ld_gjlzfks_01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</si>
  <si>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</si>
  <si>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</si>
  <si>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</si>
  <si>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</si>
  <si>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</si>
  <si>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</si>
  <si>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</si>
  <si>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</si>
  <si>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</si>
  <si>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ic_dcj_12</t>
  </si>
  <si>
    <t>tx_ld_pb_02</t>
  </si>
  <si>
    <t>核弹形象</t>
  </si>
  <si>
    <t>ic_dcj_13</t>
  </si>
  <si>
    <t>tx_ld_hjyhzz_01</t>
  </si>
  <si>
    <t>通用炮形象</t>
  </si>
  <si>
    <t>tx_ld_pb_01</t>
  </si>
  <si>
    <t>钻石</t>
  </si>
  <si>
    <t>超级武器4</t>
  </si>
  <si>
    <t>超级武器2</t>
  </si>
  <si>
    <t>福卡</t>
  </si>
  <si>
    <t>level</t>
  </si>
  <si>
    <t>exp</t>
  </si>
  <si>
    <t>reward1</t>
  </si>
  <si>
    <t>reward2</t>
  </si>
  <si>
    <t>reward3</t>
  </si>
  <si>
    <t>growUp</t>
  </si>
  <si>
    <t>buyGrowup</t>
  </si>
  <si>
    <t>开炮次数/s</t>
  </si>
  <si>
    <t>超级武器3</t>
  </si>
  <si>
    <t>系统馈赠的福卡金币价值按照500金币=1福卡</t>
  </si>
  <si>
    <t>用户等级</t>
  </si>
  <si>
    <r>
      <rPr>
        <sz val="8"/>
        <color theme="1"/>
        <rFont val="微软雅黑"/>
        <family val="2"/>
        <charset val="134"/>
      </rPr>
      <t xml:space="preserve">当前级升级到下一等级所需经验值
</t>
    </r>
    <r>
      <rPr>
        <b/>
        <sz val="8"/>
        <color rgb="FF7030A0"/>
        <rFont val="微软雅黑"/>
        <family val="2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</si>
  <si>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</si>
  <si>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升级奖励</t>
  </si>
  <si>
    <t>福利
成长奖励</t>
  </si>
  <si>
    <t>福利
基金奖励</t>
  </si>
  <si>
    <t>当前等级规划的
停留时间/分钟</t>
  </si>
  <si>
    <t>游戏总时长/分钟
未考虑演出阶段</t>
  </si>
  <si>
    <t>天数：
1天按照4小时考虑</t>
  </si>
  <si>
    <t>能量E</t>
  </si>
  <si>
    <t>获得经验
/分钟</t>
  </si>
  <si>
    <t>当前等级
经验</t>
  </si>
  <si>
    <t>物品名称</t>
  </si>
  <si>
    <t>物品类型</t>
  </si>
  <si>
    <t>物品id</t>
  </si>
  <si>
    <r>
      <rPr>
        <b/>
        <sz val="11"/>
        <color theme="1"/>
        <rFont val="微软雅黑"/>
        <family val="2"/>
        <charset val="134"/>
      </rPr>
      <t>成长基金
成长奖励</t>
    </r>
    <r>
      <rPr>
        <sz val="11"/>
        <color theme="1"/>
        <rFont val="微软雅黑"/>
        <family val="2"/>
        <charset val="134"/>
      </rPr>
      <t xml:space="preserve">
物品名称</t>
    </r>
  </si>
  <si>
    <t>成长基金
基金奖励
物品名称</t>
  </si>
  <si>
    <t>8.21等级停留时间重新验算</t>
  </si>
  <si>
    <t>锁定</t>
  </si>
  <si>
    <t>冰冻</t>
  </si>
  <si>
    <t/>
  </si>
  <si>
    <t>按照演出金币计算玩家节奏</t>
  </si>
  <si>
    <t>召唤</t>
  </si>
  <si>
    <t>狂暴</t>
  </si>
  <si>
    <r>
      <rPr>
        <sz val="10"/>
        <color theme="1"/>
        <rFont val="微软雅黑"/>
        <family val="2"/>
        <charset val="134"/>
      </rPr>
      <t>c</t>
    </r>
    <r>
      <rPr>
        <sz val="10"/>
        <color theme="1"/>
        <rFont val="微软雅黑"/>
        <family val="2"/>
        <charset val="134"/>
      </rPr>
      <t>s</t>
    </r>
  </si>
  <si>
    <t>闪电价值</t>
  </si>
  <si>
    <t>设定：每分钟出N个钻石</t>
  </si>
  <si>
    <t>小游戏价值占比</t>
  </si>
  <si>
    <t>祝福增加时间对应价值占鱼的score比例</t>
  </si>
  <si>
    <t>冰海精灵免费开火</t>
  </si>
  <si>
    <t>能量</t>
  </si>
  <si>
    <t>捕鱼掉落福卡(只在经典场和弹头场掉）</t>
  </si>
  <si>
    <t>捕鱼净消耗金币</t>
  </si>
  <si>
    <r>
      <rPr>
        <sz val="11"/>
        <color theme="1"/>
        <rFont val="微软雅黑"/>
        <family val="2"/>
        <charset val="134"/>
      </rPr>
      <t>玩家净消耗5000得福卡x1，模型为：</t>
    </r>
    <r>
      <rPr>
        <sz val="8"/>
        <color theme="1"/>
        <rFont val="微软雅黑"/>
        <family val="2"/>
        <charset val="134"/>
      </rPr>
      <t>1倍炮、1福卡、1分鱼</t>
    </r>
  </si>
  <si>
    <r>
      <rPr>
        <sz val="11"/>
        <color theme="1"/>
        <rFont val="微软雅黑"/>
        <family val="2"/>
        <charset val="134"/>
      </rPr>
      <t>鱼被捕获情况下掉落福卡概率=炮倍*value*</t>
    </r>
    <r>
      <rPr>
        <b/>
        <sz val="11"/>
        <color theme="1"/>
        <rFont val="微软雅黑"/>
        <family val="2"/>
        <charset val="134"/>
      </rPr>
      <t>基础捕鱼掉落福卡概率</t>
    </r>
    <r>
      <rPr>
        <sz val="11"/>
        <color theme="1"/>
        <rFont val="微软雅黑"/>
        <family val="2"/>
        <charset val="134"/>
      </rPr>
      <t>/掉落总额</t>
    </r>
  </si>
  <si>
    <r>
      <rPr>
        <sz val="11"/>
        <color theme="1"/>
        <rFont val="微软雅黑"/>
        <family val="2"/>
        <charset val="134"/>
      </rPr>
      <t>玩家净消耗5xxx金币得</t>
    </r>
    <r>
      <rPr>
        <b/>
        <sz val="11"/>
        <color theme="1"/>
        <rFont val="微软雅黑"/>
        <family val="2"/>
        <charset val="134"/>
      </rPr>
      <t>猴碎片</t>
    </r>
    <r>
      <rPr>
        <sz val="11"/>
        <color theme="1"/>
        <rFont val="微软雅黑"/>
        <family val="2"/>
        <charset val="134"/>
      </rPr>
      <t>x1，模型为：</t>
    </r>
    <r>
      <rPr>
        <sz val="8"/>
        <color theme="1"/>
        <rFont val="微软雅黑"/>
        <family val="2"/>
        <charset val="134"/>
      </rPr>
      <t>1倍炮、1碎片、1分鱼</t>
    </r>
  </si>
  <si>
    <r>
      <rPr>
        <sz val="11"/>
        <color theme="1"/>
        <rFont val="微软雅黑"/>
        <family val="2"/>
        <charset val="134"/>
      </rPr>
      <t>鱼被捕获情况下掉落</t>
    </r>
    <r>
      <rPr>
        <b/>
        <sz val="11"/>
        <color theme="1"/>
        <rFont val="微软雅黑"/>
        <family val="2"/>
        <charset val="134"/>
      </rPr>
      <t>碎片</t>
    </r>
    <r>
      <rPr>
        <sz val="11"/>
        <color theme="1"/>
        <rFont val="微软雅黑"/>
        <family val="2"/>
        <charset val="134"/>
      </rPr>
      <t>概率=炮倍*value*</t>
    </r>
    <r>
      <rPr>
        <b/>
        <sz val="11"/>
        <color theme="1"/>
        <rFont val="微软雅黑"/>
        <family val="2"/>
        <charset val="134"/>
      </rPr>
      <t>基础捕鱼掉落碎片概率</t>
    </r>
    <r>
      <rPr>
        <sz val="11"/>
        <color theme="1"/>
        <rFont val="微软雅黑"/>
        <family val="2"/>
        <charset val="134"/>
      </rPr>
      <t>/掉落总额</t>
    </r>
  </si>
  <si>
    <r>
      <rPr>
        <b/>
        <sz val="11"/>
        <color theme="1"/>
        <rFont val="微软雅黑"/>
        <family val="2"/>
        <charset val="134"/>
      </rPr>
      <t>勇者斗恶龙，鱼被捕获情况下，炮倍对应的掉落概率（0</t>
    </r>
    <r>
      <rPr>
        <b/>
        <sz val="11"/>
        <color theme="1"/>
        <rFont val="微软雅黑"/>
        <family val="2"/>
        <charset val="134"/>
      </rPr>
      <t>%~100%）</t>
    </r>
  </si>
  <si>
    <t>核弹</t>
  </si>
  <si>
    <t>价值</t>
  </si>
  <si>
    <t>低级核弹</t>
  </si>
  <si>
    <t>高级核弹</t>
  </si>
  <si>
    <t>验证有问题个数</t>
  </si>
  <si>
    <t>闪电价值穿透系数</t>
  </si>
  <si>
    <t>炮开火频率/s</t>
  </si>
  <si>
    <t>小游戏积分</t>
  </si>
  <si>
    <t>新手房间</t>
  </si>
  <si>
    <t>当前炮倍</t>
  </si>
  <si>
    <t>概率max</t>
  </si>
  <si>
    <t>获得福卡</t>
  </si>
  <si>
    <t>基础捕获鱼掉落福卡概率</t>
  </si>
  <si>
    <t>基础捕获鱼掉落碎片概率</t>
  </si>
  <si>
    <t>时间节奏:/分</t>
  </si>
  <si>
    <t>fishId</t>
  </si>
  <si>
    <t>name</t>
  </si>
  <si>
    <t>fishType</t>
  </si>
  <si>
    <r>
      <rPr>
        <sz val="10"/>
        <color theme="1"/>
        <rFont val="微软雅黑"/>
        <family val="2"/>
        <charset val="134"/>
      </rPr>
      <t>fishType</t>
    </r>
    <r>
      <rPr>
        <sz val="10"/>
        <color theme="1"/>
        <rFont val="微软雅黑"/>
        <family val="2"/>
        <charset val="134"/>
      </rPr>
      <t>Child</t>
    </r>
  </si>
  <si>
    <t>scoreShow</t>
  </si>
  <si>
    <t>suoding</t>
  </si>
  <si>
    <t>scoreStage</t>
  </si>
  <si>
    <t>scoreF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</si>
  <si>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</si>
  <si>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</si>
  <si>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</si>
  <si>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</si>
  <si>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</si>
  <si>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</si>
  <si>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</si>
  <si>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stPerQuan</t>
  </si>
  <si>
    <t>stDropQuanNum</t>
  </si>
  <si>
    <t>stDropQuanUnit</t>
  </si>
  <si>
    <t>buyuFuka</t>
  </si>
  <si>
    <t>stDropSPNum</t>
  </si>
  <si>
    <t>stDropSPUnit</t>
  </si>
  <si>
    <t>buyuSP</t>
  </si>
  <si>
    <t>dropGroup</t>
  </si>
  <si>
    <t>dropDantouP</t>
  </si>
  <si>
    <t>perDraw</t>
  </si>
  <si>
    <t>perCard</t>
  </si>
  <si>
    <t>perAddT</t>
  </si>
  <si>
    <t>standardPer</t>
  </si>
  <si>
    <t>danzhu1Per</t>
  </si>
  <si>
    <t>danzhu2Per</t>
  </si>
  <si>
    <t>danzhu3Per</t>
  </si>
  <si>
    <t>addTime</t>
  </si>
  <si>
    <t>addTimeP</t>
  </si>
  <si>
    <t>rmbPoolE</t>
  </si>
  <si>
    <t>isMustHit</t>
  </si>
  <si>
    <t>isMustHitFP</t>
  </si>
  <si>
    <t>isMustHitF</t>
  </si>
  <si>
    <t>goldDropType</t>
  </si>
  <si>
    <t>animationType</t>
  </si>
  <si>
    <t>isSpine</t>
  </si>
  <si>
    <t>die_shake</t>
  </si>
  <si>
    <t>die_bg</t>
  </si>
  <si>
    <t>noflip</t>
  </si>
  <si>
    <t>scale</t>
  </si>
  <si>
    <t>scale_h5</t>
  </si>
  <si>
    <t>scale_dm</t>
  </si>
  <si>
    <t>lockScale</t>
  </si>
  <si>
    <t>frozenType</t>
  </si>
  <si>
    <t>bossTx</t>
  </si>
  <si>
    <t>bossScale</t>
  </si>
  <si>
    <t>dieNumSize</t>
  </si>
  <si>
    <t>zIndex</t>
  </si>
  <si>
    <t>flashFz</t>
  </si>
  <si>
    <t>flashBrill</t>
  </si>
  <si>
    <t>targetScale</t>
  </si>
  <si>
    <t>dieMove</t>
  </si>
  <si>
    <t>collider</t>
  </si>
  <si>
    <t>collider_h5</t>
  </si>
  <si>
    <t>book_Num</t>
  </si>
  <si>
    <t>book_kuang</t>
  </si>
  <si>
    <t>floorsTime</t>
  </si>
  <si>
    <t>waitTime</t>
  </si>
  <si>
    <t>flashE</t>
  </si>
  <si>
    <t>闪电单目标阈值</t>
  </si>
  <si>
    <t>valueIncludeCard</t>
  </si>
  <si>
    <t>一分钟开火次数</t>
  </si>
  <si>
    <t>改为小游戏积分后记得调整国王的悬赏和寻宝鱼积分档位</t>
  </si>
  <si>
    <t>得1次福卡需要时间</t>
  </si>
  <si>
    <t>1000倍炮掉落情况(标准值）</t>
  </si>
  <si>
    <t>炮倍总额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</si>
  <si>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</si>
  <si>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
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</si>
  <si>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</si>
  <si>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family val="2"/>
        <charset val="134"/>
      </rPr>
      <t xml:space="preserve">目前只有特殊鱼boss需要区分
</t>
    </r>
    <r>
      <rPr>
        <sz val="9"/>
        <color rgb="FFFF0000"/>
        <rFont val="微软雅黑"/>
        <family val="2"/>
        <charset val="134"/>
      </rPr>
      <t>1卡牌鱼,2电鳗,3炸弹
4冰海精灵,5玄龙鲸,6财神,7艾莎,8奖池,9河豚,10聚宝盆</t>
    </r>
    <r>
      <rPr>
        <sz val="9"/>
        <color rgb="FFFF0000"/>
        <rFont val="微软雅黑"/>
        <family val="2"/>
        <charset val="134"/>
      </rPr>
      <t>,11蟹元帅</t>
    </r>
    <r>
      <rPr>
        <sz val="9"/>
        <color theme="1"/>
        <rFont val="微软雅黑"/>
        <family val="2"/>
        <charset val="134"/>
      </rPr>
      <t xml:space="preserve">
其他没有的暂时用-1</t>
    </r>
  </si>
  <si>
    <t>平均
分值</t>
  </si>
  <si>
    <t>图鉴展示分值</t>
  </si>
  <si>
    <t>锁定目标的选取顺序
值越大越优先选取</t>
  </si>
  <si>
    <r>
      <rPr>
        <b/>
        <sz val="9"/>
        <color rgb="FF7030A0"/>
        <rFont val="微软雅黑"/>
        <family val="2"/>
        <charset val="134"/>
      </rPr>
      <t xml:space="preserve">黄金鱼分阶段展示分值
</t>
    </r>
    <r>
      <rPr>
        <sz val="8"/>
        <color rgb="FF7030A0"/>
        <rFont val="微软雅黑"/>
        <family val="2"/>
        <charset val="134"/>
      </rPr>
      <t>[[分值1,权重1],[分值2,权重2],[分值3,权重3],]</t>
    </r>
  </si>
  <si>
    <t>分值浮动 a,b
完全从范围内随机
先用score算命中，
然后从范围内随机
确保平均值是整数</t>
  </si>
  <si>
    <t>客户端显示
掉落抽奖券百分比
5表示5%</t>
  </si>
  <si>
    <t>额外抽奖券百分比(服务器保留数据)
1表示1%</t>
  </si>
  <si>
    <t>被捕获时获得福卡数量
（金额）</t>
  </si>
  <si>
    <t xml:space="preserve">鱼被捕获情况下银锤子掉落概率
</t>
  </si>
  <si>
    <r>
      <rPr>
        <sz val="9"/>
        <color theme="1"/>
        <rFont val="微软雅黑"/>
        <family val="2"/>
        <charset val="134"/>
      </rPr>
      <t xml:space="preserve">被捕获获得的钻石
</t>
    </r>
    <r>
      <rPr>
        <b/>
        <sz val="9"/>
        <color rgb="FFFF0000"/>
        <rFont val="微软雅黑"/>
        <family val="2"/>
        <charset val="134"/>
      </rPr>
      <t>暂时废弃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</si>
  <si>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鱼被捕获情况下
钻石掉落概率
</t>
    </r>
    <r>
      <rPr>
        <sz val="9"/>
        <color rgb="FFFF0000"/>
        <rFont val="微软雅黑"/>
        <family val="2"/>
        <charset val="134"/>
      </rPr>
      <t>武器能量0.95</t>
    </r>
    <r>
      <rPr>
        <sz val="9"/>
        <color theme="1"/>
        <rFont val="微软雅黑"/>
        <family val="2"/>
        <charset val="134"/>
      </rPr>
      <t xml:space="preserve">(算概率会用到)
</t>
    </r>
    <r>
      <rPr>
        <b/>
        <sz val="9"/>
        <color rgb="FFFF0000"/>
        <rFont val="微软雅黑"/>
        <family val="2"/>
        <charset val="134"/>
      </rPr>
      <t>暂时废弃</t>
    </r>
  </si>
  <si>
    <t>鱼被捕获情况下
掉落的小游戏卡牌概率</t>
  </si>
  <si>
    <r>
      <rPr>
        <sz val="9"/>
        <color theme="1"/>
        <rFont val="微软雅黑"/>
        <family val="2"/>
        <charset val="134"/>
      </rPr>
      <t xml:space="preserve">捕鱼掉落福卡
标准值(VIP对应的per，需要在此基础上乘以系数)
</t>
    </r>
    <r>
      <rPr>
        <sz val="9"/>
        <color theme="0"/>
        <rFont val="微软雅黑"/>
        <family val="2"/>
        <charset val="134"/>
      </rPr>
      <t>暂时废弃</t>
    </r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</si>
  <si>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</si>
  <si>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</si>
  <si>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</si>
  <si>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捕鱼掉落猴王碎片
每个fishid下标准炮倍(1000炮)对应的掉落总额</t>
  </si>
  <si>
    <t>捕鱼掉落猴王碎片
标准炮倍(1000炮)掉落面额
注:每次捕获只掉落一个面额</t>
  </si>
  <si>
    <t>掉落组:对应掉落表的dropGroup</t>
  </si>
  <si>
    <t>弹头场掉落弹头的概率P</t>
  </si>
  <si>
    <r>
      <rPr>
        <sz val="9"/>
        <color theme="1"/>
        <rFont val="微软雅黑"/>
        <family val="2"/>
        <charset val="134"/>
      </rPr>
      <t xml:space="preserve">抽奖券占比
</t>
    </r>
    <r>
      <rPr>
        <b/>
        <sz val="9"/>
        <color theme="0"/>
        <rFont val="微软雅黑"/>
        <family val="2"/>
        <charset val="134"/>
      </rPr>
      <t xml:space="preserve">必掉奖券
</t>
    </r>
    <r>
      <rPr>
        <sz val="8"/>
        <color theme="0"/>
        <rFont val="微软雅黑"/>
        <family val="2"/>
        <charset val="134"/>
      </rPr>
      <t xml:space="preserve">(0表示该鱼不掉，目前只有黄金鱼掉落奖券)
</t>
    </r>
    <r>
      <rPr>
        <b/>
        <sz val="8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</si>
  <si>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>小游戏卡牌占比
对应</t>
    </r>
    <r>
      <rPr>
        <b/>
        <sz val="9"/>
        <color theme="1"/>
        <rFont val="微软雅黑"/>
        <family val="2"/>
        <charset val="134"/>
      </rPr>
      <t xml:space="preserve">概率掉落
</t>
    </r>
    <r>
      <rPr>
        <b/>
        <sz val="9"/>
        <color theme="0"/>
        <rFont val="微软雅黑"/>
        <family val="2"/>
        <charset val="134"/>
      </rPr>
      <t>dropGameCard
最小千分之一</t>
    </r>
  </si>
  <si>
    <r>
      <rPr>
        <sz val="9"/>
        <color theme="1"/>
        <rFont val="微软雅黑"/>
        <family val="2"/>
        <charset val="134"/>
      </rPr>
      <t xml:space="preserve">免费开火增加时间占比
</t>
    </r>
    <r>
      <rPr>
        <sz val="9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</si>
  <si>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 xml:space="preserve">勇者斗恶龙活动闪电占比per标准值，
</t>
    </r>
    <r>
      <rPr>
        <sz val="9"/>
        <color theme="0"/>
        <rFont val="微软雅黑"/>
        <family val="2"/>
        <charset val="134"/>
      </rPr>
      <t>实际per=炮倍系数*该值
金蟾、龙舟、话费鱼都不会掉</t>
    </r>
  </si>
  <si>
    <r>
      <rPr>
        <sz val="9"/>
        <color theme="1"/>
        <rFont val="微软雅黑"/>
        <family val="2"/>
        <charset val="134"/>
      </rPr>
      <t>碰碰碰弹珠1掉落
道具ID</t>
    </r>
    <r>
      <rPr>
        <sz val="9"/>
        <color theme="1"/>
        <rFont val="微软雅黑"/>
        <family val="2"/>
        <charset val="134"/>
      </rPr>
      <t>1605</t>
    </r>
  </si>
  <si>
    <t>碰碰碰弹珠2掉落
道具ID1606</t>
  </si>
  <si>
    <t>碰碰碰弹珠3掉落
道具ID1607</t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</si>
  <si>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</si>
  <si>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</si>
  <si>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family val="2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family val="2"/>
        <charset val="134"/>
      </rPr>
      <t>最小千分之一</t>
    </r>
  </si>
  <si>
    <t>是否是充值池子设定的必中鱼
0否，1是</t>
  </si>
  <si>
    <r>
      <rPr>
        <b/>
        <sz val="9"/>
        <color theme="1"/>
        <rFont val="微软雅黑"/>
        <family val="2"/>
        <charset val="134"/>
      </rPr>
      <t>临近破产：</t>
    </r>
    <r>
      <rPr>
        <sz val="9"/>
        <color theme="1"/>
        <rFont val="微软雅黑"/>
        <family val="2"/>
        <charset val="134"/>
      </rPr>
      <t xml:space="preserve">
充值池子浮动方案情况下充值池子
0否，1是</t>
    </r>
  </si>
  <si>
    <r>
      <rPr>
        <b/>
        <sz val="9"/>
        <color theme="1"/>
        <rFont val="微软雅黑"/>
        <family val="2"/>
        <charset val="134"/>
      </rPr>
      <t>未临近破产：</t>
    </r>
    <r>
      <rPr>
        <sz val="9"/>
        <color theme="1"/>
        <rFont val="微软雅黑"/>
        <family val="2"/>
        <charset val="134"/>
      </rPr>
      <t xml:space="preserve">
充值池子浮动方案情况下充值池子
0否，1是</t>
    </r>
  </si>
  <si>
    <r>
      <rPr>
        <sz val="8"/>
        <color theme="1"/>
        <rFont val="微软雅黑"/>
        <family val="2"/>
        <charset val="134"/>
      </rPr>
      <t>金币落位动画类型：</t>
    </r>
    <r>
      <rPr>
        <sz val="9"/>
        <color theme="1"/>
        <rFont val="微软雅黑"/>
        <family val="2"/>
        <charset val="134"/>
      </rPr>
      <t xml:space="preserve">
1,1*1;2,1*2;3,1*3;4,2*2;5,2*3;6,2*4;7,2*5;8,2*6;9,2*7;10,2*8;11,3排454;12,3排565</t>
    </r>
  </si>
  <si>
    <t>金币动画类型，
-1表示没有
1转盘;2太棒了;3连锁闪电;
4深水炸弹;5翡翠蟹;6金钱鳄
7巨钳龙虾;8美人鱼;9送财龙龟;
10独角鲸;11真身龙虾王;12人鱼声波;13通用转盘</t>
  </si>
  <si>
    <t>针对小精灵的是否spine动画
0否，1是</t>
  </si>
  <si>
    <t>死亡时的震屏效果(同房间都震屏)
手机震动(只自己震)
0表示无
1表示低级
2表示中级
3表示高级</t>
  </si>
  <si>
    <r>
      <rPr>
        <sz val="9"/>
        <color theme="1"/>
        <rFont val="微软雅黑"/>
        <family val="2"/>
        <charset val="134"/>
      </rPr>
      <t>死亡动画1
对应anim_die_bg_</t>
    </r>
    <r>
      <rPr>
        <sz val="9"/>
        <color rgb="FFFF0000"/>
        <rFont val="微软雅黑"/>
        <family val="2"/>
        <charset val="134"/>
      </rPr>
      <t>X
名字填写"X"编号</t>
    </r>
  </si>
  <si>
    <t>是否不上下翻转
0翻转
1不翻转</t>
  </si>
  <si>
    <t>通用版鱼缩放百分比</t>
  </si>
  <si>
    <r>
      <rPr>
        <sz val="9"/>
        <color rgb="FFFF0000"/>
        <rFont val="微软雅黑"/>
        <family val="2"/>
        <charset val="134"/>
      </rPr>
      <t>h5</t>
    </r>
    <r>
      <rPr>
        <sz val="9"/>
        <color theme="1"/>
        <rFont val="微软雅黑"/>
        <family val="2"/>
        <charset val="134"/>
      </rPr>
      <t>图片缩放百分比</t>
    </r>
  </si>
  <si>
    <t>电鳗链接点特效用到的受击比例</t>
  </si>
  <si>
    <t>锁定光圈的比例(按照锁定自己的比例缩放)</t>
  </si>
  <si>
    <t>冰冻
冰块类型,缩放比例
不填表示无冰块
1小冰块
2大冰块</t>
  </si>
  <si>
    <t xml:space="preserve">boss身上特效
1紫色
2橙色
3莲花特效
一个鱼配置了“2,3”表示2在下面，3在上面
</t>
  </si>
  <si>
    <t>boss身上的特效缩放比例（按照特自己的比例缩放）
0表示没有
配置格式对应bossTx</t>
  </si>
  <si>
    <t>死亡数字缩小%</t>
  </si>
  <si>
    <r>
      <rPr>
        <sz val="10"/>
        <color theme="1"/>
        <rFont val="微软雅黑"/>
        <family val="2"/>
        <charset val="134"/>
      </rPr>
      <t xml:space="preserve">鱼的层级
</t>
    </r>
    <r>
      <rPr>
        <sz val="8"/>
        <color rgb="FFFF0000"/>
        <rFont val="微软雅黑"/>
        <family val="2"/>
        <charset val="134"/>
      </rPr>
      <t>死亡前层级为表中数值，死亡后层级为表死亡前鱼的层级都要高</t>
    </r>
  </si>
  <si>
    <t>鱼的被击闪动频率
被击效果不再是覆盖而是顺序叠加</t>
  </si>
  <si>
    <t>闪屏亮度百分比</t>
  </si>
  <si>
    <t>目标鱼选中效果大小比例(按照目标选中效果自己的比例缩放)</t>
  </si>
  <si>
    <t>鱼死亡位移
a,b:位移像素和位移速度(秒)，鱼死亡放大倍数</t>
  </si>
  <si>
    <t>对应scale
鱼在标准大小(1倍)下的碰撞区
前2个offset,
后2个是size</t>
  </si>
  <si>
    <r>
      <rPr>
        <sz val="9"/>
        <color theme="1"/>
        <rFont val="微软雅黑"/>
        <family val="2"/>
        <charset val="134"/>
      </rPr>
      <t xml:space="preserve">碰撞区_h5
前2个offset,
后2个是size
</t>
    </r>
    <r>
      <rPr>
        <sz val="9"/>
        <color rgb="FFFF0000"/>
        <rFont val="微软雅黑"/>
        <family val="2"/>
        <charset val="134"/>
      </rPr>
      <t>app</t>
    </r>
    <r>
      <rPr>
        <b/>
        <sz val="9"/>
        <color rgb="FFFF0000"/>
        <rFont val="微软雅黑"/>
        <family val="2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</si>
  <si>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</si>
  <si>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</si>
  <si>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>boss鱼游动的基础时长(s)
只配boss的，金蟾除外
空着的则为不需要考虑基础时长（与track刷新相关）</t>
  </si>
  <si>
    <t>boss鱼释放技能的时间，待技能完成后，继续补充（s）
计入左侧列基础时长中
不填为0</t>
  </si>
  <si>
    <t xml:space="preserve">闪电武器能量
</t>
  </si>
  <si>
    <t xml:space="preserve">闪电穿透几条鱼
</t>
  </si>
  <si>
    <r>
      <rPr>
        <sz val="8"/>
        <color theme="1"/>
        <rFont val="微软雅黑"/>
        <family val="2"/>
        <charset val="134"/>
      </rPr>
      <t>小精灵是否存在</t>
    </r>
    <r>
      <rPr>
        <sz val="9"/>
        <color theme="1"/>
        <rFont val="微软雅黑"/>
        <family val="2"/>
        <charset val="134"/>
      </rPr>
      <t xml:space="preserve">
</t>
    </r>
    <r>
      <rPr>
        <sz val="8"/>
        <color rgb="FFFF0000"/>
        <rFont val="微软雅黑"/>
        <family val="2"/>
        <charset val="134"/>
      </rPr>
      <t>空表示当前版本不存在该小精灵</t>
    </r>
  </si>
  <si>
    <t>鱼的价值
不掉小游戏和boss免费开火</t>
  </si>
  <si>
    <t>鱼的价值
掉小游戏时的</t>
  </si>
  <si>
    <t>辅助，钻石掉落的实际概率</t>
  </si>
  <si>
    <t>平均每次开火出现1钻石的概率</t>
  </si>
  <si>
    <r>
      <rPr>
        <sz val="11"/>
        <color theme="1"/>
        <rFont val="微软雅黑"/>
        <family val="2"/>
        <charset val="134"/>
      </rPr>
      <t>鱼的价值
只考虑</t>
    </r>
    <r>
      <rPr>
        <sz val="9"/>
        <color rgb="FFFF0000"/>
        <rFont val="微软雅黑"/>
        <family val="2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</si>
  <si>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</si>
  <si>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</si>
  <si>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</si>
  <si>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</si>
  <si>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</si>
  <si>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</si>
  <si>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</si>
  <si>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</si>
  <si>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</si>
  <si>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</si>
  <si>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</si>
  <si>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</si>
  <si>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</si>
  <si>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r>
      <rPr>
        <sz val="9"/>
        <color theme="1"/>
        <rFont val="微软雅黑"/>
        <family val="2"/>
        <charset val="134"/>
      </rPr>
      <t xml:space="preserve">标准值
</t>
    </r>
    <r>
      <rPr>
        <b/>
        <sz val="9"/>
        <color theme="1"/>
        <rFont val="微软雅黑"/>
        <family val="2"/>
        <charset val="134"/>
      </rPr>
      <t>占鱼score比例</t>
    </r>
  </si>
  <si>
    <t>标准value</t>
  </si>
  <si>
    <t>标准值
掉落福卡基础概率对应：
捕获鱼情况下1倍炮掉落1福卡的概率</t>
  </si>
  <si>
    <t>标准值
本次捕获鱼掉落福卡概率（概率溢出时）</t>
  </si>
  <si>
    <r>
      <rPr>
        <sz val="9"/>
        <color theme="1"/>
        <rFont val="微软雅黑"/>
        <family val="2"/>
        <charset val="134"/>
      </rPr>
      <t>实际值</t>
    </r>
    <r>
      <rPr>
        <b/>
        <sz val="9"/>
        <color rgb="FFC00000"/>
        <rFont val="微软雅黑"/>
        <family val="2"/>
        <charset val="134"/>
      </rPr>
      <t>(配置)</t>
    </r>
    <r>
      <rPr>
        <sz val="9"/>
        <color theme="1"/>
        <rFont val="微软雅黑"/>
        <family val="2"/>
        <charset val="134"/>
      </rPr>
      <t xml:space="preserve">
</t>
    </r>
    <r>
      <rPr>
        <b/>
        <sz val="9"/>
        <color theme="1"/>
        <rFont val="微软雅黑"/>
        <family val="2"/>
        <charset val="134"/>
      </rPr>
      <t>占鱼分值比例:</t>
    </r>
    <r>
      <rPr>
        <sz val="9"/>
        <color theme="1"/>
        <rFont val="微软雅黑"/>
        <family val="2"/>
        <charset val="134"/>
      </rPr>
      <t xml:space="preserve">
(如果本次计算概率大于60%，则重新计算）</t>
    </r>
  </si>
  <si>
    <t>实际值(配置)
掉落福卡基础概率对应：
捕获鱼情况下1倍炮掉落1福卡的概率</t>
  </si>
  <si>
    <t>实际值
本次捕获鱼掉落福卡概率（概率不会溢出时）</t>
  </si>
  <si>
    <t>实际值
掉落需要的开火次数</t>
  </si>
  <si>
    <t>该鱼当前炮倍率对应的掉落总额</t>
  </si>
  <si>
    <t>该鱼当前炮倍掉落面额（控制客户端表现的）</t>
  </si>
  <si>
    <t>掉落总额</t>
  </si>
  <si>
    <t>掉落面额（控制客户端表现的）</t>
  </si>
  <si>
    <t>炮倍—&gt;</t>
  </si>
  <si>
    <r>
      <rPr>
        <sz val="10"/>
        <color theme="1"/>
        <rFont val="微软雅黑"/>
        <family val="2"/>
        <charset val="134"/>
      </rPr>
      <t xml:space="preserve">炮倍系数
实际值需要/10000
</t>
    </r>
    <r>
      <rPr>
        <sz val="9"/>
        <color rgb="FFFF0000"/>
        <rFont val="微软雅黑"/>
        <family val="2"/>
        <charset val="134"/>
      </rPr>
      <t>修改后记得调整炮解锁表</t>
    </r>
  </si>
  <si>
    <t>xiaohuangyu</t>
  </si>
  <si>
    <t>80,0.1,1</t>
  </si>
  <si>
    <t>1,3,35,10</t>
  </si>
  <si>
    <t>是</t>
  </si>
  <si>
    <t>被捕获的概率*鱼出现钻石的概率=平均每次开火出现1个钻石的概率</t>
  </si>
  <si>
    <t>打鱼时掉落概率</t>
  </si>
  <si>
    <t>最高概率</t>
  </si>
  <si>
    <t>Ⅰ级核弹碎片</t>
  </si>
  <si>
    <t>hudieyu</t>
  </si>
  <si>
    <t>3,-1,26,22</t>
  </si>
  <si>
    <t>设定：每分钟出N个红包</t>
  </si>
  <si>
    <t>鱼value</t>
  </si>
  <si>
    <t>Ⅱ级核弹碎片</t>
  </si>
  <si>
    <t>fangyu</t>
  </si>
  <si>
    <t>1,1,41,13</t>
  </si>
  <si>
    <t>平均每次开火出现1红包的概率</t>
  </si>
  <si>
    <t>qingyi</t>
  </si>
  <si>
    <t>6,-1,45,24</t>
  </si>
  <si>
    <t>福卡掉落机制</t>
  </si>
  <si>
    <t>美猴王碎片掉落机制</t>
  </si>
  <si>
    <t>yinggehong</t>
  </si>
  <si>
    <t>7,19,61,24</t>
  </si>
  <si>
    <t>1,15,48,16</t>
  </si>
  <si>
    <t>Ⅲ级核弹碎片</t>
  </si>
  <si>
    <t>heibaimo</t>
  </si>
  <si>
    <t>10,2,60,16</t>
  </si>
  <si>
    <t>以10万炮为例，掉落总额为1，计算碎片获得效率</t>
  </si>
  <si>
    <t>huangbaoshi</t>
  </si>
  <si>
    <t>14,5,56,31</t>
  </si>
  <si>
    <t>Ⅳ级核弹碎片</t>
  </si>
  <si>
    <t>muguayu</t>
  </si>
  <si>
    <t>7,18,55,38</t>
  </si>
  <si>
    <t>1分鱼掉落概率</t>
  </si>
  <si>
    <t>baifanyu1</t>
  </si>
  <si>
    <t>0,0,1</t>
  </si>
  <si>
    <t>5,4,90,24</t>
  </si>
  <si>
    <t>需开火次数</t>
  </si>
  <si>
    <t>Ⅰ级核弹</t>
  </si>
  <si>
    <t>fengweiyu</t>
  </si>
  <si>
    <t>1,4,53,30</t>
  </si>
  <si>
    <t>bimuyu</t>
  </si>
  <si>
    <t>9,21,50,64</t>
  </si>
  <si>
    <t>6,12,45,41</t>
  </si>
  <si>
    <t>11</t>
  </si>
  <si>
    <t>Ⅱ级核弹</t>
  </si>
  <si>
    <t>lvqiyu</t>
  </si>
  <si>
    <t>17,7,52,73</t>
  </si>
  <si>
    <t>hetun</t>
  </si>
  <si>
    <t>-4,26,64,70</t>
  </si>
  <si>
    <t>-3,17,58,47</t>
  </si>
  <si>
    <t>13</t>
  </si>
  <si>
    <t>11,21,86,48</t>
  </si>
  <si>
    <t>3,15,70,35</t>
  </si>
  <si>
    <t>Ⅲ级核弹</t>
  </si>
  <si>
    <t>xingbanyu</t>
  </si>
  <si>
    <t>13,21,98,40</t>
  </si>
  <si>
    <t>Ⅳ级核弹</t>
  </si>
  <si>
    <t>landiaodiao</t>
  </si>
  <si>
    <t>14,25,100,57</t>
  </si>
  <si>
    <t>16</t>
  </si>
  <si>
    <t>paodanyu</t>
  </si>
  <si>
    <t>15~25</t>
  </si>
  <si>
    <t>15,25</t>
  </si>
  <si>
    <t>6,30,100,44</t>
  </si>
  <si>
    <t>-4,24,80,32</t>
  </si>
  <si>
    <t>17</t>
  </si>
  <si>
    <t>shiziyu</t>
  </si>
  <si>
    <t>11,18,73,91</t>
  </si>
  <si>
    <t>4,5,73,91</t>
  </si>
  <si>
    <t>18</t>
  </si>
  <si>
    <t>damaha</t>
  </si>
  <si>
    <t>7,13,116,57</t>
  </si>
  <si>
    <t>23</t>
  </si>
  <si>
    <t>huashuimu</t>
  </si>
  <si>
    <t>120,0.1,1</t>
  </si>
  <si>
    <t>14,-4,147,88</t>
  </si>
  <si>
    <t>9,0,95,65</t>
  </si>
  <si>
    <t>bianfuyu</t>
  </si>
  <si>
    <t>20~30</t>
  </si>
  <si>
    <t>20,30</t>
  </si>
  <si>
    <t>88,1,92,153</t>
  </si>
  <si>
    <t>61,-3,55,107</t>
  </si>
  <si>
    <t>21</t>
  </si>
  <si>
    <t>lanhujing</t>
  </si>
  <si>
    <t>33,14,212,63</t>
  </si>
  <si>
    <t>22</t>
  </si>
  <si>
    <t>baifanyu2</t>
  </si>
  <si>
    <t>jialuolou</t>
  </si>
  <si>
    <t>20~40</t>
  </si>
  <si>
    <t>20,40</t>
  </si>
  <si>
    <t>2,0.7</t>
  </si>
  <si>
    <t>17,13,242,73</t>
  </si>
  <si>
    <t>lansha</t>
  </si>
  <si>
    <t>25~45</t>
  </si>
  <si>
    <t>25,45</t>
  </si>
  <si>
    <t>28,24,304,70</t>
  </si>
  <si>
    <t>25</t>
  </si>
  <si>
    <t>黄金鱼分值设计</t>
  </si>
  <si>
    <t>qiyu</t>
  </si>
  <si>
    <t>-8,27,176,121</t>
  </si>
  <si>
    <t>26</t>
  </si>
  <si>
    <t>第1阶段</t>
  </si>
  <si>
    <t>第2阶段</t>
  </si>
  <si>
    <t>第3阶段</t>
  </si>
  <si>
    <t>shayu</t>
  </si>
  <si>
    <t>30~60</t>
  </si>
  <si>
    <t>30,60</t>
  </si>
  <si>
    <t>45,25,239,92</t>
  </si>
  <si>
    <t>24,14,154,60</t>
  </si>
  <si>
    <t>27</t>
  </si>
  <si>
    <t>score1</t>
  </si>
  <si>
    <t>概率权重</t>
  </si>
  <si>
    <t>score2</t>
  </si>
  <si>
    <t>score3</t>
  </si>
  <si>
    <t>jinsanjiao</t>
  </si>
  <si>
    <t>53,1,80,67</t>
  </si>
  <si>
    <t>jinwuzei</t>
  </si>
  <si>
    <t>24,1,80,59</t>
  </si>
  <si>
    <t>huangjindie</t>
  </si>
  <si>
    <t>8,20,105,85</t>
  </si>
  <si>
    <t>2,6,77,57</t>
  </si>
  <si>
    <t>jinlongxia</t>
  </si>
  <si>
    <t>1,1.3</t>
  </si>
  <si>
    <t>36,7,88,189</t>
  </si>
  <si>
    <t>14,8,44,91</t>
  </si>
  <si>
    <t>yaoyu</t>
  </si>
  <si>
    <t>82,7,86,96</t>
  </si>
  <si>
    <t>57,4,60,92</t>
  </si>
  <si>
    <t>bixi</t>
  </si>
  <si>
    <t>1,1.4</t>
  </si>
  <si>
    <t>2,8,141,115</t>
  </si>
  <si>
    <t>3,6,88,86</t>
  </si>
  <si>
    <t>hujing</t>
  </si>
  <si>
    <t>2,0.85</t>
  </si>
  <si>
    <t>37,17,228,68</t>
  </si>
  <si>
    <t>16,10,145,61</t>
  </si>
  <si>
    <t>chuitousha</t>
  </si>
  <si>
    <t>33,7,284,51</t>
  </si>
  <si>
    <t>18,4,208,45</t>
  </si>
  <si>
    <t>jingsha</t>
  </si>
  <si>
    <t>2,1</t>
  </si>
  <si>
    <t>60,-2,285,90</t>
  </si>
  <si>
    <t>22,6,206,63</t>
  </si>
  <si>
    <t>100,0.1,1</t>
  </si>
  <si>
    <t>79,7,114,162</t>
  </si>
  <si>
    <t>xiejiangjun</t>
  </si>
  <si>
    <t>300~1500</t>
  </si>
  <si>
    <t>2,1.3</t>
  </si>
  <si>
    <t>60,0.1,1</t>
  </si>
  <si>
    <t>-5,-12,331,304</t>
  </si>
  <si>
    <t>-7,-13,197,176</t>
  </si>
  <si>
    <t>200</t>
  </si>
  <si>
    <t>48</t>
  </si>
  <si>
    <t>kedaya</t>
  </si>
  <si>
    <t>200~400</t>
  </si>
  <si>
    <r>
      <rPr>
        <sz val="11"/>
        <color theme="1"/>
        <rFont val="微软雅黑"/>
        <family val="2"/>
        <charset val="134"/>
      </rPr>
      <t>200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400</t>
    </r>
  </si>
  <si>
    <t>18,-1,288,86</t>
  </si>
  <si>
    <t>7,-10,220,84</t>
  </si>
  <si>
    <t>haijingling</t>
  </si>
  <si>
    <t>300~1000</t>
  </si>
  <si>
    <t>2,1.1</t>
  </si>
  <si>
    <t>3,2,345,157</t>
  </si>
  <si>
    <t>-2,2,297,133</t>
  </si>
  <si>
    <t>40</t>
  </si>
  <si>
    <t>aisha</t>
  </si>
  <si>
    <t>300~500</t>
  </si>
  <si>
    <r>
      <rPr>
        <sz val="11"/>
        <color theme="1"/>
        <rFont val="微软雅黑"/>
        <family val="2"/>
        <charset val="134"/>
      </rPr>
      <t>300</t>
    </r>
    <r>
      <rPr>
        <sz val="11"/>
        <color theme="1"/>
        <rFont val="微软雅黑"/>
        <family val="2"/>
        <charset val="134"/>
      </rPr>
      <t>,</t>
    </r>
    <r>
      <rPr>
        <sz val="11"/>
        <color theme="1"/>
        <rFont val="微软雅黑"/>
        <family val="2"/>
        <charset val="134"/>
      </rPr>
      <t>500</t>
    </r>
  </si>
  <si>
    <t>-4,0,387,42</t>
  </si>
  <si>
    <t>-4,7,331,45</t>
  </si>
  <si>
    <t>caishen</t>
  </si>
  <si>
    <t>1,1.8</t>
  </si>
  <si>
    <t>3,19,296,339</t>
  </si>
  <si>
    <t>-3,14,229,315</t>
  </si>
  <si>
    <t>longjing</t>
  </si>
  <si>
    <t>400,1000</t>
  </si>
  <si>
    <t>35,-8,327,125</t>
  </si>
  <si>
    <t>-3,-11,261,92</t>
  </si>
  <si>
    <t>2,3</t>
  </si>
  <si>
    <t>1,1.15</t>
  </si>
  <si>
    <t>5,8,157,169</t>
  </si>
  <si>
    <t>0,19,187,176</t>
  </si>
  <si>
    <t>leishenchui</t>
  </si>
  <si>
    <t>100~300</t>
  </si>
  <si>
    <t>0,0.1,1</t>
  </si>
  <si>
    <t>32,-9,107,115</t>
  </si>
  <si>
    <t>11,6,86,98</t>
  </si>
  <si>
    <t>0,41,95,87</t>
  </si>
  <si>
    <t>jubaopen</t>
  </si>
  <si>
    <t>0,11,259,153</t>
  </si>
  <si>
    <t>piaoliuping</t>
  </si>
  <si>
    <t>-8,-4,91,110</t>
  </si>
  <si>
    <t>-4,-2,60,82</t>
  </si>
  <si>
    <t>baobaohetun</t>
  </si>
  <si>
    <r>
      <rPr>
        <sz val="11"/>
        <color theme="1"/>
        <rFont val="微软雅黑"/>
        <family val="2"/>
        <charset val="134"/>
      </rPr>
      <t>100~1000</t>
    </r>
    <r>
      <rPr>
        <sz val="11"/>
        <color theme="1"/>
        <rFont val="微软雅黑"/>
        <family val="2"/>
        <charset val="134"/>
      </rPr>
      <t>0</t>
    </r>
  </si>
  <si>
    <t>0,12,91,104</t>
  </si>
  <si>
    <t>-3,11,146,116</t>
  </si>
  <si>
    <t>否</t>
  </si>
  <si>
    <t>longzhou</t>
  </si>
  <si>
    <t>20~50</t>
  </si>
  <si>
    <t>986,65,169,245|820,54,167,171|572,58,333,161|292,34,232,154|33,54,287,199|-301,56,385,220|-636,5,288,142|-815,33,186,181|-965,-12,193,89</t>
  </si>
  <si>
    <t>200,0.1,1</t>
  </si>
  <si>
    <t>ic_fk</t>
  </si>
  <si>
    <t>0,3,82,107</t>
  </si>
  <si>
    <t>rangeMin</t>
  </si>
  <si>
    <t>弹头金币价值</t>
  </si>
  <si>
    <t>掉落弹头的范围最小值前闭后开
最大值为下一档的最小值
最高档的最大值为无穷大</t>
  </si>
  <si>
    <t>7.14奖品区间也需要重新调整</t>
  </si>
  <si>
    <t>最新备注</t>
  </si>
  <si>
    <t>暂时没做验算，初级赐福物品搭配一些没有实际金币价值的物品</t>
  </si>
  <si>
    <t>抽奖等获得的福卡按照5000金币=1福卡</t>
  </si>
  <si>
    <t>fileLocation</t>
  </si>
  <si>
    <t>roomjump</t>
  </si>
  <si>
    <t>downLimit</t>
  </si>
  <si>
    <t>upLimit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</si>
  <si>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</si>
  <si>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</si>
  <si>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</si>
  <si>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</si>
  <si>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</si>
  <si>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</si>
  <si>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</si>
  <si>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</si>
  <si>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</si>
  <si>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</si>
  <si>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</si>
  <si>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</si>
  <si>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</si>
  <si>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</si>
  <si>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</si>
  <si>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</si>
  <si>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</si>
  <si>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</si>
  <si>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</si>
  <si>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</si>
  <si>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</si>
  <si>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</si>
  <si>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</si>
  <si>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</si>
  <si>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</si>
  <si>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</si>
  <si>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</si>
  <si>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</si>
  <si>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</si>
  <si>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</si>
  <si>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</si>
  <si>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</si>
  <si>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</si>
  <si>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</si>
  <si>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</si>
  <si>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</si>
  <si>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</si>
  <si>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</si>
  <si>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</si>
  <si>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</si>
  <si>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</si>
  <si>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</si>
  <si>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</si>
  <si>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</si>
  <si>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</si>
  <si>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</si>
  <si>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</si>
  <si>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</si>
  <si>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</si>
  <si>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</si>
  <si>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</si>
  <si>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</si>
  <si>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</si>
  <si>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</si>
  <si>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</si>
  <si>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</si>
  <si>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</si>
  <si>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</si>
  <si>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</si>
  <si>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</si>
  <si>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</si>
  <si>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</si>
  <si>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</si>
  <si>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</si>
  <si>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</si>
  <si>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</si>
  <si>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</si>
  <si>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</si>
  <si>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</si>
  <si>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</si>
  <si>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</si>
  <si>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</si>
  <si>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</si>
  <si>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</si>
  <si>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</si>
  <si>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</si>
  <si>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</si>
  <si>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</si>
  <si>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</si>
  <si>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</si>
  <si>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</si>
  <si>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</si>
  <si>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</si>
  <si>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</si>
  <si>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</si>
  <si>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</si>
  <si>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</si>
  <si>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</si>
  <si>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</si>
  <si>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</si>
  <si>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</si>
  <si>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</si>
  <si>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额外奖励</t>
  </si>
  <si>
    <t>兑出按照1000福卡=15万金币，狂暴等道具按照金币价值来</t>
  </si>
  <si>
    <t>1000福卡=1元</t>
  </si>
  <si>
    <t>档位
1,普通抽奖；2白银抽奖；
3黄金抽奖；4铂金抽奖；
5钻石抽奖；6水晶抽奖；
7.玉石抽奖；8.至尊抽奖;</t>
  </si>
  <si>
    <t>解锁档位需要进入的房间，及跳转
1新手,2初级
3中级,4高级
5竞技场,6弹头场
（空为都有，不需要跳转房间）（多个房间时，优先跳低倍房间）（客户端和服务端相反描述，客户端在前，服务端在后，两个数组）</t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</si>
  <si>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</si>
  <si>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</si>
  <si>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</si>
  <si>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</si>
  <si>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</si>
  <si>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</si>
  <si>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</si>
  <si>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</si>
  <si>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</si>
  <si>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</si>
  <si>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</si>
  <si>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</si>
  <si>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x为外置led，y为内置led；y只能配置0或3</t>
  </si>
  <si>
    <t>2
看广告能额外奖励
对应的金币价值</t>
  </si>
  <si>
    <t xml:space="preserve">2物品触发看广告的概率
</t>
  </si>
  <si>
    <t>3
看广告能额外奖励
对应的金币价值</t>
  </si>
  <si>
    <t>是否进入led播放：
0不进入
1进入B类led
2进入B+类led
3进入内置led播放；
注意，格式为x，y
x为外置led，y为内置led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</si>
  <si>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</si>
  <si>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</si>
  <si>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</si>
  <si>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</si>
  <si>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</si>
  <si>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</si>
  <si>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</si>
  <si>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</si>
  <si>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</si>
  <si>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</si>
  <si>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否进入led播放：
0不进入
1进入B类led
2进入B+类led
3进入内置led播放；
注意，格式为x，y
x为外置led，y为内置led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</si>
  <si>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</si>
  <si>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</si>
  <si>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</si>
  <si>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</si>
  <si>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</si>
  <si>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</si>
  <si>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</si>
  <si>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</si>
  <si>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</si>
  <si>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</si>
  <si>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family val="2"/>
        <charset val="134"/>
      </rPr>
      <t>本次看广告
能额外奖励时</t>
    </r>
    <r>
      <rPr>
        <sz val="10"/>
        <color theme="1"/>
        <rFont val="微软雅黑"/>
        <family val="2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</si>
  <si>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</si>
  <si>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family val="2"/>
        <charset val="134"/>
      </rPr>
      <t>标准金币价值</t>
    </r>
    <r>
      <rPr>
        <sz val="8"/>
        <color theme="1"/>
        <rFont val="微软雅黑"/>
        <family val="2"/>
        <charset val="134"/>
      </rPr>
      <t xml:space="preserve">
（本次看广告
不能额外奖励时
金币价值）</t>
    </r>
  </si>
  <si>
    <r>
      <rPr>
        <sz val="10"/>
        <color theme="1"/>
        <rFont val="微软雅黑"/>
        <family val="2"/>
        <charset val="134"/>
      </rPr>
      <t xml:space="preserve">是否重要
</t>
    </r>
    <r>
      <rPr>
        <sz val="10"/>
        <color rgb="FFFF0000"/>
        <rFont val="微软雅黑"/>
        <family val="2"/>
        <charset val="134"/>
      </rPr>
      <t>0不重要
1重要</t>
    </r>
  </si>
  <si>
    <t>获得额外
奖励的概率</t>
  </si>
  <si>
    <t>物品展示位置
左侧中间高档奖品为1号位，顺时针顺位</t>
  </si>
  <si>
    <t>人民币价值</t>
  </si>
  <si>
    <t>价值
钻石价值</t>
  </si>
  <si>
    <t>价值加成</t>
  </si>
  <si>
    <t>[[],[2,3,4,6]]</t>
  </si>
  <si>
    <t>choujiang_lv1</t>
  </si>
  <si>
    <t>人民币</t>
  </si>
  <si>
    <t>choujiang_lv2</t>
  </si>
  <si>
    <t>choujiang_lv3</t>
  </si>
  <si>
    <t>choujiang_lv4</t>
  </si>
  <si>
    <t>choujiang_lv5</t>
  </si>
  <si>
    <t>choujiang_lv6</t>
  </si>
  <si>
    <t>1,0</t>
  </si>
  <si>
    <t>[[4,6],[4,6]]</t>
  </si>
  <si>
    <t>choujiang_lv7</t>
  </si>
  <si>
    <t>[[6],[6]]</t>
  </si>
  <si>
    <t>choujiang_lv8</t>
  </si>
  <si>
    <t>超级武器1</t>
  </si>
  <si>
    <t>5元话费卡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</si>
  <si>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</si>
  <si>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</si>
  <si>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</si>
  <si>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</si>
  <si>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</si>
  <si>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</si>
  <si>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</si>
  <si>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</si>
  <si>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</si>
  <si>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</si>
  <si>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</si>
  <si>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</si>
  <si>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买单券</t>
  </si>
  <si>
    <t>超级武器碎片1</t>
  </si>
  <si>
    <t>超级武器碎片2</t>
  </si>
  <si>
    <t>超级武器碎片3</t>
  </si>
  <si>
    <t>超级武器碎片4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</si>
  <si>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</si>
  <si>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</si>
  <si>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</si>
  <si>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</si>
  <si>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</si>
  <si>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</si>
  <si>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</si>
  <si>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</si>
  <si>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</si>
  <si>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</si>
  <si>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</si>
  <si>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</si>
  <si>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</si>
  <si>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</si>
  <si>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</si>
  <si>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</si>
  <si>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</si>
  <si>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</si>
  <si>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</si>
  <si>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</si>
  <si>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</si>
  <si>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</si>
  <si>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family val="2"/>
        <charset val="134"/>
      </rPr>
      <t>掉落权重/概率
如果dropType是1类型是</t>
    </r>
    <r>
      <rPr>
        <sz val="8"/>
        <color rgb="FFFF0000"/>
        <rFont val="微软雅黑"/>
        <family val="2"/>
        <charset val="134"/>
      </rPr>
      <t>概率，划分每个物品的区间</t>
    </r>
    <r>
      <rPr>
        <sz val="8"/>
        <color theme="1"/>
        <rFont val="微软雅黑"/>
        <family val="2"/>
        <charset val="134"/>
      </rPr>
      <t xml:space="preserve">
如果dropType是2类型则对应真实的概率</t>
    </r>
  </si>
  <si>
    <r>
      <rPr>
        <sz val="11"/>
        <color theme="1"/>
        <rFont val="微软雅黑"/>
        <family val="2"/>
        <charset val="134"/>
      </rPr>
      <t xml:space="preserve">互斥概率验算
</t>
    </r>
    <r>
      <rPr>
        <sz val="9"/>
        <color theme="1"/>
        <rFont val="微软雅黑"/>
        <family val="2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</si>
  <si>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</si>
  <si>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</si>
  <si>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</si>
  <si>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</si>
  <si>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</si>
  <si>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</si>
  <si>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</si>
  <si>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</si>
  <si>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</si>
  <si>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</si>
  <si>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</si>
  <si>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</si>
  <si>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</si>
  <si>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</si>
  <si>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</si>
  <si>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</si>
  <si>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</si>
  <si>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</si>
  <si>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</si>
  <si>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</si>
  <si>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</si>
  <si>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</si>
  <si>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</si>
  <si>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</si>
  <si>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</si>
  <si>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</si>
  <si>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</si>
  <si>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</si>
  <si>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2|1204|5888</t>
  </si>
  <si>
    <t>活跃度抽奖宝箱</t>
  </si>
  <si>
    <t>1|2|288888</t>
  </si>
  <si>
    <t>2|1001|5</t>
  </si>
  <si>
    <t>2|1004|5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</si>
  <si>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</si>
  <si>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</si>
  <si>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</si>
  <si>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</si>
  <si>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</si>
  <si>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</si>
  <si>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</si>
  <si>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</si>
  <si>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</si>
  <si>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</si>
  <si>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</si>
  <si>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</si>
  <si>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</si>
  <si>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</si>
  <si>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</si>
  <si>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</si>
  <si>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</si>
  <si>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</si>
  <si>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</si>
  <si>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</si>
  <si>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</si>
  <si>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</si>
  <si>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</si>
  <si>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</si>
  <si>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</si>
  <si>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</si>
  <si>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</si>
  <si>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</si>
  <si>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</si>
  <si>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</si>
  <si>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</si>
  <si>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</si>
  <si>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</si>
  <si>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</si>
  <si>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</si>
  <si>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</si>
  <si>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</si>
  <si>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2|1001|3</t>
  </si>
  <si>
    <t>2|1004|3</t>
  </si>
  <si>
    <t>2|1002|4</t>
  </si>
  <si>
    <t>2|1204|20</t>
  </si>
  <si>
    <t>2|1204|10</t>
  </si>
  <si>
    <t>存钱罐抽取掉落</t>
  </si>
  <si>
    <t>兑出按照1000福卡=15万金币（即150金币=1福卡），狂暴等道具按照金币价值来</t>
  </si>
  <si>
    <t>exchangeType</t>
  </si>
  <si>
    <t>item</t>
  </si>
  <si>
    <t>shopType</t>
  </si>
  <si>
    <t>group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</si>
  <si>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</si>
  <si>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</si>
  <si>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</si>
  <si>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</si>
  <si>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</si>
  <si>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</si>
  <si>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</si>
  <si>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</si>
  <si>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</si>
  <si>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</si>
  <si>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 xml:space="preserve">兑换物品所在组
组1，没有话费直冲卡的兑换物品组  、组2，有50、30元话费直冲卡的组
组3，提审状态下的兑换组
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</si>
  <si>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</si>
  <si>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</si>
  <si>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</si>
  <si>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</si>
  <si>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</si>
  <si>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</si>
  <si>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</si>
  <si>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</si>
  <si>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区分第一个30天和第二个30天</t>
  </si>
  <si>
    <t>times</t>
  </si>
  <si>
    <t>type</t>
  </si>
  <si>
    <t>itemId</t>
  </si>
  <si>
    <t>novice</t>
  </si>
  <si>
    <t>vip</t>
  </si>
  <si>
    <t>第n次</t>
  </si>
  <si>
    <t>所属周期
1表示第1个周期
2表示第2个周期
最后一个周期做循环</t>
  </si>
  <si>
    <r>
      <rPr>
        <sz val="8"/>
        <color theme="1"/>
        <rFont val="微软雅黑"/>
        <family val="2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family val="2"/>
        <charset val="134"/>
      </rPr>
      <t>1~9</t>
    </r>
  </si>
  <si>
    <t xml:space="preserve">不同VIP等级在每天翻的倍数
数组格式：[x,y]中，x表示VIP等级，y表示翻的倍数
</t>
  </si>
  <si>
    <t>贵重物品标识
旧版</t>
  </si>
  <si>
    <t>翻倍平均值</t>
  </si>
  <si>
    <t>新手翻倍
期望值</t>
  </si>
  <si>
    <t>[[2,2],[5,3],[7,4],[10,5]]</t>
  </si>
  <si>
    <t>金币总量</t>
  </si>
  <si>
    <t>4,8</t>
  </si>
  <si>
    <t>钻石总量</t>
  </si>
  <si>
    <t>3,7</t>
  </si>
  <si>
    <t>锁定总量</t>
  </si>
  <si>
    <t>3,6</t>
  </si>
  <si>
    <t>狂暴总量</t>
  </si>
  <si>
    <t>2,6</t>
  </si>
  <si>
    <t>items</t>
  </si>
  <si>
    <t>第n天</t>
  </si>
  <si>
    <t>达到vipx后可再领取一份</t>
  </si>
  <si>
    <t>金币
价值</t>
  </si>
  <si>
    <t>服务器开关</t>
  </si>
  <si>
    <t>nameLanguage</t>
  </si>
  <si>
    <t>nameChinese</t>
  </si>
  <si>
    <t>coinValue</t>
  </si>
  <si>
    <t>GValue</t>
  </si>
  <si>
    <t>DValue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</si>
  <si>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</si>
  <si>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</si>
  <si>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</si>
  <si>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</si>
  <si>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</si>
  <si>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</si>
  <si>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</si>
  <si>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</si>
  <si>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</si>
  <si>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</si>
  <si>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</si>
  <si>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</si>
  <si>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</si>
  <si>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</si>
  <si>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</si>
  <si>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</si>
  <si>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</si>
  <si>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</si>
  <si>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</si>
  <si>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</si>
  <si>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</si>
  <si>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</si>
  <si>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</si>
  <si>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</si>
  <si>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</si>
  <si>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道具描述(多语言格式)</t>
  </si>
  <si>
    <t>道具效果
1.锁定;2.冰冻;3.狂暴;4.召唤
5.自动开火+限时;6.礼包；7贵族卡，8话费卡，9实物
10轰炸机,11红包.12活动道具（限时），13用于合成
20会员加长卡
21.炮台体验卡</t>
  </si>
  <si>
    <t xml:space="preserve">实物所属渠道
1,大麦城
</t>
  </si>
  <si>
    <t>物品在渠道商城所属id</t>
  </si>
  <si>
    <t>参数类型2
附加参数</t>
  </si>
  <si>
    <t>显示的功能按钮
1赠送;2购买
3使用;4续费
5转换成话费券;6跳转（用使用）
7出售,8合成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</si>
  <si>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</si>
  <si>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</si>
  <si>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</si>
  <si>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</si>
  <si>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</si>
  <si>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</si>
  <si>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</si>
  <si>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</si>
  <si>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</si>
  <si>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</si>
  <si>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</si>
  <si>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</si>
  <si>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</si>
  <si>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</si>
  <si>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</si>
  <si>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</si>
  <si>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</si>
  <si>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</si>
  <si>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</si>
  <si>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</si>
  <si>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</si>
  <si>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</si>
  <si>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</si>
  <si>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</si>
  <si>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</si>
  <si>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</si>
  <si>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</si>
  <si>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</si>
  <si>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</si>
  <si>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</si>
  <si>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huoyuedu_des</t>
  </si>
  <si>
    <t>小游戏卡牌</t>
  </si>
  <si>
    <t>zidongfire_des</t>
  </si>
  <si>
    <t>ic_jn_01</t>
  </si>
  <si>
    <t>suoding_des</t>
  </si>
  <si>
    <t>ic_jn_02</t>
  </si>
  <si>
    <t>bingdong</t>
  </si>
  <si>
    <t>bingdong_des</t>
  </si>
  <si>
    <t>ic_jn_03</t>
  </si>
  <si>
    <t>kuangbao</t>
  </si>
  <si>
    <t>kuangbao_des</t>
  </si>
  <si>
    <t>ic_jn_04</t>
  </si>
  <si>
    <t>zhaohuan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</si>
  <si>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</si>
  <si>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</si>
  <si>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</si>
  <si>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</si>
  <si>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</si>
  <si>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</si>
  <si>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</si>
  <si>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chaojiwuqi1_des</t>
  </si>
  <si>
    <t>7,1</t>
  </si>
  <si>
    <t>ic_hd_02</t>
  </si>
  <si>
    <t>chaojiwuqi2</t>
  </si>
  <si>
    <t>chaojiwuqi2_des</t>
  </si>
  <si>
    <t>ic_hd_03</t>
  </si>
  <si>
    <t>chaojiwuqi3</t>
  </si>
  <si>
    <t>chaojiwuqi3_des</t>
  </si>
  <si>
    <t>ic_hd_04</t>
  </si>
  <si>
    <t>chaojiwuqi4</t>
  </si>
  <si>
    <t>chaojiwuqi4_des</t>
  </si>
  <si>
    <t>zidongfire</t>
  </si>
  <si>
    <t>自动开炮</t>
  </si>
  <si>
    <t>icon_guizuka_yueka_01</t>
  </si>
  <si>
    <t>yueka</t>
  </si>
  <si>
    <t>金币月卡</t>
  </si>
  <si>
    <t>yueka_des</t>
  </si>
  <si>
    <t>ic_fk_01</t>
  </si>
  <si>
    <t>huafeiquan</t>
  </si>
  <si>
    <t>huafeiquan_des</t>
  </si>
  <si>
    <t>ic_cj_02</t>
  </si>
  <si>
    <t>maidanquan</t>
  </si>
  <si>
    <t>maidanquan_des</t>
  </si>
  <si>
    <t>6,7</t>
  </si>
  <si>
    <t>1|2|400000</t>
  </si>
  <si>
    <t>icon_1yuanzhichongka_01</t>
  </si>
  <si>
    <t>zhichongka1</t>
  </si>
  <si>
    <t>1元话费直充卡</t>
  </si>
  <si>
    <t>zhichongka_des</t>
  </si>
  <si>
    <t>ic_hf_01</t>
  </si>
  <si>
    <t>zhichongka2</t>
  </si>
  <si>
    <t>2元话费直充卡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</si>
  <si>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</si>
  <si>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</si>
  <si>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</si>
  <si>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</si>
  <si>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</si>
  <si>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</si>
  <si>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</si>
  <si>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</si>
  <si>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</si>
  <si>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</si>
  <si>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1|2|12000000</t>
  </si>
  <si>
    <t>ic_hf_05</t>
  </si>
  <si>
    <t>zhichongka50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</si>
  <si>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</si>
  <si>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</si>
  <si>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</si>
  <si>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</si>
  <si>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</si>
  <si>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</si>
  <si>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</si>
  <si>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</si>
  <si>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</si>
  <si>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</si>
  <si>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</si>
  <si>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</si>
  <si>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</si>
  <si>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</si>
  <si>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</si>
  <si>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</si>
  <si>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</si>
  <si>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</si>
  <si>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</si>
  <si>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</si>
  <si>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</si>
  <si>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</si>
  <si>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</si>
  <si>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</si>
  <si>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</si>
  <si>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</si>
  <si>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</si>
  <si>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</si>
  <si>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</si>
  <si>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</si>
  <si>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</si>
  <si>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</si>
  <si>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huiyuanplus1</t>
  </si>
  <si>
    <t>星钻月卡加时</t>
  </si>
  <si>
    <t>huiyuanplus1_des</t>
  </si>
  <si>
    <t>ic_hdsp_01</t>
  </si>
  <si>
    <t>hdsp1</t>
  </si>
  <si>
    <t>hdsp1_des</t>
  </si>
  <si>
    <t>ic_hdsp_02</t>
  </si>
  <si>
    <t>hdsp2</t>
  </si>
  <si>
    <t>hdsp2_des</t>
  </si>
  <si>
    <t>1|2|20000</t>
  </si>
  <si>
    <t>ic_hdsp_03</t>
  </si>
  <si>
    <t>hdsp3</t>
  </si>
  <si>
    <t>hdsp3_des</t>
  </si>
  <si>
    <t>1|2|50000</t>
  </si>
  <si>
    <t>ic_hdsp_04</t>
  </si>
  <si>
    <t>hdsp4</t>
  </si>
  <si>
    <t>hdsp4_des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</si>
  <si>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</si>
  <si>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</si>
  <si>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</si>
  <si>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</si>
  <si>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</si>
  <si>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</si>
  <si>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</si>
  <si>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</si>
  <si>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</si>
  <si>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</si>
  <si>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</si>
  <si>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</si>
  <si>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</si>
  <si>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yueka2</t>
  </si>
  <si>
    <t>星钻月卡</t>
  </si>
  <si>
    <t>yueka2_des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</si>
  <si>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</si>
  <si>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</si>
  <si>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</si>
  <si>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</si>
  <si>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</si>
  <si>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</si>
  <si>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</si>
  <si>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</si>
  <si>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</si>
  <si>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</si>
  <si>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</si>
  <si>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</si>
  <si>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</si>
  <si>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</si>
  <si>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family val="2"/>
        <charset val="134"/>
      </rPr>
      <t xml:space="preserve">房间最大排名
</t>
    </r>
    <r>
      <rPr>
        <sz val="9"/>
        <color rgb="FFFF0000"/>
        <rFont val="微软雅黑"/>
        <family val="2"/>
        <charset val="134"/>
      </rPr>
      <t>-1表示额外奖励</t>
    </r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</si>
  <si>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</si>
  <si>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</si>
  <si>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</si>
  <si>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</si>
  <si>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</si>
  <si>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</si>
  <si>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2|1204|6000</t>
  </si>
  <si>
    <t>Billfangshi30</t>
  </si>
  <si>
    <t>填写在第1档奖励对应的行</t>
  </si>
  <si>
    <t>1|2|200000</t>
  </si>
  <si>
    <t>1|2|25000</t>
  </si>
  <si>
    <t>2|1204|15000</t>
  </si>
  <si>
    <t>Billfangshi300</t>
  </si>
  <si>
    <t>4,6</t>
  </si>
  <si>
    <t>2|1008|1</t>
  </si>
  <si>
    <t>2|1204|30000</t>
  </si>
  <si>
    <t>1|2|750000</t>
  </si>
  <si>
    <t>1|2|350000</t>
  </si>
  <si>
    <t>1|2|250000</t>
  </si>
  <si>
    <t>1|2|60000</t>
  </si>
  <si>
    <t>捕获boss后翻N倍奖励的玩法</t>
  </si>
  <si>
    <t>基础值</t>
  </si>
  <si>
    <t>gold</t>
  </si>
  <si>
    <t>pro</t>
  </si>
  <si>
    <t>rechargeHit</t>
  </si>
  <si>
    <t>期望值</t>
  </si>
  <si>
    <t>档位</t>
  </si>
  <si>
    <t>捕获获得金币</t>
  </si>
  <si>
    <t>该档位对应的概率</t>
  </si>
  <si>
    <t>充值体验阶段不破产必中
0不可以必中
1可必中</t>
  </si>
  <si>
    <t>倍率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</si>
  <si>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</si>
  <si>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</si>
  <si>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</si>
  <si>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</si>
  <si>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</si>
  <si>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</si>
  <si>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</si>
  <si>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</si>
  <si>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</si>
  <si>
    <t>1话费对应的金币价值鱼玩家持有话费券关系</t>
  </si>
  <si>
    <t>billRange</t>
  </si>
  <si>
    <r>
      <rPr>
        <sz val="8"/>
        <color theme="1"/>
        <rFont val="微软雅黑"/>
        <family val="2"/>
        <charset val="134"/>
      </rPr>
      <t>玩家持有话费券数量</t>
    </r>
    <r>
      <rPr>
        <sz val="8"/>
        <color rgb="FFFF0000"/>
        <rFont val="微软雅黑"/>
        <family val="2"/>
        <charset val="134"/>
      </rPr>
      <t>(兑换商城显示数量)</t>
    </r>
    <r>
      <rPr>
        <sz val="8"/>
        <color theme="1"/>
        <rFont val="微软雅黑"/>
        <family val="2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</si>
  <si>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</si>
  <si>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</si>
  <si>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</si>
  <si>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</si>
  <si>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</si>
  <si>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</si>
  <si>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</si>
  <si>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</si>
  <si>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</si>
  <si>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</si>
  <si>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</si>
  <si>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</si>
  <si>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</si>
  <si>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</si>
  <si>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</si>
  <si>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</si>
  <si>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</si>
  <si>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</si>
  <si>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</si>
  <si>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</si>
  <si>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</si>
  <si>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family val="2"/>
        <charset val="134"/>
      </rPr>
      <t xml:space="preserve">占领期间奖励频率/毫秒
</t>
    </r>
    <r>
      <rPr>
        <b/>
        <sz val="8"/>
        <color rgb="FFFF0000"/>
        <rFont val="微软雅黑"/>
        <family val="2"/>
        <charset val="134"/>
      </rPr>
      <t>废弃</t>
    </r>
  </si>
  <si>
    <t>占领期间单次奖励积分数量
废弃</t>
  </si>
  <si>
    <r>
      <rPr>
        <sz val="8"/>
        <color rgb="FFFF0000"/>
        <rFont val="微软雅黑"/>
        <family val="2"/>
        <charset val="134"/>
      </rPr>
      <t xml:space="preserve">护航奖励
话费赛积分
</t>
    </r>
    <r>
      <rPr>
        <b/>
        <sz val="8"/>
        <color rgb="FFFF0000"/>
        <rFont val="微软雅黑"/>
        <family val="2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</si>
  <si>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</si>
  <si>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</si>
  <si>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</si>
  <si>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</si>
  <si>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</si>
  <si>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</si>
  <si>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</si>
  <si>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</si>
  <si>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</si>
  <si>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family val="2"/>
        <charset val="134"/>
      </rPr>
      <t>人民币价值</t>
    </r>
    <r>
      <rPr>
        <sz val="10"/>
        <color rgb="FFFF0000"/>
        <rFont val="微软雅黑"/>
        <family val="2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</si>
  <si>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</si>
  <si>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</si>
  <si>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</si>
  <si>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</si>
  <si>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</si>
  <si>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</si>
  <si>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</si>
  <si>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</si>
  <si>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</si>
  <si>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</si>
  <si>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</si>
  <si>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</si>
  <si>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</si>
  <si>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</si>
  <si>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</si>
  <si>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</si>
  <si>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</si>
  <si>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</si>
  <si>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r>
      <t>1</t>
    </r>
    <r>
      <rPr>
        <sz val="11"/>
        <color theme="1"/>
        <rFont val="微软雅黑"/>
        <family val="2"/>
        <charset val="134"/>
      </rPr>
      <t>0</t>
    </r>
    <phoneticPr fontId="64" type="noConversion"/>
  </si>
  <si>
    <r>
      <t>1</t>
    </r>
    <r>
      <rPr>
        <sz val="11"/>
        <color theme="1"/>
        <rFont val="微软雅黑"/>
        <family val="2"/>
        <charset val="134"/>
      </rPr>
      <t>0</t>
    </r>
    <phoneticPr fontId="64" type="noConversion"/>
  </si>
  <si>
    <r>
      <t>参数类型，
针对道具效果7，1周卡</t>
    </r>
    <r>
      <rPr>
        <sz val="8"/>
        <color rgb="FFFF0000"/>
        <rFont val="微软雅黑"/>
        <family val="2"/>
        <charset val="134"/>
      </rPr>
      <t>，2金币月卡（废弃）</t>
    </r>
    <r>
      <rPr>
        <sz val="8"/>
        <color theme="1"/>
        <rFont val="微软雅黑"/>
        <family val="2"/>
        <charset val="134"/>
      </rPr>
      <t>，3三年卡;4星钻月卡
针对，5金币月卡8,话费卡人民币面额/元;
针对10,爆炸半径R,像素
11互动红包基础金币值
针对道具效果4，0表示普通召唤，1表示主宰召唤
注意：当I列道具效果为13（用于合成）时，此列对应合成配方的key（合成表中）</t>
    </r>
    <phoneticPr fontId="64" type="noConversion"/>
  </si>
  <si>
    <t>ReKC</t>
    <phoneticPr fontId="64" type="noConversion"/>
  </si>
  <si>
    <t>[5,20]</t>
    <phoneticPr fontId="64" type="noConversion"/>
  </si>
  <si>
    <t>充值库存系数【5,20】秒根据当前的充值库存范围，变化一次</t>
    <phoneticPr fontId="64" type="noConversion"/>
  </si>
  <si>
    <t>Re648addKC</t>
    <phoneticPr fontId="64" type="noConversion"/>
  </si>
  <si>
    <t>每日648有充值库存系数加成（充值库存系数*加成）,表示第1次为1.2，第2次为1,第3次后都为1</t>
    <phoneticPr fontId="64" type="noConversion"/>
  </si>
  <si>
    <t>ReKresetP</t>
    <phoneticPr fontId="64" type="noConversion"/>
  </si>
  <si>
    <t>[50,50,0]</t>
    <phoneticPr fontId="64" type="noConversion"/>
  </si>
  <si>
    <t>充值库存失效后会重置为强前值得50%，修正两次后，第3次清零，50标识50%</t>
    <phoneticPr fontId="64" type="noConversion"/>
  </si>
  <si>
    <t>shimingreward</t>
  </si>
  <si>
    <t>1|2|200000,1|1|20,2|1001|3,2|1002|3</t>
  </si>
  <si>
    <t>实名认证奖励</t>
  </si>
  <si>
    <t>s</t>
    <phoneticPr fontId="64" type="noConversion"/>
  </si>
  <si>
    <t>resetKtime</t>
    <phoneticPr fontId="64" type="noConversion"/>
  </si>
  <si>
    <t>充值库存重置时间/小时
从a,b范围内随机
每次登录检查时间</t>
    <phoneticPr fontId="64" type="noConversion"/>
  </si>
  <si>
    <t>[48,96]</t>
    <phoneticPr fontId="64" type="noConversion"/>
  </si>
  <si>
    <t>[36,72]</t>
    <phoneticPr fontId="64" type="noConversion"/>
  </si>
  <si>
    <t>[24,48]</t>
    <phoneticPr fontId="64" type="noConversion"/>
  </si>
  <si>
    <t>[24,36]</t>
    <phoneticPr fontId="64" type="noConversion"/>
  </si>
  <si>
    <t>[18,36]</t>
    <phoneticPr fontId="64" type="noConversion"/>
  </si>
  <si>
    <t>[12,36]</t>
    <phoneticPr fontId="64" type="noConversion"/>
  </si>
  <si>
    <t>[12,36]</t>
    <phoneticPr fontId="64" type="noConversion"/>
  </si>
  <si>
    <t>[12,30]</t>
    <phoneticPr fontId="64" type="noConversion"/>
  </si>
  <si>
    <t>[12,30]</t>
    <phoneticPr fontId="64" type="noConversion"/>
  </si>
  <si>
    <t>broPPro</t>
  </si>
  <si>
    <t>broPBulletNum</t>
  </si>
  <si>
    <t>broPC</t>
  </si>
  <si>
    <t>lianxuBulletNum</t>
  </si>
  <si>
    <t>lianxubroPC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</si>
  <si>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</si>
  <si>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</si>
  <si>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</si>
  <si>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</si>
  <si>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[10,30]</t>
  </si>
  <si>
    <t>[0,1.2]</t>
  </si>
  <si>
    <t>[200,400]</t>
  </si>
  <si>
    <t>[1,3]</t>
  </si>
  <si>
    <t>[20,36]</t>
  </si>
  <si>
    <t>[0.5,1.6]</t>
  </si>
  <si>
    <t>[24,40]</t>
  </si>
  <si>
    <t>[0.6,2]</t>
  </si>
  <si>
    <t>[28,44]</t>
  </si>
  <si>
    <t>[0.7,2]</t>
  </si>
  <si>
    <t>[36,50]</t>
  </si>
  <si>
    <t>[0.8,2]</t>
  </si>
  <si>
    <t>[42,60]</t>
  </si>
  <si>
    <t>[1,2]</t>
  </si>
  <si>
    <t>[2,3]</t>
  </si>
  <si>
    <t>[50,70]</t>
  </si>
  <si>
    <t>[1.2,2.2]</t>
  </si>
  <si>
    <t>[2.5,4]</t>
  </si>
  <si>
    <t>[1.2,2.4]</t>
  </si>
  <si>
    <t>[3,5]</t>
  </si>
  <si>
    <t>[1.2,2.6]</t>
  </si>
  <si>
    <t>[3.5,5.5]</t>
  </si>
  <si>
    <t>[1.2,2.8]</t>
  </si>
  <si>
    <t>[3.5,7]</t>
  </si>
  <si>
    <t>[1.2,3]</t>
  </si>
  <si>
    <t>[3.5,8]</t>
  </si>
  <si>
    <t>brokeA</t>
  </si>
  <si>
    <t>方案C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</si>
  <si>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</si>
  <si>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</si>
  <si>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</si>
  <si>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</si>
  <si>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</si>
  <si>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</si>
  <si>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</si>
  <si>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</si>
  <si>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</si>
  <si>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</si>
  <si>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</si>
  <si>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</si>
  <si>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</si>
  <si>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</si>
  <si>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</si>
  <si>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</si>
  <si>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</si>
  <si>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</si>
  <si>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</si>
  <si>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</si>
  <si>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</si>
  <si>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</si>
  <si>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</si>
  <si>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</si>
  <si>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</si>
  <si>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</si>
  <si>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</si>
  <si>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</si>
  <si>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</si>
  <si>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</si>
  <si>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连续破产触发保护生效，需要的最低炮倍</t>
  </si>
  <si>
    <t>reCRate</t>
  </si>
  <si>
    <t>EC</t>
  </si>
  <si>
    <r>
      <rPr>
        <sz val="9"/>
        <color theme="1"/>
        <rFont val="微软雅黑"/>
        <family val="2"/>
        <charset val="134"/>
      </rPr>
      <t xml:space="preserve">方案C
计算充值库存时的鱼期望倍率
</t>
    </r>
    <r>
      <rPr>
        <b/>
        <sz val="9"/>
        <color rgb="FFFF0000"/>
        <rFont val="微软雅黑"/>
        <family val="2"/>
        <charset val="134"/>
      </rPr>
      <t>废弃</t>
    </r>
  </si>
  <si>
    <r>
      <rPr>
        <sz val="9"/>
        <color theme="1"/>
        <rFont val="微软雅黑"/>
        <family val="2"/>
        <charset val="134"/>
      </rPr>
      <t>方案C(新手体验)
该鱼累计第N次前被捕获时</t>
    </r>
    <r>
      <rPr>
        <b/>
        <sz val="9"/>
        <color theme="1"/>
        <rFont val="微软雅黑"/>
        <family val="2"/>
        <charset val="134"/>
      </rPr>
      <t>概率修正系数</t>
    </r>
    <r>
      <rPr>
        <sz val="9"/>
        <color theme="1"/>
        <rFont val="微软雅黑"/>
        <family val="2"/>
        <charset val="134"/>
      </rPr>
      <t xml:space="preserve">
a,b,c,表示第1次被捕获前能量为a，第2次为b，第3次及后续为c</t>
    </r>
  </si>
  <si>
    <t>[1.2,1]</t>
  </si>
  <si>
    <t>[1.5,1.3,1.2,1]</t>
  </si>
  <si>
    <t>[1.4,1.2,1]</t>
  </si>
  <si>
    <t>[1.2,1.1,1]</t>
  </si>
  <si>
    <t>[3,2,1.8,1.5,1.2,1]</t>
  </si>
  <si>
    <t>ReKnoeffectC</t>
  </si>
  <si>
    <t>充值库存失效值，库存中的值小于当前炮倍率*2时，GM库存置为0；</t>
  </si>
  <si>
    <t>80000</t>
  </si>
  <si>
    <t>kuangbaoN</t>
  </si>
  <si>
    <t>[1,2,4,5]</t>
  </si>
  <si>
    <t>狂暴道具加成系数（锁定按照1倍狂暴考虑，即可以理解成狂暴1~4倍）</t>
  </si>
  <si>
    <t>kuangbaoC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</si>
  <si>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</si>
  <si>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</si>
  <si>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</si>
  <si>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</si>
  <si>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</si>
  <si>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</si>
  <si>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</si>
  <si>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</si>
  <si>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</si>
  <si>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int</t>
    <phoneticPr fontId="64" type="noConversion"/>
  </si>
  <si>
    <t>ReK3</t>
    <phoneticPr fontId="64" type="noConversion"/>
  </si>
  <si>
    <t>方案C
用户升级后会增加库存</t>
    <phoneticPr fontId="64" type="noConversion"/>
  </si>
  <si>
    <t>ReK2Glimit</t>
  </si>
  <si>
    <t>ReK2</t>
    <phoneticPr fontId="64" type="noConversion"/>
  </si>
  <si>
    <t>方案C
每天首次进入房间，
补充至库存需要玩家持有金币范围</t>
  </si>
  <si>
    <t>方案C
每天首次进入房间，
补充至库存范围,数组从V0到V10;
例如填写了5个表示，V4及后续都是按照第5个来</t>
    <phoneticPr fontId="64" type="noConversion"/>
  </si>
  <si>
    <t>[0,100000]</t>
  </si>
  <si>
    <t>[0,500000]</t>
  </si>
  <si>
    <t>[[0,0],[0,0],[0,0],[0,0],[0,0]]</t>
    <phoneticPr fontId="64" type="noConversion"/>
  </si>
  <si>
    <t>[0,4000000]</t>
  </si>
  <si>
    <t>[[0,0],[0,0],[0,0],[0,0],[0,0],[0,2000000]]</t>
    <phoneticPr fontId="64" type="noConversion"/>
  </si>
  <si>
    <t>[0,60000000]</t>
  </si>
  <si>
    <t>[[0,0],[0,0],[0,0],[0,0],[0,0],[0,2000000],[0,2000000],[0,4000000]]</t>
    <phoneticPr fontId="64" type="noConversion"/>
  </si>
  <si>
    <t>ReK4</t>
    <phoneticPr fontId="64" type="noConversion"/>
  </si>
  <si>
    <t>签到增加库存</t>
    <phoneticPr fontId="64" type="noConversion"/>
  </si>
  <si>
    <t>[100000,300000]</t>
    <phoneticPr fontId="64" type="noConversion"/>
  </si>
  <si>
    <t>[100000,300000]</t>
  </si>
  <si>
    <t>VIPC</t>
  </si>
  <si>
    <t>vip修正系数对能量的
0.009=90/10000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</si>
</sst>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0000%"/>
    <numFmt numFmtId="177" formatCode="0.000"/>
    <numFmt numFmtId="178" formatCode="0.0000_);[Red]\(0.0000\)"/>
    <numFmt numFmtId="179" formatCode="0.00000000"/>
    <numFmt numFmtId="180" formatCode="0.0%"/>
    <numFmt numFmtId="181" formatCode="0.000000000"/>
    <numFmt numFmtId="182" formatCode="0.000000000_ "/>
    <numFmt numFmtId="183" formatCode="0.000_);[Red]\(0.000\)"/>
    <numFmt numFmtId="184" formatCode="0.000%"/>
    <numFmt numFmtId="185" formatCode="0.00_);[Red]\(0.00\)"/>
    <numFmt numFmtId="186" formatCode="0.00000"/>
    <numFmt numFmtId="187" formatCode="0_);[Red]\(0\)"/>
    <numFmt numFmtId="188" formatCode="0.0"/>
    <numFmt numFmtId="189" formatCode="0.0000%"/>
    <numFmt numFmtId="190" formatCode="0.000000%"/>
    <numFmt numFmtId="191" formatCode="0.000000"/>
    <numFmt numFmtId="192" formatCode="0.0000000"/>
    <numFmt numFmtId="193" formatCode="0.0_);[Red]\(0.0\)"/>
    <numFmt numFmtId="194" formatCode="0.0_ "/>
  </numFmts>
  <fonts count="6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rgb="FF000000"/>
      <name val="等线"/>
      <family val="3"/>
      <charset val="134"/>
    </font>
    <font>
      <u/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sz val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i/>
      <sz val="10.5"/>
      <color rgb="FF00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725943784905543"/>
        <bgColor indexed="64"/>
      </patternFill>
    </fill>
    <fill>
      <patternFill patternType="solid">
        <fgColor theme="3" tint="0.397259437849055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theme="3" tint="0.79943235572374649"/>
        <bgColor indexed="64"/>
      </patternFill>
    </fill>
    <fill>
      <patternFill patternType="solid">
        <fgColor theme="6" tint="0.397747734000671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7259437849055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77706228827784"/>
        <bgColor indexed="64"/>
      </patternFill>
    </fill>
    <fill>
      <patternFill patternType="solid">
        <fgColor theme="9" tint="0.397839289529099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75646229438154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39753410443433945"/>
        <bgColor indexed="64"/>
      </patternFill>
    </fill>
    <fill>
      <patternFill patternType="solid">
        <fgColor theme="0" tint="-0.14758751182592242"/>
        <bgColor indexed="64"/>
      </patternFill>
    </fill>
    <fill>
      <patternFill patternType="solid">
        <fgColor theme="9" tint="0.3972594378490554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9" tint="0.398724326303903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738151188695942"/>
        <bgColor indexed="64"/>
      </patternFill>
    </fill>
    <fill>
      <patternFill patternType="solid">
        <fgColor theme="0" tint="-0.14752647480697043"/>
        <bgColor indexed="64"/>
      </patternFill>
    </fill>
    <fill>
      <patternFill patternType="solid">
        <fgColor theme="0" tint="-0.1488082522049623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774773400067143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9" fontId="47" fillId="0" borderId="0" applyFont="0" applyFill="0" applyBorder="0" applyAlignment="0" applyProtection="0">
      <alignment vertical="center"/>
    </xf>
  </cellStyleXfs>
  <cellXfs count="791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 wrapText="1"/>
    </xf>
    <xf numFmtId="0" fontId="6" fillId="0" borderId="0" xfId="0" applyFont="1"/>
    <xf numFmtId="10" fontId="1" fillId="0" borderId="0" xfId="1" applyNumberFormat="1" applyFont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left"/>
    </xf>
    <xf numFmtId="0" fontId="0" fillId="7" borderId="0" xfId="0" applyFont="1" applyFill="1"/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4" fillId="11" borderId="1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1" fillId="7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" fillId="1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left"/>
    </xf>
    <xf numFmtId="0" fontId="2" fillId="14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8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vertical="top" wrapText="1"/>
    </xf>
    <xf numFmtId="0" fontId="18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180" fontId="6" fillId="0" borderId="0" xfId="1" applyNumberFormat="1" applyFont="1" applyFill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3" borderId="1" xfId="0" applyNumberFormat="1" applyFont="1" applyFill="1" applyBorder="1" applyAlignment="1">
      <alignment horizontal="left"/>
    </xf>
    <xf numFmtId="0" fontId="2" fillId="18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vertical="top" wrapText="1"/>
    </xf>
    <xf numFmtId="0" fontId="23" fillId="18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1" fillId="18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/>
    </xf>
    <xf numFmtId="0" fontId="1" fillId="0" borderId="17" xfId="0" applyNumberFormat="1" applyFont="1" applyFill="1" applyBorder="1" applyAlignment="1">
      <alignment horizontal="left" vertical="center"/>
    </xf>
    <xf numFmtId="0" fontId="1" fillId="18" borderId="1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18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/>
    </xf>
    <xf numFmtId="0" fontId="1" fillId="0" borderId="20" xfId="0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2" fillId="18" borderId="1" xfId="0" applyNumberFormat="1" applyFont="1" applyFill="1" applyBorder="1" applyAlignment="1">
      <alignment horizontal="left"/>
    </xf>
    <xf numFmtId="0" fontId="23" fillId="18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78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81" fontId="1" fillId="0" borderId="0" xfId="0" applyNumberFormat="1" applyFont="1" applyAlignment="1">
      <alignment horizontal="left" vertical="center"/>
    </xf>
    <xf numFmtId="182" fontId="1" fillId="0" borderId="0" xfId="0" applyNumberFormat="1" applyFont="1" applyAlignment="1">
      <alignment horizontal="left" vertical="center"/>
    </xf>
    <xf numFmtId="180" fontId="1" fillId="0" borderId="0" xfId="1" applyNumberFormat="1" applyFont="1" applyAlignment="1">
      <alignment horizontal="left" vertical="center"/>
    </xf>
    <xf numFmtId="0" fontId="1" fillId="20" borderId="0" xfId="0" applyFont="1" applyFill="1" applyAlignment="1">
      <alignment horizontal="left"/>
    </xf>
    <xf numFmtId="0" fontId="1" fillId="21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2" borderId="0" xfId="0" applyFont="1" applyFill="1" applyAlignment="1">
      <alignment horizontal="left" vertical="center"/>
    </xf>
    <xf numFmtId="0" fontId="2" fillId="23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2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left" vertical="center" wrapText="1"/>
    </xf>
    <xf numFmtId="0" fontId="1" fillId="22" borderId="0" xfId="0" applyFont="1" applyFill="1" applyAlignment="1">
      <alignment horizontal="left"/>
    </xf>
    <xf numFmtId="0" fontId="2" fillId="18" borderId="1" xfId="0" applyFont="1" applyFill="1" applyBorder="1" applyAlignment="1">
      <alignment horizontal="left" wrapText="1"/>
    </xf>
    <xf numFmtId="0" fontId="4" fillId="22" borderId="1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7" borderId="18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18" fillId="7" borderId="22" xfId="0" applyFont="1" applyFill="1" applyBorder="1" applyAlignment="1">
      <alignment horizontal="left" vertical="center"/>
    </xf>
    <xf numFmtId="0" fontId="2" fillId="7" borderId="23" xfId="0" applyFont="1" applyFill="1" applyBorder="1" applyAlignment="1">
      <alignment horizontal="left" vertical="center"/>
    </xf>
    <xf numFmtId="0" fontId="7" fillId="7" borderId="22" xfId="0" applyFont="1" applyFill="1" applyBorder="1" applyAlignment="1">
      <alignment horizontal="left" vertical="center"/>
    </xf>
    <xf numFmtId="0" fontId="2" fillId="24" borderId="2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5" borderId="0" xfId="0" applyFont="1" applyFill="1" applyAlignment="1">
      <alignment horizontal="center" vertical="center" wrapText="1"/>
    </xf>
    <xf numFmtId="0" fontId="3" fillId="26" borderId="0" xfId="0" applyFont="1" applyFill="1" applyAlignment="1">
      <alignment horizontal="left" vertical="center" wrapText="1"/>
    </xf>
    <xf numFmtId="0" fontId="2" fillId="25" borderId="0" xfId="0" applyFont="1" applyFill="1" applyAlignment="1">
      <alignment horizontal="left" vertical="center" wrapText="1"/>
    </xf>
    <xf numFmtId="0" fontId="2" fillId="25" borderId="24" xfId="0" applyFont="1" applyFill="1" applyBorder="1" applyAlignment="1">
      <alignment horizontal="left" vertical="center" wrapText="1"/>
    </xf>
    <xf numFmtId="0" fontId="2" fillId="25" borderId="2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0" fontId="2" fillId="7" borderId="17" xfId="1" applyNumberFormat="1" applyFont="1" applyFill="1" applyBorder="1" applyAlignment="1">
      <alignment horizontal="left" vertical="center"/>
    </xf>
    <xf numFmtId="10" fontId="2" fillId="7" borderId="0" xfId="1" applyNumberFormat="1" applyFont="1" applyFill="1" applyBorder="1" applyAlignment="1">
      <alignment horizontal="left" vertical="center"/>
    </xf>
    <xf numFmtId="184" fontId="2" fillId="7" borderId="0" xfId="1" applyNumberFormat="1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7" borderId="2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1" fillId="7" borderId="0" xfId="0" applyFont="1" applyFill="1"/>
    <xf numFmtId="185" fontId="1" fillId="0" borderId="0" xfId="0" applyNumberFormat="1" applyFont="1"/>
    <xf numFmtId="49" fontId="1" fillId="0" borderId="0" xfId="0" applyNumberFormat="1" applyFont="1"/>
    <xf numFmtId="0" fontId="1" fillId="0" borderId="2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26" xfId="0" applyFont="1" applyBorder="1"/>
    <xf numFmtId="0" fontId="1" fillId="0" borderId="25" xfId="0" applyFont="1" applyBorder="1"/>
    <xf numFmtId="0" fontId="1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" fillId="2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1" fillId="15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1" fillId="28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186" fontId="1" fillId="0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1" fillId="0" borderId="15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186" fontId="8" fillId="0" borderId="0" xfId="0" applyNumberFormat="1" applyFont="1" applyFill="1" applyAlignment="1">
      <alignment horizontal="left"/>
    </xf>
    <xf numFmtId="0" fontId="13" fillId="28" borderId="1" xfId="0" applyFont="1" applyFill="1" applyBorder="1" applyAlignment="1">
      <alignment horizontal="left"/>
    </xf>
    <xf numFmtId="0" fontId="2" fillId="28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28" borderId="27" xfId="0" applyFont="1" applyFill="1" applyBorder="1" applyAlignment="1">
      <alignment horizontal="left"/>
    </xf>
    <xf numFmtId="0" fontId="2" fillId="28" borderId="1" xfId="0" applyFont="1" applyFill="1" applyBorder="1" applyAlignment="1"/>
    <xf numFmtId="0" fontId="2" fillId="0" borderId="1" xfId="0" applyFont="1" applyFill="1" applyBorder="1" applyAlignment="1"/>
    <xf numFmtId="0" fontId="4" fillId="28" borderId="1" xfId="0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horizontal="left" vertical="center" wrapText="1"/>
    </xf>
    <xf numFmtId="10" fontId="5" fillId="0" borderId="15" xfId="1" applyNumberFormat="1" applyFont="1" applyFill="1" applyBorder="1" applyAlignment="1">
      <alignment horizontal="left"/>
    </xf>
    <xf numFmtId="187" fontId="1" fillId="7" borderId="0" xfId="1" applyNumberFormat="1" applyFont="1" applyFill="1" applyBorder="1" applyAlignment="1">
      <alignment horizontal="left"/>
    </xf>
    <xf numFmtId="187" fontId="1" fillId="0" borderId="26" xfId="1" applyNumberFormat="1" applyFont="1" applyFill="1" applyBorder="1" applyAlignment="1">
      <alignment horizontal="left"/>
    </xf>
    <xf numFmtId="187" fontId="1" fillId="0" borderId="0" xfId="1" applyNumberFormat="1" applyFont="1" applyFill="1" applyBorder="1" applyAlignment="1">
      <alignment horizontal="left"/>
    </xf>
    <xf numFmtId="10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87" fontId="1" fillId="7" borderId="28" xfId="1" applyNumberFormat="1" applyFont="1" applyFill="1" applyBorder="1" applyAlignment="1">
      <alignment horizontal="left"/>
    </xf>
    <xf numFmtId="187" fontId="1" fillId="0" borderId="29" xfId="1" applyNumberFormat="1" applyFont="1" applyFill="1" applyBorder="1" applyAlignment="1">
      <alignment horizontal="left"/>
    </xf>
    <xf numFmtId="0" fontId="13" fillId="2" borderId="30" xfId="0" applyFont="1" applyFill="1" applyBorder="1" applyAlignment="1">
      <alignment horizontal="left"/>
    </xf>
    <xf numFmtId="0" fontId="13" fillId="28" borderId="31" xfId="0" applyFont="1" applyFill="1" applyBorder="1" applyAlignment="1">
      <alignment horizontal="left"/>
    </xf>
    <xf numFmtId="0" fontId="13" fillId="28" borderId="32" xfId="0" applyFont="1" applyFill="1" applyBorder="1" applyAlignment="1">
      <alignment horizontal="left"/>
    </xf>
    <xf numFmtId="0" fontId="13" fillId="28" borderId="33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8" borderId="34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 wrapText="1"/>
    </xf>
    <xf numFmtId="0" fontId="2" fillId="28" borderId="27" xfId="0" applyFont="1" applyFill="1" applyBorder="1" applyAlignment="1">
      <alignment horizontal="left" wrapText="1"/>
    </xf>
    <xf numFmtId="0" fontId="2" fillId="28" borderId="1" xfId="0" applyFont="1" applyFill="1" applyBorder="1" applyAlignment="1">
      <alignment horizontal="left" wrapText="1"/>
    </xf>
    <xf numFmtId="0" fontId="2" fillId="28" borderId="34" xfId="0" applyFont="1" applyFill="1" applyBorder="1" applyAlignment="1">
      <alignment horizontal="left" wrapText="1"/>
    </xf>
    <xf numFmtId="0" fontId="4" fillId="2" borderId="30" xfId="0" applyFont="1" applyFill="1" applyBorder="1" applyAlignment="1">
      <alignment horizontal="left" vertical="center" wrapText="1"/>
    </xf>
    <xf numFmtId="0" fontId="4" fillId="28" borderId="35" xfId="0" applyFont="1" applyFill="1" applyBorder="1" applyAlignment="1">
      <alignment horizontal="left" vertical="center" wrapText="1"/>
    </xf>
    <xf numFmtId="0" fontId="4" fillId="28" borderId="36" xfId="0" applyFont="1" applyFill="1" applyBorder="1" applyAlignment="1">
      <alignment horizontal="left" vertical="center" wrapText="1"/>
    </xf>
    <xf numFmtId="0" fontId="4" fillId="28" borderId="37" xfId="0" applyFont="1" applyFill="1" applyBorder="1" applyAlignment="1">
      <alignment horizontal="left" vertical="center" wrapText="1"/>
    </xf>
    <xf numFmtId="9" fontId="1" fillId="0" borderId="0" xfId="1" applyNumberFormat="1" applyFont="1" applyFill="1" applyAlignment="1">
      <alignment horizontal="left"/>
    </xf>
    <xf numFmtId="180" fontId="1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left"/>
    </xf>
    <xf numFmtId="9" fontId="1" fillId="0" borderId="12" xfId="1" applyNumberFormat="1" applyFont="1" applyFill="1" applyBorder="1" applyAlignment="1">
      <alignment horizontal="left"/>
    </xf>
    <xf numFmtId="9" fontId="1" fillId="0" borderId="15" xfId="1" applyNumberFormat="1" applyFont="1" applyFill="1" applyBorder="1" applyAlignment="1">
      <alignment horizontal="left"/>
    </xf>
    <xf numFmtId="9" fontId="1" fillId="0" borderId="13" xfId="1" applyNumberFormat="1" applyFont="1" applyFill="1" applyBorder="1" applyAlignment="1">
      <alignment horizontal="left"/>
    </xf>
    <xf numFmtId="9" fontId="1" fillId="0" borderId="4" xfId="1" applyNumberFormat="1" applyFont="1" applyFill="1" applyBorder="1" applyAlignment="1">
      <alignment horizontal="left"/>
    </xf>
    <xf numFmtId="9" fontId="1" fillId="0" borderId="0" xfId="1" applyNumberFormat="1" applyFont="1" applyFill="1" applyBorder="1" applyAlignment="1">
      <alignment horizontal="left"/>
    </xf>
    <xf numFmtId="9" fontId="1" fillId="0" borderId="10" xfId="1" applyNumberFormat="1" applyFont="1" applyFill="1" applyBorder="1" applyAlignment="1">
      <alignment horizontal="left"/>
    </xf>
    <xf numFmtId="9" fontId="1" fillId="28" borderId="0" xfId="1" applyNumberFormat="1" applyFont="1" applyFill="1" applyBorder="1" applyAlignment="1">
      <alignment horizontal="left"/>
    </xf>
    <xf numFmtId="9" fontId="1" fillId="0" borderId="5" xfId="1" applyNumberFormat="1" applyFont="1" applyFill="1" applyBorder="1" applyAlignment="1">
      <alignment horizontal="left"/>
    </xf>
    <xf numFmtId="9" fontId="1" fillId="0" borderId="6" xfId="1" applyNumberFormat="1" applyFont="1" applyFill="1" applyBorder="1" applyAlignment="1">
      <alignment horizontal="left"/>
    </xf>
    <xf numFmtId="9" fontId="1" fillId="0" borderId="11" xfId="1" applyNumberFormat="1" applyFont="1" applyFill="1" applyBorder="1" applyAlignment="1">
      <alignment horizontal="left"/>
    </xf>
    <xf numFmtId="0" fontId="2" fillId="30" borderId="1" xfId="0" applyFont="1" applyFill="1" applyBorder="1" applyAlignment="1">
      <alignment horizontal="left"/>
    </xf>
    <xf numFmtId="185" fontId="2" fillId="2" borderId="1" xfId="0" applyNumberFormat="1" applyFont="1" applyFill="1" applyBorder="1" applyAlignment="1">
      <alignment horizontal="left"/>
    </xf>
    <xf numFmtId="0" fontId="13" fillId="30" borderId="1" xfId="0" applyFont="1" applyFill="1" applyBorder="1" applyAlignment="1">
      <alignment horizontal="left"/>
    </xf>
    <xf numFmtId="0" fontId="13" fillId="18" borderId="1" xfId="0" applyFont="1" applyFill="1" applyBorder="1" applyAlignment="1">
      <alignment horizontal="left"/>
    </xf>
    <xf numFmtId="0" fontId="4" fillId="30" borderId="1" xfId="0" applyFont="1" applyFill="1" applyBorder="1" applyAlignment="1">
      <alignment horizontal="left" vertical="center" wrapText="1"/>
    </xf>
    <xf numFmtId="185" fontId="4" fillId="2" borderId="1" xfId="0" applyNumberFormat="1" applyFont="1" applyFill="1" applyBorder="1" applyAlignment="1">
      <alignment horizontal="left" vertical="center" wrapText="1"/>
    </xf>
    <xf numFmtId="187" fontId="1" fillId="0" borderId="0" xfId="1" applyNumberFormat="1" applyFont="1" applyFill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 wrapText="1"/>
    </xf>
    <xf numFmtId="9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1" fillId="18" borderId="0" xfId="0" applyNumberFormat="1" applyFont="1" applyFill="1" applyAlignment="1">
      <alignment horizontal="left"/>
    </xf>
    <xf numFmtId="49" fontId="1" fillId="18" borderId="0" xfId="0" applyNumberFormat="1" applyFont="1" applyFill="1"/>
    <xf numFmtId="49" fontId="5" fillId="7" borderId="0" xfId="0" applyNumberFormat="1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applyNumberFormat="1" applyFont="1"/>
    <xf numFmtId="49" fontId="1" fillId="7" borderId="0" xfId="0" applyNumberFormat="1" applyFont="1" applyFill="1"/>
    <xf numFmtId="0" fontId="4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188" fontId="1" fillId="0" borderId="0" xfId="0" applyNumberFormat="1" applyFont="1" applyFill="1" applyAlignment="1">
      <alignment horizontal="left"/>
    </xf>
    <xf numFmtId="0" fontId="3" fillId="0" borderId="12" xfId="0" applyFont="1" applyBorder="1" applyAlignment="1">
      <alignment horizontal="left"/>
    </xf>
    <xf numFmtId="0" fontId="1" fillId="19" borderId="13" xfId="0" applyFont="1" applyFill="1" applyBorder="1" applyAlignment="1">
      <alignment horizontal="left"/>
    </xf>
    <xf numFmtId="0" fontId="3" fillId="0" borderId="0" xfId="0" applyFont="1"/>
    <xf numFmtId="0" fontId="4" fillId="0" borderId="4" xfId="0" applyFont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/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0" xfId="0" applyFont="1" applyFill="1"/>
    <xf numFmtId="0" fontId="4" fillId="18" borderId="12" xfId="0" applyFont="1" applyFill="1" applyBorder="1" applyAlignment="1">
      <alignment horizontal="left"/>
    </xf>
    <xf numFmtId="0" fontId="4" fillId="18" borderId="13" xfId="0" applyFont="1" applyFill="1" applyBorder="1" applyAlignment="1">
      <alignment horizontal="left"/>
    </xf>
    <xf numFmtId="0" fontId="4" fillId="18" borderId="5" xfId="0" applyFont="1" applyFill="1" applyBorder="1" applyAlignment="1">
      <alignment horizontal="left"/>
    </xf>
    <xf numFmtId="0" fontId="4" fillId="18" borderId="11" xfId="0" applyFont="1" applyFill="1" applyBorder="1" applyAlignment="1">
      <alignment horizontal="left"/>
    </xf>
    <xf numFmtId="185" fontId="1" fillId="0" borderId="0" xfId="0" applyNumberFormat="1" applyFont="1" applyFill="1"/>
    <xf numFmtId="0" fontId="24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79" fontId="1" fillId="0" borderId="0" xfId="0" applyNumberFormat="1" applyFont="1"/>
    <xf numFmtId="0" fontId="9" fillId="0" borderId="0" xfId="0" applyFont="1" applyAlignment="1">
      <alignment wrapText="1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32" borderId="0" xfId="0" applyFont="1" applyFill="1" applyBorder="1" applyAlignment="1">
      <alignment horizontal="left" vertical="center" wrapText="1"/>
    </xf>
    <xf numFmtId="0" fontId="1" fillId="17" borderId="0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/>
    </xf>
    <xf numFmtId="9" fontId="1" fillId="0" borderId="0" xfId="0" applyNumberFormat="1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9" fontId="1" fillId="28" borderId="0" xfId="0" applyNumberFormat="1" applyFont="1" applyFill="1" applyBorder="1" applyAlignment="1">
      <alignment horizontal="left"/>
    </xf>
    <xf numFmtId="0" fontId="1" fillId="33" borderId="0" xfId="0" applyFont="1" applyFill="1" applyBorder="1" applyAlignment="1">
      <alignment horizontal="left" vertical="center" wrapText="1"/>
    </xf>
    <xf numFmtId="9" fontId="29" fillId="0" borderId="0" xfId="0" applyNumberFormat="1" applyFont="1" applyBorder="1" applyAlignment="1">
      <alignment horizontal="left" vertical="center" wrapText="1"/>
    </xf>
    <xf numFmtId="184" fontId="1" fillId="0" borderId="0" xfId="1" applyNumberFormat="1" applyFont="1" applyFill="1" applyBorder="1" applyAlignment="1">
      <alignment horizontal="left"/>
    </xf>
    <xf numFmtId="184" fontId="1" fillId="0" borderId="0" xfId="1" applyNumberFormat="1" applyFont="1" applyFill="1" applyBorder="1" applyAlignment="1"/>
    <xf numFmtId="0" fontId="13" fillId="34" borderId="38" xfId="0" applyFont="1" applyFill="1" applyBorder="1" applyAlignment="1">
      <alignment horizontal="left"/>
    </xf>
    <xf numFmtId="0" fontId="4" fillId="34" borderId="39" xfId="0" applyFont="1" applyFill="1" applyBorder="1" applyAlignment="1">
      <alignment horizontal="left" wrapText="1"/>
    </xf>
    <xf numFmtId="0" fontId="2" fillId="34" borderId="42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34" borderId="42" xfId="0" applyFont="1" applyFill="1" applyBorder="1" applyAlignment="1">
      <alignment horizontal="left" wrapText="1"/>
    </xf>
    <xf numFmtId="0" fontId="2" fillId="34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wrapText="1"/>
    </xf>
    <xf numFmtId="9" fontId="2" fillId="7" borderId="24" xfId="0" applyNumberFormat="1" applyFont="1" applyFill="1" applyBorder="1" applyAlignment="1">
      <alignment horizontal="left" wrapText="1"/>
    </xf>
    <xf numFmtId="9" fontId="29" fillId="0" borderId="26" xfId="0" applyNumberFormat="1" applyFont="1" applyBorder="1" applyAlignment="1">
      <alignment horizontal="left" vertical="center" wrapText="1"/>
    </xf>
    <xf numFmtId="0" fontId="4" fillId="34" borderId="42" xfId="0" applyFont="1" applyFill="1" applyBorder="1" applyAlignment="1">
      <alignment horizontal="left" vertical="center" wrapText="1"/>
    </xf>
    <xf numFmtId="0" fontId="4" fillId="34" borderId="1" xfId="0" applyFont="1" applyFill="1" applyBorder="1" applyAlignment="1">
      <alignment horizontal="left" vertical="center" wrapText="1"/>
    </xf>
    <xf numFmtId="0" fontId="4" fillId="34" borderId="5" xfId="0" applyFont="1" applyFill="1" applyBorder="1" applyAlignment="1">
      <alignment horizontal="left" vertical="center" wrapText="1"/>
    </xf>
    <xf numFmtId="0" fontId="4" fillId="15" borderId="44" xfId="0" applyFont="1" applyFill="1" applyBorder="1" applyAlignment="1">
      <alignment horizontal="left" vertical="center" wrapText="1"/>
    </xf>
    <xf numFmtId="184" fontId="1" fillId="0" borderId="26" xfId="1" applyNumberFormat="1" applyFont="1" applyFill="1" applyBorder="1" applyAlignment="1"/>
    <xf numFmtId="184" fontId="1" fillId="7" borderId="25" xfId="1" applyNumberFormat="1" applyFont="1" applyFill="1" applyBorder="1" applyAlignment="1">
      <alignment horizontal="left"/>
    </xf>
    <xf numFmtId="189" fontId="2" fillId="0" borderId="0" xfId="1" applyNumberFormat="1" applyFont="1" applyFill="1" applyBorder="1" applyAlignment="1">
      <alignment horizontal="left"/>
    </xf>
    <xf numFmtId="184" fontId="2" fillId="0" borderId="0" xfId="1" applyNumberFormat="1" applyFont="1" applyFill="1" applyBorder="1" applyAlignment="1">
      <alignment horizontal="left"/>
    </xf>
    <xf numFmtId="184" fontId="1" fillId="0" borderId="25" xfId="1" applyNumberFormat="1" applyFont="1" applyFill="1" applyBorder="1" applyAlignment="1">
      <alignment horizontal="left"/>
    </xf>
    <xf numFmtId="184" fontId="1" fillId="0" borderId="45" xfId="1" applyNumberFormat="1" applyFont="1" applyFill="1" applyBorder="1" applyAlignment="1">
      <alignment horizontal="left"/>
    </xf>
    <xf numFmtId="0" fontId="1" fillId="0" borderId="28" xfId="1" applyNumberFormat="1" applyFont="1" applyFill="1" applyBorder="1" applyAlignment="1">
      <alignment horizontal="left"/>
    </xf>
    <xf numFmtId="189" fontId="2" fillId="0" borderId="28" xfId="1" applyNumberFormat="1" applyFont="1" applyFill="1" applyBorder="1" applyAlignment="1">
      <alignment horizontal="left"/>
    </xf>
    <xf numFmtId="0" fontId="29" fillId="0" borderId="39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18" borderId="47" xfId="0" applyFont="1" applyFill="1" applyBorder="1" applyAlignment="1">
      <alignment horizontal="left"/>
    </xf>
    <xf numFmtId="0" fontId="2" fillId="18" borderId="4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10" fontId="2" fillId="18" borderId="24" xfId="1" applyNumberFormat="1" applyFont="1" applyFill="1" applyBorder="1" applyAlignment="1">
      <alignment horizontal="left"/>
    </xf>
    <xf numFmtId="0" fontId="1" fillId="18" borderId="49" xfId="0" applyFont="1" applyFill="1" applyBorder="1"/>
    <xf numFmtId="0" fontId="1" fillId="0" borderId="0" xfId="0" applyFont="1" applyFill="1" applyBorder="1"/>
    <xf numFmtId="0" fontId="1" fillId="0" borderId="26" xfId="0" applyFont="1" applyFill="1" applyBorder="1"/>
    <xf numFmtId="0" fontId="3" fillId="18" borderId="1" xfId="0" applyFont="1" applyFill="1" applyBorder="1" applyAlignment="1">
      <alignment horizontal="left"/>
    </xf>
    <xf numFmtId="188" fontId="10" fillId="18" borderId="24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4" fillId="15" borderId="51" xfId="0" applyFont="1" applyFill="1" applyBorder="1" applyAlignment="1">
      <alignment horizontal="left" vertical="center" wrapText="1"/>
    </xf>
    <xf numFmtId="0" fontId="29" fillId="15" borderId="51" xfId="0" applyFont="1" applyFill="1" applyBorder="1" applyAlignment="1">
      <alignment horizontal="left" vertical="center" wrapText="1"/>
    </xf>
    <xf numFmtId="0" fontId="4" fillId="15" borderId="5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176" fontId="2" fillId="0" borderId="0" xfId="1" applyNumberFormat="1" applyFont="1" applyFill="1" applyBorder="1" applyAlignment="1">
      <alignment horizontal="left"/>
    </xf>
    <xf numFmtId="183" fontId="2" fillId="0" borderId="0" xfId="1" applyNumberFormat="1" applyFont="1" applyFill="1" applyBorder="1" applyAlignment="1">
      <alignment horizontal="left"/>
    </xf>
    <xf numFmtId="0" fontId="1" fillId="7" borderId="0" xfId="1" applyNumberFormat="1" applyFont="1" applyFill="1" applyBorder="1" applyAlignment="1">
      <alignment horizontal="left"/>
    </xf>
    <xf numFmtId="0" fontId="1" fillId="0" borderId="26" xfId="1" applyNumberFormat="1" applyFont="1" applyFill="1" applyBorder="1" applyAlignment="1">
      <alignment horizontal="left"/>
    </xf>
    <xf numFmtId="176" fontId="2" fillId="0" borderId="28" xfId="1" applyNumberFormat="1" applyFont="1" applyFill="1" applyBorder="1" applyAlignment="1">
      <alignment horizontal="left"/>
    </xf>
    <xf numFmtId="183" fontId="2" fillId="0" borderId="28" xfId="1" applyNumberFormat="1" applyFont="1" applyFill="1" applyBorder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189" fontId="4" fillId="0" borderId="0" xfId="1" applyNumberFormat="1" applyFont="1" applyFill="1" applyBorder="1" applyAlignment="1">
      <alignment horizontal="left"/>
    </xf>
    <xf numFmtId="0" fontId="1" fillId="0" borderId="19" xfId="0" applyFont="1" applyBorder="1" applyAlignment="1">
      <alignment horizontal="left" vertical="center"/>
    </xf>
    <xf numFmtId="0" fontId="13" fillId="0" borderId="0" xfId="0" applyFont="1" applyFill="1"/>
    <xf numFmtId="0" fontId="2" fillId="0" borderId="0" xfId="0" applyFont="1" applyFill="1"/>
    <xf numFmtId="0" fontId="2" fillId="0" borderId="0" xfId="0" applyFont="1"/>
    <xf numFmtId="176" fontId="1" fillId="0" borderId="0" xfId="1" applyNumberFormat="1" applyFont="1" applyFill="1" applyAlignment="1"/>
    <xf numFmtId="0" fontId="5" fillId="19" borderId="0" xfId="1" applyNumberFormat="1" applyFont="1" applyFill="1" applyBorder="1" applyAlignment="1">
      <alignment horizontal="left"/>
    </xf>
    <xf numFmtId="0" fontId="5" fillId="7" borderId="0" xfId="1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89" fontId="4" fillId="7" borderId="0" xfId="1" applyNumberFormat="1" applyFont="1" applyFill="1" applyBorder="1" applyAlignment="1">
      <alignment horizontal="left"/>
    </xf>
    <xf numFmtId="0" fontId="10" fillId="0" borderId="0" xfId="0" applyFont="1"/>
    <xf numFmtId="191" fontId="2" fillId="0" borderId="0" xfId="0" applyNumberFormat="1" applyFont="1" applyAlignment="1">
      <alignment horizontal="left"/>
    </xf>
    <xf numFmtId="0" fontId="3" fillId="0" borderId="0" xfId="0" applyFont="1" applyFill="1"/>
    <xf numFmtId="176" fontId="4" fillId="0" borderId="0" xfId="1" applyNumberFormat="1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9" fillId="0" borderId="0" xfId="0" applyFont="1"/>
    <xf numFmtId="0" fontId="20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Fill="1"/>
    <xf numFmtId="176" fontId="4" fillId="0" borderId="0" xfId="1" applyNumberFormat="1" applyFont="1" applyFill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3" fillId="35" borderId="1" xfId="0" applyFont="1" applyFill="1" applyBorder="1" applyAlignment="1">
      <alignment horizontal="left" vertical="top" wrapText="1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horizontal="right" vertical="center"/>
    </xf>
    <xf numFmtId="0" fontId="21" fillId="0" borderId="57" xfId="0" applyFont="1" applyBorder="1" applyAlignment="1">
      <alignment vertical="center"/>
    </xf>
    <xf numFmtId="0" fontId="21" fillId="0" borderId="23" xfId="0" applyFont="1" applyBorder="1" applyAlignment="1">
      <alignment horizontal="right" vertical="center"/>
    </xf>
    <xf numFmtId="0" fontId="21" fillId="36" borderId="57" xfId="0" applyFont="1" applyFill="1" applyBorder="1" applyAlignment="1">
      <alignment vertical="center"/>
    </xf>
    <xf numFmtId="0" fontId="21" fillId="36" borderId="23" xfId="0" applyFont="1" applyFill="1" applyBorder="1" applyAlignment="1">
      <alignment horizontal="right" vertical="center"/>
    </xf>
    <xf numFmtId="0" fontId="3" fillId="27" borderId="1" xfId="0" applyFont="1" applyFill="1" applyBorder="1" applyAlignment="1">
      <alignment horizontal="left" vertical="top" wrapText="1"/>
    </xf>
    <xf numFmtId="0" fontId="3" fillId="24" borderId="1" xfId="0" applyFont="1" applyFill="1" applyBorder="1" applyAlignment="1">
      <alignment horizontal="left" vertical="top" wrapText="1"/>
    </xf>
    <xf numFmtId="0" fontId="30" fillId="0" borderId="0" xfId="0" applyFont="1"/>
    <xf numFmtId="0" fontId="4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37" borderId="0" xfId="0" applyFont="1" applyFill="1" applyAlignment="1">
      <alignment horizontal="left" vertical="center"/>
    </xf>
    <xf numFmtId="0" fontId="2" fillId="38" borderId="58" xfId="0" applyFont="1" applyFill="1" applyBorder="1" applyAlignment="1">
      <alignment horizontal="left" vertical="center"/>
    </xf>
    <xf numFmtId="0" fontId="2" fillId="38" borderId="59" xfId="0" applyFont="1" applyFill="1" applyBorder="1" applyAlignment="1">
      <alignment horizontal="left" vertical="center"/>
    </xf>
    <xf numFmtId="0" fontId="2" fillId="38" borderId="60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31" fillId="31" borderId="58" xfId="0" applyFont="1" applyFill="1" applyBorder="1" applyAlignment="1">
      <alignment horizontal="left" vertical="center"/>
    </xf>
    <xf numFmtId="0" fontId="31" fillId="31" borderId="59" xfId="0" applyFont="1" applyFill="1" applyBorder="1" applyAlignment="1">
      <alignment horizontal="left" vertical="center"/>
    </xf>
    <xf numFmtId="0" fontId="31" fillId="31" borderId="60" xfId="0" applyFont="1" applyFill="1" applyBorder="1" applyAlignment="1">
      <alignment horizontal="left" vertical="center"/>
    </xf>
    <xf numFmtId="0" fontId="4" fillId="27" borderId="61" xfId="0" applyFont="1" applyFill="1" applyBorder="1" applyAlignment="1">
      <alignment horizontal="left" vertical="center"/>
    </xf>
    <xf numFmtId="0" fontId="4" fillId="27" borderId="62" xfId="0" applyFont="1" applyFill="1" applyBorder="1" applyAlignment="1">
      <alignment horizontal="left" vertical="center"/>
    </xf>
    <xf numFmtId="0" fontId="4" fillId="27" borderId="63" xfId="0" applyFont="1" applyFill="1" applyBorder="1" applyAlignment="1">
      <alignment horizontal="left" vertical="center"/>
    </xf>
    <xf numFmtId="0" fontId="4" fillId="27" borderId="64" xfId="0" applyFont="1" applyFill="1" applyBorder="1" applyAlignment="1">
      <alignment horizontal="left" vertical="center"/>
    </xf>
    <xf numFmtId="0" fontId="4" fillId="24" borderId="61" xfId="0" applyFont="1" applyFill="1" applyBorder="1" applyAlignment="1">
      <alignment horizontal="left" vertical="center"/>
    </xf>
    <xf numFmtId="0" fontId="4" fillId="24" borderId="62" xfId="0" applyFont="1" applyFill="1" applyBorder="1" applyAlignment="1">
      <alignment horizontal="left" vertical="center"/>
    </xf>
    <xf numFmtId="0" fontId="4" fillId="27" borderId="65" xfId="0" applyFont="1" applyFill="1" applyBorder="1" applyAlignment="1">
      <alignment horizontal="left" vertical="center"/>
    </xf>
    <xf numFmtId="0" fontId="4" fillId="27" borderId="66" xfId="0" applyFont="1" applyFill="1" applyBorder="1" applyAlignment="1">
      <alignment horizontal="left" vertical="center"/>
    </xf>
    <xf numFmtId="0" fontId="4" fillId="27" borderId="67" xfId="0" applyFont="1" applyFill="1" applyBorder="1" applyAlignment="1">
      <alignment horizontal="left" vertical="center"/>
    </xf>
    <xf numFmtId="0" fontId="4" fillId="27" borderId="68" xfId="0" applyFont="1" applyFill="1" applyBorder="1" applyAlignment="1">
      <alignment horizontal="left" vertical="center"/>
    </xf>
    <xf numFmtId="0" fontId="4" fillId="24" borderId="65" xfId="0" applyFont="1" applyFill="1" applyBorder="1" applyAlignment="1">
      <alignment horizontal="left" vertical="center"/>
    </xf>
    <xf numFmtId="0" fontId="4" fillId="24" borderId="66" xfId="0" applyFont="1" applyFill="1" applyBorder="1" applyAlignment="1">
      <alignment horizontal="left" vertical="center"/>
    </xf>
    <xf numFmtId="0" fontId="4" fillId="27" borderId="69" xfId="0" applyFont="1" applyFill="1" applyBorder="1" applyAlignment="1">
      <alignment horizontal="left" vertical="center"/>
    </xf>
    <xf numFmtId="0" fontId="4" fillId="27" borderId="70" xfId="0" applyFont="1" applyFill="1" applyBorder="1" applyAlignment="1">
      <alignment horizontal="left" vertical="center"/>
    </xf>
    <xf numFmtId="0" fontId="4" fillId="27" borderId="71" xfId="0" applyFont="1" applyFill="1" applyBorder="1" applyAlignment="1">
      <alignment horizontal="left" vertical="center"/>
    </xf>
    <xf numFmtId="0" fontId="4" fillId="27" borderId="72" xfId="0" applyFont="1" applyFill="1" applyBorder="1" applyAlignment="1">
      <alignment horizontal="left" vertical="center"/>
    </xf>
    <xf numFmtId="0" fontId="4" fillId="24" borderId="69" xfId="0" applyFont="1" applyFill="1" applyBorder="1" applyAlignment="1">
      <alignment horizontal="left" vertical="center"/>
    </xf>
    <xf numFmtId="0" fontId="4" fillId="24" borderId="70" xfId="0" applyFont="1" applyFill="1" applyBorder="1" applyAlignment="1">
      <alignment horizontal="left" vertical="center"/>
    </xf>
    <xf numFmtId="0" fontId="1" fillId="27" borderId="58" xfId="0" applyFont="1" applyFill="1" applyBorder="1" applyAlignment="1">
      <alignment horizontal="left" vertical="center" wrapText="1"/>
    </xf>
    <xf numFmtId="0" fontId="1" fillId="27" borderId="59" xfId="0" applyFont="1" applyFill="1" applyBorder="1" applyAlignment="1">
      <alignment horizontal="left" vertical="center"/>
    </xf>
    <xf numFmtId="0" fontId="1" fillId="24" borderId="58" xfId="0" applyFont="1" applyFill="1" applyBorder="1" applyAlignment="1">
      <alignment horizontal="left" vertical="center" wrapText="1"/>
    </xf>
    <xf numFmtId="0" fontId="1" fillId="24" borderId="59" xfId="0" applyFont="1" applyFill="1" applyBorder="1" applyAlignment="1">
      <alignment horizontal="left" vertical="center"/>
    </xf>
    <xf numFmtId="0" fontId="4" fillId="24" borderId="63" xfId="0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left" vertical="center"/>
    </xf>
    <xf numFmtId="0" fontId="4" fillId="24" borderId="67" xfId="0" applyFont="1" applyFill="1" applyBorder="1" applyAlignment="1">
      <alignment horizontal="left" vertical="center"/>
    </xf>
    <xf numFmtId="0" fontId="4" fillId="24" borderId="71" xfId="0" applyFont="1" applyFill="1" applyBorder="1" applyAlignment="1">
      <alignment horizontal="left" vertical="center"/>
    </xf>
    <xf numFmtId="0" fontId="1" fillId="24" borderId="60" xfId="0" applyFont="1" applyFill="1" applyBorder="1" applyAlignment="1">
      <alignment horizontal="left" vertical="center"/>
    </xf>
    <xf numFmtId="0" fontId="1" fillId="24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7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27" fillId="2" borderId="1" xfId="0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4" fillId="2" borderId="4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49" fontId="1" fillId="39" borderId="0" xfId="0" applyNumberFormat="1" applyFont="1" applyFill="1" applyAlignment="1">
      <alignment horizontal="left" vertical="center"/>
    </xf>
    <xf numFmtId="49" fontId="0" fillId="39" borderId="0" xfId="0" applyNumberFormat="1" applyFill="1" applyAlignment="1">
      <alignment vertical="center"/>
    </xf>
    <xf numFmtId="0" fontId="2" fillId="24" borderId="1" xfId="0" applyFont="1" applyFill="1" applyBorder="1" applyAlignment="1">
      <alignment horizontal="left"/>
    </xf>
    <xf numFmtId="0" fontId="2" fillId="35" borderId="1" xfId="0" applyFont="1" applyFill="1" applyBorder="1" applyAlignment="1">
      <alignment horizontal="left"/>
    </xf>
    <xf numFmtId="0" fontId="18" fillId="39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29" borderId="0" xfId="0" applyFont="1" applyFill="1" applyAlignment="1">
      <alignment horizontal="left" vertical="center"/>
    </xf>
    <xf numFmtId="0" fontId="24" fillId="39" borderId="0" xfId="0" applyFont="1" applyFill="1" applyAlignment="1">
      <alignment horizontal="left" vertical="center"/>
    </xf>
    <xf numFmtId="0" fontId="1" fillId="39" borderId="0" xfId="0" applyFont="1" applyFill="1" applyAlignment="1">
      <alignment horizontal="left" vertical="center"/>
    </xf>
    <xf numFmtId="0" fontId="24" fillId="7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4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0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1" fillId="41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0" borderId="0" xfId="0" applyFont="1"/>
    <xf numFmtId="0" fontId="1" fillId="14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2" fillId="0" borderId="1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1" fillId="31" borderId="0" xfId="0" applyFont="1" applyFill="1" applyAlignment="1">
      <alignment horizontal="center"/>
    </xf>
    <xf numFmtId="0" fontId="2" fillId="0" borderId="13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5" fillId="29" borderId="1" xfId="0" applyNumberFormat="1" applyFont="1" applyFill="1" applyBorder="1" applyAlignment="1">
      <alignment horizontal="left" vertical="center"/>
    </xf>
    <xf numFmtId="0" fontId="35" fillId="29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189" fontId="0" fillId="0" borderId="0" xfId="0" applyNumberFormat="1" applyAlignment="1">
      <alignment horizontal="left"/>
    </xf>
    <xf numFmtId="187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0" fontId="36" fillId="7" borderId="0" xfId="1" applyNumberFormat="1" applyFont="1" applyFill="1" applyAlignment="1">
      <alignment horizontal="left"/>
    </xf>
    <xf numFmtId="0" fontId="0" fillId="0" borderId="0" xfId="1" applyNumberFormat="1" applyFont="1" applyAlignment="1">
      <alignment horizontal="left"/>
    </xf>
    <xf numFmtId="10" fontId="0" fillId="7" borderId="0" xfId="1" applyNumberFormat="1" applyFont="1" applyFill="1" applyAlignment="1">
      <alignment horizontal="left"/>
    </xf>
    <xf numFmtId="0" fontId="37" fillId="0" borderId="0" xfId="0" applyFont="1" applyAlignment="1">
      <alignment horizontal="left"/>
    </xf>
    <xf numFmtId="10" fontId="37" fillId="0" borderId="0" xfId="0" applyNumberFormat="1" applyFont="1" applyAlignment="1">
      <alignment horizontal="left"/>
    </xf>
    <xf numFmtId="187" fontId="37" fillId="0" borderId="0" xfId="0" applyNumberFormat="1" applyFont="1" applyAlignment="1">
      <alignment horizontal="left"/>
    </xf>
    <xf numFmtId="0" fontId="37" fillId="0" borderId="0" xfId="0" applyNumberFormat="1" applyFont="1" applyAlignment="1">
      <alignment horizontal="left"/>
    </xf>
    <xf numFmtId="10" fontId="37" fillId="7" borderId="0" xfId="1" applyNumberFormat="1" applyFont="1" applyFill="1" applyAlignment="1">
      <alignment horizontal="left"/>
    </xf>
    <xf numFmtId="0" fontId="37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177" fontId="0" fillId="0" borderId="0" xfId="0" applyNumberFormat="1" applyAlignment="1">
      <alignment horizontal="left"/>
    </xf>
    <xf numFmtId="184" fontId="0" fillId="0" borderId="0" xfId="0" applyNumberFormat="1" applyAlignment="1">
      <alignment horizontal="left"/>
    </xf>
    <xf numFmtId="0" fontId="37" fillId="0" borderId="0" xfId="0" applyFont="1"/>
    <xf numFmtId="192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0" fontId="36" fillId="0" borderId="0" xfId="0" applyFont="1" applyFill="1" applyAlignment="1">
      <alignment horizontal="left"/>
    </xf>
    <xf numFmtId="0" fontId="0" fillId="0" borderId="0" xfId="0" applyFill="1"/>
    <xf numFmtId="0" fontId="0" fillId="15" borderId="0" xfId="0" applyFill="1"/>
    <xf numFmtId="0" fontId="0" fillId="19" borderId="0" xfId="0" applyFont="1" applyFill="1"/>
    <xf numFmtId="189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180" fontId="0" fillId="0" borderId="0" xfId="0" applyNumberFormat="1" applyAlignment="1">
      <alignment horizontal="left"/>
    </xf>
    <xf numFmtId="10" fontId="0" fillId="7" borderId="0" xfId="0" applyNumberFormat="1" applyFill="1" applyAlignment="1">
      <alignment horizontal="left"/>
    </xf>
    <xf numFmtId="9" fontId="0" fillId="0" borderId="0" xfId="0" applyNumberFormat="1" applyFill="1" applyAlignment="1">
      <alignment horizontal="left"/>
    </xf>
    <xf numFmtId="180" fontId="0" fillId="0" borderId="0" xfId="0" applyNumberFormat="1" applyFill="1" applyAlignment="1">
      <alignment horizontal="left"/>
    </xf>
    <xf numFmtId="0" fontId="0" fillId="7" borderId="0" xfId="0" applyFill="1"/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top" wrapText="1"/>
    </xf>
    <xf numFmtId="180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87" fontId="1" fillId="0" borderId="0" xfId="0" applyNumberFormat="1" applyFont="1" applyAlignment="1">
      <alignment horizontal="left" vertical="center"/>
    </xf>
    <xf numFmtId="187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193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85" fontId="1" fillId="0" borderId="0" xfId="0" applyNumberFormat="1" applyFont="1" applyAlignment="1">
      <alignment horizontal="left" vertical="center"/>
    </xf>
    <xf numFmtId="0" fontId="1" fillId="18" borderId="12" xfId="0" applyFont="1" applyFill="1" applyBorder="1" applyAlignment="1">
      <alignment horizontal="left" vertical="center"/>
    </xf>
    <xf numFmtId="187" fontId="1" fillId="18" borderId="13" xfId="0" applyNumberFormat="1" applyFont="1" applyFill="1" applyBorder="1" applyAlignment="1">
      <alignment horizontal="left" vertical="center"/>
    </xf>
    <xf numFmtId="0" fontId="1" fillId="18" borderId="4" xfId="0" applyFont="1" applyFill="1" applyBorder="1" applyAlignment="1">
      <alignment horizontal="left" vertical="center"/>
    </xf>
    <xf numFmtId="49" fontId="9" fillId="18" borderId="10" xfId="0" applyNumberFormat="1" applyFont="1" applyFill="1" applyBorder="1" applyAlignment="1">
      <alignment horizontal="left" vertical="center"/>
    </xf>
    <xf numFmtId="0" fontId="1" fillId="18" borderId="10" xfId="0" applyNumberFormat="1" applyFont="1" applyFill="1" applyBorder="1" applyAlignment="1">
      <alignment horizontal="left" vertical="center"/>
    </xf>
    <xf numFmtId="0" fontId="1" fillId="18" borderId="5" xfId="0" applyFont="1" applyFill="1" applyBorder="1" applyAlignment="1">
      <alignment horizontal="left" vertical="center"/>
    </xf>
    <xf numFmtId="0" fontId="1" fillId="18" borderId="11" xfId="0" applyNumberFormat="1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left" vertical="center"/>
    </xf>
    <xf numFmtId="187" fontId="1" fillId="17" borderId="10" xfId="0" applyNumberFormat="1" applyFont="1" applyFill="1" applyBorder="1" applyAlignment="1">
      <alignment horizontal="left" vertical="center"/>
    </xf>
    <xf numFmtId="0" fontId="1" fillId="17" borderId="5" xfId="0" applyFont="1" applyFill="1" applyBorder="1" applyAlignment="1">
      <alignment horizontal="left" vertical="center"/>
    </xf>
    <xf numFmtId="187" fontId="9" fillId="17" borderId="11" xfId="0" applyNumberFormat="1" applyFont="1" applyFill="1" applyBorder="1" applyAlignment="1">
      <alignment horizontal="left" vertical="center"/>
    </xf>
    <xf numFmtId="49" fontId="1" fillId="18" borderId="13" xfId="0" applyNumberFormat="1" applyFont="1" applyFill="1" applyBorder="1" applyAlignment="1">
      <alignment horizontal="left" vertical="center"/>
    </xf>
    <xf numFmtId="0" fontId="9" fillId="18" borderId="10" xfId="0" applyNumberFormat="1" applyFont="1" applyFill="1" applyBorder="1" applyAlignment="1">
      <alignment horizontal="left" vertical="center"/>
    </xf>
    <xf numFmtId="0" fontId="1" fillId="17" borderId="12" xfId="0" applyFont="1" applyFill="1" applyBorder="1" applyAlignment="1">
      <alignment horizontal="left" vertical="center"/>
    </xf>
    <xf numFmtId="49" fontId="9" fillId="17" borderId="13" xfId="0" applyNumberFormat="1" applyFont="1" applyFill="1" applyBorder="1" applyAlignment="1">
      <alignment horizontal="left" vertical="center"/>
    </xf>
    <xf numFmtId="49" fontId="1" fillId="17" borderId="11" xfId="0" applyNumberFormat="1" applyFont="1" applyFill="1" applyBorder="1" applyAlignment="1">
      <alignment horizontal="left" vertical="center"/>
    </xf>
    <xf numFmtId="49" fontId="9" fillId="18" borderId="13" xfId="0" applyNumberFormat="1" applyFont="1" applyFill="1" applyBorder="1" applyAlignment="1">
      <alignment horizontal="left" vertical="center"/>
    </xf>
    <xf numFmtId="0" fontId="1" fillId="17" borderId="13" xfId="0" applyFont="1" applyFill="1" applyBorder="1" applyAlignment="1">
      <alignment horizontal="left" vertical="center"/>
    </xf>
    <xf numFmtId="0" fontId="1" fillId="17" borderId="10" xfId="0" applyFont="1" applyFill="1" applyBorder="1" applyAlignment="1">
      <alignment horizontal="left" vertical="center"/>
    </xf>
    <xf numFmtId="0" fontId="9" fillId="17" borderId="10" xfId="0" applyFont="1" applyFill="1" applyBorder="1" applyAlignment="1">
      <alignment horizontal="left" vertical="center"/>
    </xf>
    <xf numFmtId="0" fontId="9" fillId="17" borderId="11" xfId="0" applyFont="1" applyFill="1" applyBorder="1" applyAlignment="1">
      <alignment horizontal="left" vertical="center"/>
    </xf>
    <xf numFmtId="0" fontId="40" fillId="0" borderId="0" xfId="0" applyFont="1" applyAlignment="1">
      <alignment horizontal="justify" vertical="center"/>
    </xf>
    <xf numFmtId="0" fontId="1" fillId="17" borderId="11" xfId="0" applyFont="1" applyFill="1" applyBorder="1" applyAlignment="1">
      <alignment horizontal="left" vertical="center"/>
    </xf>
    <xf numFmtId="0" fontId="5" fillId="18" borderId="12" xfId="0" applyFont="1" applyFill="1" applyBorder="1" applyAlignment="1">
      <alignment horizontal="left" vertical="center"/>
    </xf>
    <xf numFmtId="0" fontId="1" fillId="18" borderId="13" xfId="0" applyFont="1" applyFill="1" applyBorder="1" applyAlignment="1">
      <alignment horizontal="left" vertical="center"/>
    </xf>
    <xf numFmtId="0" fontId="5" fillId="18" borderId="5" xfId="0" applyFont="1" applyFill="1" applyBorder="1" applyAlignment="1">
      <alignment horizontal="left" vertical="center"/>
    </xf>
    <xf numFmtId="0" fontId="1" fillId="18" borderId="11" xfId="0" applyFont="1" applyFill="1" applyBorder="1" applyAlignment="1">
      <alignment horizontal="left" vertical="center"/>
    </xf>
    <xf numFmtId="0" fontId="1" fillId="42" borderId="0" xfId="0" applyFont="1" applyFill="1" applyAlignment="1">
      <alignment horizontal="left" vertical="center"/>
    </xf>
    <xf numFmtId="0" fontId="41" fillId="0" borderId="0" xfId="0" applyFont="1"/>
    <xf numFmtId="0" fontId="8" fillId="42" borderId="0" xfId="0" applyFont="1" applyFill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1" fillId="43" borderId="0" xfId="0" applyNumberFormat="1" applyFont="1" applyFill="1" applyAlignment="1">
      <alignment horizontal="left" vertical="center"/>
    </xf>
    <xf numFmtId="49" fontId="9" fillId="43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3" fillId="44" borderId="0" xfId="0" applyFont="1" applyFill="1" applyAlignment="1">
      <alignment horizontal="left" vertical="center"/>
    </xf>
    <xf numFmtId="0" fontId="1" fillId="44" borderId="0" xfId="0" applyFont="1" applyFill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27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29" borderId="0" xfId="0" applyFont="1" applyFill="1" applyAlignment="1">
      <alignment horizontal="left" vertical="center"/>
    </xf>
    <xf numFmtId="10" fontId="1" fillId="0" borderId="0" xfId="1" applyNumberFormat="1" applyFont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10" fontId="1" fillId="0" borderId="6" xfId="1" applyNumberFormat="1" applyFont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0" fontId="1" fillId="0" borderId="10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0" fontId="1" fillId="0" borderId="11" xfId="1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19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43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1" fillId="45" borderId="0" xfId="0" applyFont="1" applyFill="1" applyAlignment="1">
      <alignment horizontal="left"/>
    </xf>
    <xf numFmtId="0" fontId="4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4" fillId="2" borderId="1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39" borderId="0" xfId="0" applyFont="1" applyFill="1" applyAlignment="1">
      <alignment horizontal="center" vertical="center" wrapText="1"/>
    </xf>
    <xf numFmtId="0" fontId="4" fillId="39" borderId="0" xfId="0" applyFont="1" applyFill="1" applyAlignment="1">
      <alignment horizontal="center" vertical="center"/>
    </xf>
    <xf numFmtId="0" fontId="4" fillId="3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2" fontId="1" fillId="5" borderId="10" xfId="0" applyNumberFormat="1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21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194" fontId="1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5" borderId="0" xfId="0" applyNumberFormat="1" applyFont="1" applyFill="1" applyAlignment="1">
      <alignment horizontal="left" vertical="center"/>
    </xf>
    <xf numFmtId="0" fontId="10" fillId="46" borderId="0" xfId="0" applyFont="1" applyFill="1" applyAlignment="1">
      <alignment horizontal="left" vertical="center"/>
    </xf>
    <xf numFmtId="0" fontId="2" fillId="3" borderId="0" xfId="0" applyNumberFormat="1" applyFont="1" applyFill="1" applyAlignment="1">
      <alignment horizontal="left" vertical="center"/>
    </xf>
    <xf numFmtId="0" fontId="2" fillId="32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18" borderId="0" xfId="0" applyFont="1" applyFill="1" applyAlignment="1">
      <alignment horizontal="left" wrapText="1"/>
    </xf>
    <xf numFmtId="0" fontId="12" fillId="18" borderId="0" xfId="0" applyFont="1" applyFill="1" applyAlignment="1">
      <alignment horizontal="left" wrapText="1"/>
    </xf>
    <xf numFmtId="9" fontId="1" fillId="7" borderId="0" xfId="0" applyNumberFormat="1" applyFont="1" applyFill="1" applyAlignment="1">
      <alignment horizontal="left"/>
    </xf>
    <xf numFmtId="10" fontId="1" fillId="0" borderId="0" xfId="1" applyNumberFormat="1" applyFont="1" applyAlignment="1">
      <alignment horizontal="left"/>
    </xf>
    <xf numFmtId="0" fontId="1" fillId="25" borderId="0" xfId="0" applyFont="1" applyFill="1" applyAlignment="1">
      <alignment horizontal="left" wrapText="1"/>
    </xf>
    <xf numFmtId="0" fontId="24" fillId="25" borderId="0" xfId="0" applyFont="1" applyFill="1" applyAlignment="1">
      <alignment horizontal="left" wrapText="1"/>
    </xf>
    <xf numFmtId="0" fontId="46" fillId="47" borderId="0" xfId="0" applyFont="1" applyFill="1" applyAlignment="1">
      <alignment horizontal="left" wrapText="1"/>
    </xf>
    <xf numFmtId="9" fontId="2" fillId="0" borderId="0" xfId="0" applyNumberFormat="1" applyFont="1" applyAlignment="1">
      <alignment horizontal="left"/>
    </xf>
    <xf numFmtId="49" fontId="65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/>
    </xf>
    <xf numFmtId="0" fontId="1" fillId="18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7" borderId="0" xfId="0" applyFont="1" applyFill="1" applyAlignment="1">
      <alignment horizontal="center" vertical="center" wrapText="1"/>
    </xf>
    <xf numFmtId="0" fontId="1" fillId="27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 wrapText="1"/>
    </xf>
    <xf numFmtId="0" fontId="1" fillId="18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14" borderId="0" xfId="0" applyFont="1" applyFill="1" applyAlignment="1">
      <alignment horizontal="center"/>
    </xf>
    <xf numFmtId="0" fontId="31" fillId="31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90" fontId="2" fillId="0" borderId="21" xfId="1" applyNumberFormat="1" applyFont="1" applyBorder="1" applyAlignment="1">
      <alignment horizontal="left" vertical="center"/>
    </xf>
    <xf numFmtId="190" fontId="2" fillId="0" borderId="22" xfId="1" applyNumberFormat="1" applyFont="1" applyBorder="1" applyAlignment="1">
      <alignment horizontal="left" vertical="center"/>
    </xf>
    <xf numFmtId="190" fontId="1" fillId="0" borderId="22" xfId="1" applyNumberFormat="1" applyFont="1" applyBorder="1" applyAlignment="1">
      <alignment horizontal="left" vertical="center"/>
    </xf>
    <xf numFmtId="190" fontId="1" fillId="0" borderId="23" xfId="1" applyNumberFormat="1" applyFont="1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89" fontId="2" fillId="0" borderId="21" xfId="1" applyNumberFormat="1" applyFont="1" applyBorder="1" applyAlignment="1">
      <alignment horizontal="left" vertical="center"/>
    </xf>
    <xf numFmtId="189" fontId="2" fillId="0" borderId="22" xfId="1" applyNumberFormat="1" applyFont="1" applyBorder="1" applyAlignment="1">
      <alignment horizontal="left" vertical="center"/>
    </xf>
    <xf numFmtId="189" fontId="1" fillId="0" borderId="22" xfId="1" applyNumberFormat="1" applyFont="1" applyBorder="1" applyAlignment="1">
      <alignment horizontal="left" vertical="center"/>
    </xf>
    <xf numFmtId="189" fontId="1" fillId="0" borderId="23" xfId="1" applyNumberFormat="1" applyFont="1" applyBorder="1" applyAlignment="1">
      <alignment horizontal="left" vertical="center"/>
    </xf>
    <xf numFmtId="0" fontId="7" fillId="18" borderId="40" xfId="0" applyFont="1" applyFill="1" applyBorder="1" applyAlignment="1">
      <alignment horizontal="center"/>
    </xf>
    <xf numFmtId="0" fontId="7" fillId="18" borderId="41" xfId="0" applyFont="1" applyFill="1" applyBorder="1" applyAlignment="1">
      <alignment horizontal="center"/>
    </xf>
    <xf numFmtId="0" fontId="7" fillId="18" borderId="46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1" fillId="15" borderId="25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24" borderId="0" xfId="0" applyFont="1" applyFill="1" applyAlignment="1">
      <alignment horizontal="center"/>
    </xf>
    <xf numFmtId="0" fontId="28" fillId="31" borderId="0" xfId="0" applyFont="1" applyFill="1" applyAlignment="1">
      <alignment horizontal="center"/>
    </xf>
    <xf numFmtId="9" fontId="1" fillId="0" borderId="0" xfId="0" applyNumberFormat="1" applyFont="1" applyBorder="1" applyAlignment="1">
      <alignment horizontal="left" vertical="center"/>
    </xf>
    <xf numFmtId="0" fontId="2" fillId="18" borderId="24" xfId="0" applyFont="1" applyFill="1" applyBorder="1" applyAlignment="1">
      <alignment horizontal="left" vertical="center" wrapText="1"/>
    </xf>
    <xf numFmtId="0" fontId="2" fillId="18" borderId="4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9" fillId="15" borderId="16" xfId="0" applyFont="1" applyFill="1" applyBorder="1" applyAlignment="1">
      <alignment horizontal="left" vertical="center" wrapText="1"/>
    </xf>
    <xf numFmtId="0" fontId="9" fillId="15" borderId="17" xfId="0" applyFont="1" applyFill="1" applyBorder="1" applyAlignment="1">
      <alignment horizontal="left" vertical="center" wrapText="1"/>
    </xf>
    <xf numFmtId="0" fontId="9" fillId="15" borderId="21" xfId="0" applyFont="1" applyFill="1" applyBorder="1" applyAlignment="1">
      <alignment horizontal="left" vertical="center" wrapText="1"/>
    </xf>
    <xf numFmtId="0" fontId="9" fillId="18" borderId="16" xfId="0" applyFont="1" applyFill="1" applyBorder="1" applyAlignment="1">
      <alignment horizontal="left" vertical="center" wrapText="1"/>
    </xf>
    <xf numFmtId="0" fontId="9" fillId="18" borderId="17" xfId="0" applyFont="1" applyFill="1" applyBorder="1" applyAlignment="1">
      <alignment horizontal="left" vertical="center" wrapText="1"/>
    </xf>
    <xf numFmtId="0" fontId="9" fillId="18" borderId="2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271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148777733695486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21916</xdr:colOff>
      <xdr:row>25</xdr:row>
      <xdr:rowOff>76201</xdr:rowOff>
    </xdr:from>
    <xdr:to>
      <xdr:col>43</xdr:col>
      <xdr:colOff>133629</xdr:colOff>
      <xdr:row>46</xdr:row>
      <xdr:rowOff>36172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05850" y="6187440"/>
          <a:ext cx="8554720" cy="4119880"/>
        </a:xfrm>
        <a:prstGeom prst="rect">
          <a:avLst/>
        </a:prstGeom>
      </xdr:spPr>
    </xdr:pic>
    <xdr:clientData/>
  </xdr:twoCellAnchor>
  <xdr:twoCellAnchor editAs="oneCell">
    <xdr:from>
      <xdr:col>88</xdr:col>
      <xdr:colOff>498685</xdr:colOff>
      <xdr:row>26</xdr:row>
      <xdr:rowOff>82720</xdr:rowOff>
    </xdr:from>
    <xdr:to>
      <xdr:col>108</xdr:col>
      <xdr:colOff>363219</xdr:colOff>
      <xdr:row>56</xdr:row>
      <xdr:rowOff>175685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80755" y="6391910"/>
          <a:ext cx="13778230" cy="6036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101</xdr:row>
      <xdr:rowOff>9525</xdr:rowOff>
    </xdr:from>
    <xdr:to>
      <xdr:col>16</xdr:col>
      <xdr:colOff>512445</xdr:colOff>
      <xdr:row>108</xdr:row>
      <xdr:rowOff>5761</xdr:rowOff>
    </xdr:to>
    <xdr:pic>
      <xdr:nvPicPr>
        <xdr:cNvPr id="7" name="图片 6" descr="C:\Users\user\Documents\Tencent Files\819379605\Image\Group\F0)850OEP6N42@]GDY}E4I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57885" y="20453985"/>
          <a:ext cx="5448300" cy="141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363855</xdr:colOff>
      <xdr:row>217</xdr:row>
      <xdr:rowOff>130175</xdr:rowOff>
    </xdr:from>
    <xdr:to>
      <xdr:col>19</xdr:col>
      <xdr:colOff>26670</xdr:colOff>
      <xdr:row>234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6095" y="43933745"/>
          <a:ext cx="6139815" cy="344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124</xdr:row>
      <xdr:rowOff>76200</xdr:rowOff>
    </xdr:from>
    <xdr:to>
      <xdr:col>12</xdr:col>
      <xdr:colOff>258484</xdr:colOff>
      <xdr:row>129</xdr:row>
      <xdr:rowOff>39841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05260" y="25157430"/>
          <a:ext cx="4563745" cy="969010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3535679</xdr:colOff>
      <xdr:row>5</xdr:row>
      <xdr:rowOff>7620</xdr:rowOff>
    </xdr:from>
    <xdr:to>
      <xdr:col>9</xdr:col>
      <xdr:colOff>184144</xdr:colOff>
      <xdr:row>10</xdr:row>
      <xdr:rowOff>80366</xdr:rowOff>
    </xdr:to>
    <xdr:pic>
      <xdr:nvPicPr>
        <xdr:cNvPr id="5" name="图片 4" descr="C:\Users\81937\Documents\Tencent Files\819379605\Image\C2C\6VZF{%(4D4HMEB~~M85Q$19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18725" y="1120140"/>
          <a:ext cx="4177030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388620</xdr:colOff>
      <xdr:row>246</xdr:row>
      <xdr:rowOff>60960</xdr:rowOff>
    </xdr:from>
    <xdr:to>
      <xdr:col>6</xdr:col>
      <xdr:colOff>470365</xdr:colOff>
      <xdr:row>248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23220" y="4965573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276</xdr:row>
      <xdr:rowOff>167640</xdr:rowOff>
    </xdr:from>
    <xdr:to>
      <xdr:col>7</xdr:col>
      <xdr:colOff>266700</xdr:colOff>
      <xdr:row>278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19360" y="5576697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270</xdr:row>
      <xdr:rowOff>149950</xdr:rowOff>
    </xdr:from>
    <xdr:to>
      <xdr:col>25</xdr:col>
      <xdr:colOff>684267</xdr:colOff>
      <xdr:row>277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12440" y="5454523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288</xdr:row>
      <xdr:rowOff>91441</xdr:rowOff>
    </xdr:from>
    <xdr:to>
      <xdr:col>11</xdr:col>
      <xdr:colOff>254032</xdr:colOff>
      <xdr:row>298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97540" y="58083450"/>
          <a:ext cx="4726940" cy="2004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167640</xdr:colOff>
      <xdr:row>13</xdr:row>
      <xdr:rowOff>45720</xdr:rowOff>
    </xdr:from>
    <xdr:to>
      <xdr:col>29</xdr:col>
      <xdr:colOff>277685</xdr:colOff>
      <xdr:row>32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0460" y="2758440"/>
          <a:ext cx="4483735" cy="3596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255</xdr:col>
      <xdr:colOff>68580</xdr:colOff>
      <xdr:row>3</xdr:row>
      <xdr:rowOff>99060</xdr:rowOff>
    </xdr:from>
    <xdr:to>
      <xdr:col>262</xdr:col>
      <xdr:colOff>137160</xdr:colOff>
      <xdr:row>3</xdr:row>
      <xdr:rowOff>771210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596560" y="758190"/>
          <a:ext cx="5128260" cy="671830"/>
        </a:xfrm>
        <a:prstGeom prst="rect">
          <a:avLst/>
        </a:prstGeom>
      </xdr:spPr>
    </xdr:pic>
    <xdr:clientData/>
  </xdr:twoCellAnchor>
  <xdr:twoCellAnchor editAs="oneCell">
    <xdr:from>
      <xdr:col>73</xdr:col>
      <xdr:colOff>45720</xdr:colOff>
      <xdr:row>17</xdr:row>
      <xdr:rowOff>0</xdr:rowOff>
    </xdr:from>
    <xdr:to>
      <xdr:col>78</xdr:col>
      <xdr:colOff>273820</xdr:colOff>
      <xdr:row>27</xdr:row>
      <xdr:rowOff>30198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66980" y="4764405"/>
          <a:ext cx="3999865" cy="2174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116</xdr:col>
      <xdr:colOff>68036</xdr:colOff>
      <xdr:row>40</xdr:row>
      <xdr:rowOff>197704</xdr:rowOff>
    </xdr:from>
    <xdr:to>
      <xdr:col>124</xdr:col>
      <xdr:colOff>123937</xdr:colOff>
      <xdr:row>59</xdr:row>
      <xdr:rowOff>55434</xdr:rowOff>
    </xdr:to>
    <xdr:pic>
      <xdr:nvPicPr>
        <xdr:cNvPr id="3" name="图片 2" descr="C:\Users\81937\AppData\Local\Temp\企业微信截图_1615519806424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19365" y="9930130"/>
          <a:ext cx="5664200" cy="364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198120</xdr:colOff>
      <xdr:row>27</xdr:row>
      <xdr:rowOff>129540</xdr:rowOff>
    </xdr:from>
    <xdr:to>
      <xdr:col>29</xdr:col>
      <xdr:colOff>453178</xdr:colOff>
      <xdr:row>43</xdr:row>
      <xdr:rowOff>138645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92160" y="6294120"/>
          <a:ext cx="1489075" cy="3178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480" y="1432560"/>
          <a:ext cx="4945380" cy="4970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E73"/>
  <sheetViews>
    <sheetView workbookViewId="0">
      <pane xSplit="1" ySplit="4" topLeftCell="D5" activePane="bottomRight" state="frozen"/>
      <selection pane="topRight"/>
      <selection pane="bottomLeft"/>
      <selection pane="bottomRight" activeCell="O5" sqref="O5:P24"/>
    </sheetView>
  </sheetViews>
  <sheetFormatPr defaultColWidth="9" defaultRowHeight="15.6" x14ac:dyDescent="0.35"/>
  <cols>
    <col min="1" max="1" width="12.33203125" style="39" customWidth="1"/>
    <col min="2" max="2" width="14.44140625" style="39" hidden="1" customWidth="1"/>
    <col min="3" max="3" width="13.77734375" style="39" customWidth="1"/>
    <col min="4" max="4" width="14.109375" style="39" customWidth="1"/>
    <col min="5" max="5" width="20.33203125" style="39" customWidth="1"/>
    <col min="6" max="6" width="11.33203125" style="39" customWidth="1"/>
    <col min="7" max="7" width="12.44140625" style="39" customWidth="1"/>
    <col min="8" max="10" width="17.21875" style="39" customWidth="1"/>
    <col min="11" max="16" width="12.44140625" style="39" customWidth="1"/>
    <col min="17" max="17" width="34.33203125" style="39" customWidth="1"/>
    <col min="18" max="18" width="12.109375" style="39" customWidth="1"/>
    <col min="19" max="19" width="18.88671875" style="39" customWidth="1"/>
    <col min="20" max="20" width="9.77734375" style="39" customWidth="1"/>
    <col min="21" max="21" width="23.6640625" style="39" customWidth="1"/>
    <col min="22" max="25" width="14.21875" style="39" customWidth="1"/>
    <col min="26" max="26" width="23.33203125" style="39" customWidth="1"/>
    <col min="27" max="28" width="14.21875" style="39" customWidth="1"/>
    <col min="29" max="29" width="15.44140625" style="39" customWidth="1"/>
    <col min="30" max="30" width="17.77734375" style="39" customWidth="1"/>
    <col min="31" max="31" width="31.44140625" style="39" customWidth="1"/>
    <col min="32" max="33" width="14.21875" style="39" customWidth="1"/>
    <col min="34" max="34" width="9.6640625" style="39" customWidth="1"/>
    <col min="35" max="35" width="13.21875" style="39" customWidth="1"/>
    <col min="36" max="36" width="11.44140625" style="39" customWidth="1"/>
    <col min="37" max="37" width="9.109375" style="39" customWidth="1"/>
    <col min="38" max="38" width="9" style="180"/>
    <col min="39" max="39" width="13.109375" style="180" customWidth="1"/>
    <col min="40" max="40" width="10.6640625" style="681" customWidth="1"/>
    <col min="41" max="41" width="9.33203125" style="681" customWidth="1"/>
    <col min="42" max="42" width="12.44140625" style="681" customWidth="1"/>
    <col min="43" max="43" width="10.88671875" style="681" customWidth="1"/>
    <col min="44" max="44" width="10.21875" style="681" customWidth="1"/>
    <col min="45" max="45" width="10.88671875" style="681" customWidth="1"/>
    <col min="46" max="47" width="10.21875" style="681" customWidth="1"/>
    <col min="48" max="48" width="8.44140625" style="681" customWidth="1"/>
    <col min="49" max="49" width="10.77734375" style="681" customWidth="1"/>
    <col min="50" max="50" width="10.21875" style="681" customWidth="1"/>
    <col min="51" max="51" width="7.6640625" style="681" customWidth="1"/>
    <col min="52" max="53" width="10.21875" style="681" customWidth="1"/>
    <col min="54" max="54" width="8.44140625" style="681" customWidth="1"/>
    <col min="55" max="55" width="10.21875" style="681" customWidth="1"/>
    <col min="56" max="59" width="9.44140625" style="180" customWidth="1"/>
    <col min="60" max="60" width="8.21875" style="180" customWidth="1"/>
    <col min="61" max="71" width="9.44140625" style="180" customWidth="1"/>
    <col min="72" max="72" width="13.77734375" style="180" customWidth="1"/>
    <col min="73" max="89" width="8.88671875" style="180" customWidth="1"/>
    <col min="90" max="90" width="16.109375" style="241" customWidth="1"/>
    <col min="91" max="91" width="11" style="241" customWidth="1"/>
    <col min="92" max="92" width="9" style="241"/>
    <col min="93" max="93" width="12.44140625" style="241" customWidth="1"/>
    <col min="94" max="95" width="9.109375" style="241" customWidth="1"/>
    <col min="96" max="96" width="10.21875" style="241" customWidth="1"/>
    <col min="97" max="97" width="9.109375" style="241" customWidth="1"/>
    <col min="98" max="98" width="12" style="241" customWidth="1"/>
    <col min="99" max="99" width="9.21875" style="241" customWidth="1"/>
    <col min="100" max="101" width="9.109375" style="241" customWidth="1"/>
    <col min="102" max="102" width="11.88671875" style="241" customWidth="1"/>
    <col min="103" max="105" width="9.21875" style="241" customWidth="1"/>
    <col min="106" max="106" width="10.44140625" style="241" customWidth="1"/>
    <col min="107" max="109" width="9.21875" style="241" customWidth="1"/>
  </cols>
  <sheetData>
    <row r="1" spans="1:109" s="1" customFormat="1" ht="16.2" customHeight="1" x14ac:dyDescent="0.4">
      <c r="A1" s="2" t="s">
        <v>0</v>
      </c>
      <c r="B1" s="2" t="s">
        <v>0</v>
      </c>
      <c r="C1" s="2" t="s">
        <v>1</v>
      </c>
      <c r="D1" s="51" t="s">
        <v>1</v>
      </c>
      <c r="E1" s="51" t="s">
        <v>0</v>
      </c>
      <c r="F1" s="338" t="s">
        <v>1</v>
      </c>
      <c r="G1" s="2" t="s">
        <v>1</v>
      </c>
      <c r="H1" s="251" t="s">
        <v>0</v>
      </c>
      <c r="I1" s="251" t="s">
        <v>1</v>
      </c>
      <c r="J1" s="251" t="s">
        <v>1</v>
      </c>
      <c r="K1" s="2" t="s">
        <v>0</v>
      </c>
      <c r="L1" s="2" t="s">
        <v>0</v>
      </c>
      <c r="M1" s="2" t="s">
        <v>1</v>
      </c>
      <c r="N1" s="2" t="s">
        <v>1</v>
      </c>
      <c r="O1" s="96" t="s">
        <v>1</v>
      </c>
      <c r="P1" s="96" t="s">
        <v>1</v>
      </c>
      <c r="Q1" s="51" t="s">
        <v>0</v>
      </c>
      <c r="R1" s="51" t="s">
        <v>0</v>
      </c>
      <c r="S1" s="2" t="s">
        <v>0</v>
      </c>
      <c r="T1" s="2" t="s">
        <v>1</v>
      </c>
      <c r="U1" s="2" t="s">
        <v>0</v>
      </c>
      <c r="V1" s="2" t="s">
        <v>0</v>
      </c>
      <c r="W1" s="51" t="s">
        <v>0</v>
      </c>
      <c r="X1" s="51" t="s">
        <v>0</v>
      </c>
      <c r="Y1" s="51" t="s">
        <v>0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39"/>
      <c r="AG1" s="740" t="s">
        <v>2</v>
      </c>
      <c r="AH1" s="740"/>
      <c r="AI1" s="740"/>
      <c r="AJ1" s="740"/>
      <c r="AK1" s="740"/>
      <c r="AL1" s="740"/>
      <c r="AM1" s="740"/>
      <c r="AN1" s="740"/>
      <c r="AO1" s="740"/>
      <c r="AP1" s="702"/>
      <c r="AQ1" s="702"/>
      <c r="AR1" s="702"/>
      <c r="AS1" s="702"/>
      <c r="AT1" s="702"/>
      <c r="AU1" s="702"/>
      <c r="AV1" s="702"/>
      <c r="AW1" s="702"/>
      <c r="AX1" s="702"/>
      <c r="AY1" s="702"/>
      <c r="AZ1" s="702"/>
      <c r="BA1" s="702"/>
      <c r="BB1" s="702"/>
      <c r="BC1" s="702"/>
      <c r="BE1" s="1" t="s">
        <v>3</v>
      </c>
      <c r="BF1" s="732" t="s">
        <v>4</v>
      </c>
      <c r="BG1" s="733"/>
      <c r="BH1" s="1">
        <f>$A5*BH5</f>
        <v>1000</v>
      </c>
      <c r="BI1" s="738" t="s">
        <v>5</v>
      </c>
      <c r="BJ1" s="739"/>
      <c r="BK1" s="1">
        <v>1200</v>
      </c>
      <c r="BL1" s="734" t="s">
        <v>6</v>
      </c>
      <c r="BM1" s="735"/>
      <c r="BN1" s="1">
        <f>$A5*BN5</f>
        <v>1000</v>
      </c>
      <c r="BO1" s="734" t="s">
        <v>7</v>
      </c>
      <c r="BP1" s="735"/>
      <c r="BQ1" s="1">
        <v>1200</v>
      </c>
      <c r="BR1" s="736" t="s">
        <v>8</v>
      </c>
      <c r="BS1" s="737"/>
      <c r="BT1" s="658">
        <f>A9*20+100000</f>
        <v>102000</v>
      </c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39" t="s">
        <v>9</v>
      </c>
      <c r="CM1" s="39">
        <v>20</v>
      </c>
      <c r="CN1" s="39"/>
      <c r="CO1" s="39" t="s">
        <v>10</v>
      </c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</row>
    <row r="2" spans="1:109" s="1" customFormat="1" ht="16.2" x14ac:dyDescent="0.4">
      <c r="A2" s="2" t="s">
        <v>11</v>
      </c>
      <c r="B2" s="2" t="s">
        <v>11</v>
      </c>
      <c r="C2" s="2" t="s">
        <v>12</v>
      </c>
      <c r="D2" s="2" t="s">
        <v>13</v>
      </c>
      <c r="E2" s="51" t="s">
        <v>11</v>
      </c>
      <c r="F2" s="338" t="s">
        <v>11</v>
      </c>
      <c r="G2" s="2" t="s">
        <v>11</v>
      </c>
      <c r="H2" s="251" t="s">
        <v>11</v>
      </c>
      <c r="I2" s="251" t="s">
        <v>11</v>
      </c>
      <c r="J2" s="251" t="s">
        <v>11</v>
      </c>
      <c r="K2" s="2" t="s">
        <v>11</v>
      </c>
      <c r="L2" s="2" t="s">
        <v>11</v>
      </c>
      <c r="M2" s="2" t="s">
        <v>11</v>
      </c>
      <c r="N2" s="2" t="s">
        <v>11</v>
      </c>
      <c r="O2" s="96" t="s">
        <v>11</v>
      </c>
      <c r="P2" s="96" t="s">
        <v>11</v>
      </c>
      <c r="Q2" s="51" t="s">
        <v>12</v>
      </c>
      <c r="R2" s="51" t="s">
        <v>12</v>
      </c>
      <c r="S2" s="2" t="s">
        <v>11</v>
      </c>
      <c r="T2" s="2" t="s">
        <v>11</v>
      </c>
      <c r="U2" s="2" t="s">
        <v>12</v>
      </c>
      <c r="V2" s="2" t="s">
        <v>12</v>
      </c>
      <c r="W2" s="51" t="s">
        <v>12</v>
      </c>
      <c r="X2" s="51" t="s">
        <v>12</v>
      </c>
      <c r="Y2" s="51" t="s">
        <v>11</v>
      </c>
      <c r="Z2" s="2" t="s">
        <v>14</v>
      </c>
      <c r="AA2" s="2" t="s">
        <v>14</v>
      </c>
      <c r="AB2" s="2" t="s">
        <v>14</v>
      </c>
      <c r="AC2" s="2" t="s">
        <v>14</v>
      </c>
      <c r="AD2" s="2" t="s">
        <v>14</v>
      </c>
      <c r="AE2" s="2" t="s">
        <v>14</v>
      </c>
      <c r="AF2" s="39"/>
      <c r="AG2" s="740"/>
      <c r="AH2" s="740"/>
      <c r="AI2" s="740"/>
      <c r="AJ2" s="740"/>
      <c r="AK2" s="740"/>
      <c r="AL2" s="740"/>
      <c r="AM2" s="740"/>
      <c r="AN2" s="740"/>
      <c r="AO2" s="740"/>
      <c r="AP2" s="702"/>
      <c r="AQ2" s="702"/>
      <c r="AR2" s="702"/>
      <c r="AS2" s="702"/>
      <c r="AT2" s="702"/>
      <c r="AU2" s="702"/>
      <c r="AV2" s="702"/>
      <c r="AW2" s="702"/>
      <c r="AX2" s="702"/>
      <c r="AY2" s="702"/>
      <c r="AZ2" s="702"/>
      <c r="BA2" s="702"/>
      <c r="BB2" s="702"/>
      <c r="BC2" s="702"/>
      <c r="BE2" s="1" t="s">
        <v>15</v>
      </c>
      <c r="BF2" s="733"/>
      <c r="BG2" s="733"/>
      <c r="BH2" s="1">
        <f>$A10*BH10</f>
        <v>10000</v>
      </c>
      <c r="BI2" s="739"/>
      <c r="BJ2" s="739"/>
      <c r="BK2" s="1">
        <v>12000</v>
      </c>
      <c r="BL2" s="735"/>
      <c r="BM2" s="735"/>
      <c r="BN2" s="1">
        <f>$A10*BN10</f>
        <v>10000</v>
      </c>
      <c r="BO2" s="735"/>
      <c r="BP2" s="735"/>
      <c r="BQ2" s="1">
        <v>12000</v>
      </c>
      <c r="BR2" s="737"/>
      <c r="BS2" s="737"/>
      <c r="BT2" s="658">
        <f>A14*20+1000000</f>
        <v>1020000</v>
      </c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39" t="s">
        <v>16</v>
      </c>
      <c r="CM2" s="39">
        <v>30</v>
      </c>
      <c r="CN2" s="39"/>
      <c r="CO2" s="728" t="s">
        <v>17</v>
      </c>
      <c r="CP2" s="728"/>
      <c r="CQ2" s="728"/>
      <c r="CR2" s="728"/>
      <c r="CS2" s="39"/>
      <c r="CT2" s="729" t="s">
        <v>18</v>
      </c>
      <c r="CU2" s="729"/>
      <c r="CV2" s="729"/>
      <c r="CW2" s="729"/>
      <c r="CX2" s="729"/>
      <c r="CY2" s="729"/>
      <c r="CZ2" s="729"/>
      <c r="DA2" s="729"/>
      <c r="DB2" s="729"/>
      <c r="DC2" s="729"/>
      <c r="DD2" s="729"/>
      <c r="DE2" s="729"/>
    </row>
    <row r="3" spans="1:109" s="1" customFormat="1" ht="16.2" x14ac:dyDescent="0.4">
      <c r="A3" s="2" t="s">
        <v>19</v>
      </c>
      <c r="B3" s="2" t="s">
        <v>20</v>
      </c>
      <c r="C3" s="3" t="s">
        <v>21</v>
      </c>
      <c r="D3" s="3" t="s">
        <v>22</v>
      </c>
      <c r="E3" s="52" t="s">
        <v>23</v>
      </c>
      <c r="F3" s="682" t="s">
        <v>24</v>
      </c>
      <c r="G3" s="507" t="s">
        <v>25</v>
      </c>
      <c r="H3" s="508" t="s">
        <v>26</v>
      </c>
      <c r="I3" s="508" t="s">
        <v>27</v>
      </c>
      <c r="J3" s="508" t="s">
        <v>28</v>
      </c>
      <c r="K3" s="507" t="s">
        <v>29</v>
      </c>
      <c r="L3" s="507" t="s">
        <v>30</v>
      </c>
      <c r="M3" s="507" t="s">
        <v>31</v>
      </c>
      <c r="N3" s="507" t="s">
        <v>32</v>
      </c>
      <c r="O3" s="687" t="s">
        <v>33</v>
      </c>
      <c r="P3" s="687" t="s">
        <v>34</v>
      </c>
      <c r="Q3" s="51" t="s">
        <v>35</v>
      </c>
      <c r="R3" s="51" t="s">
        <v>36</v>
      </c>
      <c r="S3" s="2" t="s">
        <v>37</v>
      </c>
      <c r="T3" s="338" t="s">
        <v>38</v>
      </c>
      <c r="U3" s="338" t="s">
        <v>39</v>
      </c>
      <c r="V3" s="338" t="s">
        <v>40</v>
      </c>
      <c r="W3" s="51" t="s">
        <v>41</v>
      </c>
      <c r="X3" s="51" t="s">
        <v>42</v>
      </c>
      <c r="Y3" s="51" t="s">
        <v>43</v>
      </c>
      <c r="Z3" s="51" t="s">
        <v>44</v>
      </c>
      <c r="AA3" s="51" t="s">
        <v>45</v>
      </c>
      <c r="AB3" s="51" t="s">
        <v>46</v>
      </c>
      <c r="AC3" s="2" t="s">
        <v>47</v>
      </c>
      <c r="AD3" s="2" t="s">
        <v>48</v>
      </c>
      <c r="AE3" s="2" t="s">
        <v>49</v>
      </c>
      <c r="AF3" s="39"/>
      <c r="AG3" s="730" t="s">
        <v>45</v>
      </c>
      <c r="AH3" s="730"/>
      <c r="AI3" s="730"/>
      <c r="AJ3" s="39"/>
      <c r="AK3" s="39"/>
      <c r="AL3" s="730" t="s">
        <v>44</v>
      </c>
      <c r="AM3" s="730"/>
      <c r="AN3" s="730"/>
      <c r="AO3" s="702"/>
      <c r="AP3" s="702"/>
      <c r="AQ3" s="702"/>
      <c r="AR3" s="702"/>
      <c r="AS3" s="702"/>
      <c r="AT3" s="702"/>
      <c r="AU3" s="702"/>
      <c r="AV3" s="702"/>
      <c r="AW3" s="702"/>
      <c r="AX3" s="702"/>
      <c r="AY3" s="702"/>
      <c r="AZ3" s="702"/>
      <c r="BA3" s="702"/>
      <c r="BB3" s="702"/>
      <c r="BC3" s="702"/>
      <c r="BD3" s="709"/>
      <c r="BE3" s="709" t="s">
        <v>50</v>
      </c>
      <c r="BF3" s="733"/>
      <c r="BG3" s="733"/>
      <c r="BH3" s="1">
        <f>$A15*BH15</f>
        <v>100000</v>
      </c>
      <c r="BI3" s="739"/>
      <c r="BJ3" s="739"/>
      <c r="BK3" s="1">
        <v>120000</v>
      </c>
      <c r="BL3" s="735"/>
      <c r="BM3" s="735"/>
      <c r="BN3" s="1">
        <f>$A15*BN15</f>
        <v>100000</v>
      </c>
      <c r="BO3" s="735"/>
      <c r="BP3" s="735"/>
      <c r="BQ3" s="1">
        <v>120000</v>
      </c>
      <c r="BR3" s="737"/>
      <c r="BS3" s="737"/>
      <c r="BT3" s="658">
        <f>A19*20+10000000</f>
        <v>10200000</v>
      </c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39" t="s">
        <v>51</v>
      </c>
      <c r="CM3" s="39">
        <v>50</v>
      </c>
      <c r="CN3" s="39"/>
      <c r="CO3" s="731" t="s">
        <v>52</v>
      </c>
      <c r="CP3" s="731"/>
      <c r="CQ3" s="731"/>
      <c r="CR3" s="731"/>
      <c r="CS3" s="39"/>
      <c r="CT3" s="39" t="s">
        <v>53</v>
      </c>
      <c r="CU3" s="39"/>
      <c r="CV3" s="39"/>
      <c r="CW3" s="39"/>
      <c r="CX3" s="39" t="s">
        <v>54</v>
      </c>
      <c r="CY3" s="39"/>
      <c r="CZ3" s="39"/>
      <c r="DA3" s="39"/>
      <c r="DB3" s="39" t="s">
        <v>55</v>
      </c>
      <c r="DC3" s="39"/>
      <c r="DD3" s="39"/>
      <c r="DE3" s="39"/>
    </row>
    <row r="4" spans="1:109" s="1" customFormat="1" ht="105.6" x14ac:dyDescent="0.4">
      <c r="A4" s="60" t="s">
        <v>56</v>
      </c>
      <c r="B4" s="60" t="s">
        <v>57</v>
      </c>
      <c r="C4" s="60" t="s">
        <v>58</v>
      </c>
      <c r="D4" s="60" t="s">
        <v>59</v>
      </c>
      <c r="E4" s="683" t="s">
        <v>60</v>
      </c>
      <c r="F4" s="684" t="s">
        <v>61</v>
      </c>
      <c r="G4" s="684" t="s">
        <v>62</v>
      </c>
      <c r="H4" s="685" t="s">
        <v>63</v>
      </c>
      <c r="I4" s="79" t="s">
        <v>64</v>
      </c>
      <c r="J4" s="79" t="s">
        <v>65</v>
      </c>
      <c r="K4" s="688" t="s">
        <v>66</v>
      </c>
      <c r="L4" s="688" t="s">
        <v>67</v>
      </c>
      <c r="M4" s="688" t="s">
        <v>68</v>
      </c>
      <c r="N4" s="688" t="s">
        <v>69</v>
      </c>
      <c r="O4" s="689" t="s">
        <v>70</v>
      </c>
      <c r="P4" s="689" t="s">
        <v>71</v>
      </c>
      <c r="Q4" s="518" t="s">
        <v>72</v>
      </c>
      <c r="R4" s="518" t="s">
        <v>73</v>
      </c>
      <c r="S4" s="60" t="s">
        <v>74</v>
      </c>
      <c r="T4" s="60" t="s">
        <v>75</v>
      </c>
      <c r="U4" s="60" t="s">
        <v>76</v>
      </c>
      <c r="V4" s="60" t="s">
        <v>77</v>
      </c>
      <c r="W4" s="60" t="s">
        <v>78</v>
      </c>
      <c r="X4" s="60" t="s">
        <v>79</v>
      </c>
      <c r="Y4" s="60" t="s">
        <v>80</v>
      </c>
      <c r="Z4" s="60" t="s">
        <v>81</v>
      </c>
      <c r="AA4" s="60" t="s">
        <v>82</v>
      </c>
      <c r="AB4" s="60" t="s">
        <v>83</v>
      </c>
      <c r="AC4" s="60" t="s">
        <v>84</v>
      </c>
      <c r="AD4" s="60" t="s">
        <v>85</v>
      </c>
      <c r="AE4" s="60" t="s">
        <v>86</v>
      </c>
      <c r="AF4" s="39"/>
      <c r="AG4" s="692" t="s">
        <v>87</v>
      </c>
      <c r="AH4" s="693" t="s">
        <v>88</v>
      </c>
      <c r="AI4" s="694" t="s">
        <v>89</v>
      </c>
      <c r="AJ4" s="39"/>
      <c r="AK4" s="695" t="s">
        <v>90</v>
      </c>
      <c r="AL4" s="692" t="s">
        <v>87</v>
      </c>
      <c r="AM4" s="692" t="s">
        <v>88</v>
      </c>
      <c r="AN4" s="694" t="s">
        <v>89</v>
      </c>
      <c r="AO4" s="109" t="s">
        <v>91</v>
      </c>
      <c r="AP4" s="703" t="s">
        <v>92</v>
      </c>
      <c r="AQ4" s="64" t="s">
        <v>93</v>
      </c>
      <c r="AR4" s="702"/>
      <c r="AS4" s="702"/>
      <c r="AT4" s="702"/>
      <c r="AU4" s="702" t="s">
        <v>94</v>
      </c>
      <c r="AV4" s="702" t="s">
        <v>95</v>
      </c>
      <c r="AW4" s="702" t="s">
        <v>96</v>
      </c>
      <c r="AX4" s="702"/>
      <c r="AY4" s="702"/>
      <c r="AZ4" s="702"/>
      <c r="BA4" s="702"/>
      <c r="BB4" s="702"/>
      <c r="BC4" s="702"/>
      <c r="BE4" s="56" t="s">
        <v>97</v>
      </c>
      <c r="BF4" s="692" t="s">
        <v>98</v>
      </c>
      <c r="BG4" s="692" t="s">
        <v>88</v>
      </c>
      <c r="BH4" s="694" t="s">
        <v>99</v>
      </c>
      <c r="BI4" s="86" t="s">
        <v>100</v>
      </c>
      <c r="BJ4" s="706" t="s">
        <v>101</v>
      </c>
      <c r="BK4" s="710" t="s">
        <v>102</v>
      </c>
      <c r="BL4" s="86" t="s">
        <v>103</v>
      </c>
      <c r="BM4" s="706" t="s">
        <v>101</v>
      </c>
      <c r="BN4" s="706" t="s">
        <v>104</v>
      </c>
      <c r="BO4" s="86" t="s">
        <v>105</v>
      </c>
      <c r="BP4" s="706" t="s">
        <v>101</v>
      </c>
      <c r="BQ4" s="706" t="s">
        <v>104</v>
      </c>
      <c r="BR4" s="86" t="s">
        <v>106</v>
      </c>
      <c r="BS4" s="706" t="s">
        <v>101</v>
      </c>
      <c r="BT4" s="710" t="s">
        <v>107</v>
      </c>
      <c r="BU4" s="703"/>
      <c r="BV4" s="64"/>
      <c r="BW4" s="702"/>
      <c r="BX4" s="702"/>
      <c r="BY4" s="702"/>
      <c r="BZ4" s="716"/>
      <c r="CA4" s="716"/>
      <c r="CB4" s="716"/>
      <c r="CC4" s="716"/>
      <c r="CD4" s="716"/>
      <c r="CE4" s="716"/>
      <c r="CF4" s="716"/>
      <c r="CG4" s="716"/>
      <c r="CH4" s="716"/>
      <c r="CI4" s="716"/>
      <c r="CJ4" s="716"/>
      <c r="CK4" s="716"/>
      <c r="CN4" s="39"/>
      <c r="CO4" s="717" t="s">
        <v>108</v>
      </c>
      <c r="CP4" s="718" t="s">
        <v>109</v>
      </c>
      <c r="CQ4" s="718" t="s">
        <v>110</v>
      </c>
      <c r="CR4" s="718" t="s">
        <v>111</v>
      </c>
      <c r="CS4" s="326"/>
      <c r="CT4" s="721" t="s">
        <v>112</v>
      </c>
      <c r="CU4" s="722" t="s">
        <v>113</v>
      </c>
      <c r="CV4" s="722" t="s">
        <v>114</v>
      </c>
      <c r="CW4" s="722" t="s">
        <v>115</v>
      </c>
      <c r="CX4" s="717" t="s">
        <v>112</v>
      </c>
      <c r="CY4" s="717" t="s">
        <v>113</v>
      </c>
      <c r="CZ4" s="717" t="s">
        <v>114</v>
      </c>
      <c r="DA4" s="717" t="s">
        <v>115</v>
      </c>
      <c r="DB4" s="723" t="s">
        <v>112</v>
      </c>
      <c r="DC4" s="723" t="s">
        <v>113</v>
      </c>
      <c r="DD4" s="723" t="s">
        <v>114</v>
      </c>
      <c r="DE4" s="723" t="s">
        <v>115</v>
      </c>
    </row>
    <row r="5" spans="1:109" ht="15.6" customHeight="1" x14ac:dyDescent="0.35">
      <c r="A5" s="63">
        <v>20</v>
      </c>
      <c r="B5" s="39">
        <v>0</v>
      </c>
      <c r="C5" s="39">
        <v>1</v>
      </c>
      <c r="D5" s="39">
        <v>0</v>
      </c>
      <c r="E5" s="39">
        <v>-1</v>
      </c>
      <c r="F5" s="39">
        <v>1005</v>
      </c>
      <c r="G5" s="39">
        <f t="shared" ref="G5:G24" si="0">A5*5000</f>
        <v>100000</v>
      </c>
      <c r="H5" s="686">
        <f t="shared" ref="H5:H20" si="1">A5*150</f>
        <v>3000</v>
      </c>
      <c r="I5" s="39">
        <f t="shared" ref="I5:I23" si="2">A5*$I$24/$A$24</f>
        <v>576</v>
      </c>
      <c r="J5" s="39">
        <f>I5</f>
        <v>576</v>
      </c>
      <c r="K5" s="39">
        <v>100</v>
      </c>
      <c r="L5" s="39">
        <v>100</v>
      </c>
      <c r="M5" s="39">
        <v>0</v>
      </c>
      <c r="N5" s="39">
        <v>1605</v>
      </c>
      <c r="O5" s="39">
        <v>9600</v>
      </c>
      <c r="P5" s="39">
        <v>9650</v>
      </c>
      <c r="S5" s="39">
        <v>1</v>
      </c>
      <c r="T5" s="39">
        <f t="shared" ref="T5:T24" si="3">ROW(A5)-4</f>
        <v>1</v>
      </c>
      <c r="Z5" s="39">
        <f t="shared" ref="Z5:Z14" si="4">AL5</f>
        <v>3.7778</v>
      </c>
      <c r="AA5" s="39">
        <f>AG5</f>
        <v>0.94440000000000002</v>
      </c>
      <c r="AB5" s="690" t="str">
        <f>BF5&amp;","&amp;BI5&amp;","&amp;BL5&amp;","&amp;BO5&amp;","&amp;BR5</f>
        <v>2,0.88,2,0.88,2.02</v>
      </c>
      <c r="AC5" s="39" t="str">
        <f t="shared" ref="AC5:AC24" si="5">CP5&amp;","&amp;CQ5&amp;","&amp;CR5</f>
        <v>1,1,0.0003</v>
      </c>
      <c r="AE5" s="39" t="str">
        <f t="shared" ref="AE5:AE24" si="6">"[["&amp;CU5&amp;","&amp;CV5&amp;","&amp;CW5&amp;"],["&amp;CY5&amp;","&amp;CZ5&amp;","&amp;DA5&amp;"],["&amp;DC5&amp;","&amp;DD5&amp;","&amp;DE5&amp;"]]"</f>
        <v>[[0,0,0],[0,0,0],[0,0,0]]</v>
      </c>
      <c r="AG5" s="47">
        <f>ROUND((0-$AJ$5)/($A5*AI5*60*6)+1,4)</f>
        <v>0.94440000000000002</v>
      </c>
      <c r="AH5" s="48">
        <f t="shared" ref="AH5:AH24" si="7">A5*(1-AG5)*6</f>
        <v>6.6719999999999979</v>
      </c>
      <c r="AI5" s="696">
        <v>25</v>
      </c>
      <c r="AJ5" s="39">
        <v>10000</v>
      </c>
      <c r="AK5" s="39">
        <f>10*60*6</f>
        <v>3600</v>
      </c>
      <c r="AL5" s="1">
        <f>ROUND(($AP$5)/(AN5*60*A5*6)+1,4)</f>
        <v>3.7778</v>
      </c>
      <c r="AM5" s="1">
        <f t="shared" ref="AM5:AM14" si="8">(AL5-1)*A5*6</f>
        <v>333.33600000000001</v>
      </c>
      <c r="AN5" s="82">
        <v>5</v>
      </c>
      <c r="AO5" s="704" t="s">
        <v>116</v>
      </c>
      <c r="AP5" s="68">
        <v>100000</v>
      </c>
      <c r="AQ5" s="705" t="s">
        <v>117</v>
      </c>
      <c r="AR5" s="86"/>
      <c r="AS5" s="86"/>
      <c r="AT5" s="706" t="s">
        <v>118</v>
      </c>
      <c r="AU5" s="86">
        <f>AN9+AN14+AN19+AQ19+AT19</f>
        <v>17.899999999999999</v>
      </c>
      <c r="AV5" s="86">
        <f>AN5+AN10+AN15+AQ15+AT15</f>
        <v>54.1</v>
      </c>
      <c r="AX5" s="86"/>
      <c r="AY5" s="86"/>
      <c r="AZ5" s="86"/>
      <c r="BA5" s="86"/>
      <c r="BB5" s="86"/>
      <c r="BC5" s="86"/>
      <c r="BE5" s="1">
        <f t="shared" ref="BE5:BE19" si="9">BH5+BK5+BN5+BQ5+BT5</f>
        <v>6100</v>
      </c>
      <c r="BF5" s="6">
        <f>ROUND((BH$1)/(BH5*$A5)+1,4)</f>
        <v>2</v>
      </c>
      <c r="BG5" s="6">
        <f>(BF5-1)*$A5*6</f>
        <v>120</v>
      </c>
      <c r="BH5" s="711">
        <v>50</v>
      </c>
      <c r="BI5" s="6">
        <f>ROUND((-BK$1)/(BK5*$A5)+1,4)</f>
        <v>0.88</v>
      </c>
      <c r="BJ5" s="6">
        <f>(BI5-1)*$A5*6</f>
        <v>-14.399999999999999</v>
      </c>
      <c r="BK5" s="711">
        <v>500</v>
      </c>
      <c r="BL5" s="6">
        <f>ROUND((BN$1)/(BN5*$A5)+1,4)</f>
        <v>2</v>
      </c>
      <c r="BM5" s="6">
        <f>(BL5-1)*$A5*6</f>
        <v>120</v>
      </c>
      <c r="BN5" s="711">
        <v>50</v>
      </c>
      <c r="BO5" s="6">
        <f>ROUND((-BQ$1)/(BQ5*$A5)+1,4)</f>
        <v>0.88</v>
      </c>
      <c r="BP5" s="6">
        <f>(BO5-1)*$A5*6</f>
        <v>-14.399999999999999</v>
      </c>
      <c r="BQ5" s="711">
        <v>500</v>
      </c>
      <c r="BR5" s="6">
        <f>ROUND((BT$1)/(BT5*$A5)+1,4)</f>
        <v>2.02</v>
      </c>
      <c r="BS5" s="6">
        <f>(BR5-1)*$A5*6</f>
        <v>122.39999999999999</v>
      </c>
      <c r="BT5" s="711">
        <v>5000</v>
      </c>
      <c r="BU5" s="68"/>
      <c r="BV5" s="705"/>
      <c r="BW5" s="86"/>
      <c r="BX5" s="86"/>
      <c r="BY5" s="8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39" t="s">
        <v>119</v>
      </c>
      <c r="CM5" s="719">
        <v>0.01</v>
      </c>
      <c r="CN5" s="39"/>
      <c r="CO5" s="720">
        <f t="shared" ref="CO5:CO24" si="10">$CM$2*$CM$5/$CM$6*A5</f>
        <v>2.9999999999999997E-4</v>
      </c>
      <c r="CP5" s="39">
        <v>1</v>
      </c>
      <c r="CQ5" s="39">
        <v>1</v>
      </c>
      <c r="CR5" s="720">
        <f t="shared" ref="CR5:CR24" si="11">ROUND(CO5/CP5,6)</f>
        <v>2.9999999999999997E-4</v>
      </c>
      <c r="CS5" s="39"/>
      <c r="CT5" s="62">
        <f t="shared" ref="CT5:CT24" si="12">A5*$CM$1</f>
        <v>400</v>
      </c>
      <c r="CU5" s="62">
        <v>0</v>
      </c>
      <c r="CV5" s="62">
        <v>0</v>
      </c>
      <c r="CW5" s="62">
        <v>0</v>
      </c>
      <c r="CX5" s="62">
        <f t="shared" ref="CX5:CX24" si="13">A5*$CM$2</f>
        <v>600</v>
      </c>
      <c r="CY5" s="62">
        <v>0</v>
      </c>
      <c r="CZ5" s="62">
        <v>0</v>
      </c>
      <c r="DA5" s="62">
        <v>0</v>
      </c>
      <c r="DB5" s="62">
        <f t="shared" ref="DB5:DB24" si="14">A5*$CM$3</f>
        <v>1000</v>
      </c>
      <c r="DC5" s="62">
        <v>0</v>
      </c>
      <c r="DD5" s="62">
        <v>0</v>
      </c>
      <c r="DE5" s="62">
        <v>0</v>
      </c>
    </row>
    <row r="6" spans="1:109" x14ac:dyDescent="0.35">
      <c r="A6" s="63">
        <v>40</v>
      </c>
      <c r="B6" s="39">
        <v>0</v>
      </c>
      <c r="C6" s="39">
        <v>1</v>
      </c>
      <c r="D6" s="39">
        <v>0</v>
      </c>
      <c r="E6" s="39">
        <v>-1</v>
      </c>
      <c r="F6" s="39">
        <v>1005</v>
      </c>
      <c r="G6" s="39">
        <f t="shared" si="0"/>
        <v>200000</v>
      </c>
      <c r="H6" s="686">
        <f>A6*120</f>
        <v>4800</v>
      </c>
      <c r="I6" s="39">
        <f t="shared" si="2"/>
        <v>1152</v>
      </c>
      <c r="J6" s="39">
        <f t="shared" ref="J6:J24" si="15">I6</f>
        <v>1152</v>
      </c>
      <c r="K6" s="39">
        <v>100</v>
      </c>
      <c r="L6" s="39">
        <v>100</v>
      </c>
      <c r="M6" s="39">
        <v>0</v>
      </c>
      <c r="N6" s="39">
        <v>1605</v>
      </c>
      <c r="O6" s="39">
        <v>9600</v>
      </c>
      <c r="P6" s="39">
        <v>9650</v>
      </c>
      <c r="S6" s="39">
        <v>1</v>
      </c>
      <c r="T6" s="39">
        <f t="shared" si="3"/>
        <v>2</v>
      </c>
      <c r="Z6" s="39">
        <f t="shared" si="4"/>
        <v>2.5432000000000001</v>
      </c>
      <c r="AA6" s="39">
        <f t="shared" ref="AA6:AA24" si="16">AG6</f>
        <v>0.94440000000000002</v>
      </c>
      <c r="AB6" s="690" t="str">
        <f t="shared" ref="AB6:AB19" si="17">BF6&amp;","&amp;BI6&amp;","&amp;BL6&amp;","&amp;BO6&amp;","&amp;BR6</f>
        <v>1.5882,0.9294,1.5882,0.9294,1.6</v>
      </c>
      <c r="AC6" s="39" t="str">
        <f t="shared" si="5"/>
        <v>1,1,0.0006</v>
      </c>
      <c r="AE6" s="39" t="str">
        <f t="shared" si="6"/>
        <v>[[0,0,0],[0,0,0],[0,0,0]]</v>
      </c>
      <c r="AG6" s="10">
        <f>ROUND((0-$AJ$5)/($A6*AI6*60*6)+1,4)</f>
        <v>0.94440000000000002</v>
      </c>
      <c r="AH6" s="11">
        <f t="shared" si="7"/>
        <v>13.343999999999996</v>
      </c>
      <c r="AI6" s="697">
        <f>AI$5*(A$5/A6)</f>
        <v>12.5</v>
      </c>
      <c r="AL6" s="1">
        <f>ROUND(($AP$5)/(AN6*60*A6*6)+1,4)</f>
        <v>2.5432000000000001</v>
      </c>
      <c r="AM6" s="1">
        <f t="shared" si="8"/>
        <v>370.36800000000005</v>
      </c>
      <c r="AN6" s="82">
        <f>AN5-0.5</f>
        <v>4.5</v>
      </c>
      <c r="AO6" s="704" t="s">
        <v>120</v>
      </c>
      <c r="AP6" s="68">
        <v>1000000</v>
      </c>
      <c r="AQ6" s="705" t="s">
        <v>121</v>
      </c>
      <c r="AR6" s="86"/>
      <c r="AS6" s="86"/>
      <c r="AT6" s="706" t="s">
        <v>122</v>
      </c>
      <c r="AU6" s="86">
        <f>AN9+AN14</f>
        <v>6</v>
      </c>
      <c r="AV6" s="86">
        <f>AN5+AN10</f>
        <v>10</v>
      </c>
      <c r="AX6" s="86"/>
      <c r="AY6" s="86"/>
      <c r="AZ6" s="86"/>
      <c r="BA6" s="86"/>
      <c r="BB6" s="86"/>
      <c r="BC6" s="86"/>
      <c r="BE6" s="1">
        <f t="shared" si="9"/>
        <v>5185</v>
      </c>
      <c r="BF6" s="6">
        <f t="shared" ref="BF6:BF9" si="18">ROUND((BH$1)/(BH6*$A6)+1,4)</f>
        <v>1.5882000000000001</v>
      </c>
      <c r="BG6" s="6">
        <f t="shared" ref="BG6:BG19" si="19">(BF6-1)*$A6*6</f>
        <v>141.16800000000001</v>
      </c>
      <c r="BH6" s="711">
        <f>BH5-7.5</f>
        <v>42.5</v>
      </c>
      <c r="BI6" s="6">
        <f t="shared" ref="BI6:BI9" si="20">ROUND((-BK$1)/(BK6*$A6)+1,4)</f>
        <v>0.9294</v>
      </c>
      <c r="BJ6" s="6">
        <f t="shared" ref="BJ6:BJ10" si="21">(BI6-1)*$A6*6</f>
        <v>-16.943999999999999</v>
      </c>
      <c r="BK6" s="711">
        <f>BK5-75</f>
        <v>425</v>
      </c>
      <c r="BL6" s="6">
        <f t="shared" ref="BL6:BL9" si="22">ROUND((BN$1)/(BN6*$A6)+1,4)</f>
        <v>1.5882000000000001</v>
      </c>
      <c r="BM6" s="6">
        <f t="shared" ref="BM6:BM19" si="23">(BL6-1)*$A6*6</f>
        <v>141.16800000000001</v>
      </c>
      <c r="BN6" s="711">
        <f>BN5-7.5</f>
        <v>42.5</v>
      </c>
      <c r="BO6" s="6">
        <f t="shared" ref="BO6:BO9" si="24">ROUND((-BQ$1)/(BQ6*$A6)+1,4)</f>
        <v>0.9294</v>
      </c>
      <c r="BP6" s="6">
        <f t="shared" ref="BP6:BP10" si="25">(BO6-1)*$A6*6</f>
        <v>-16.943999999999999</v>
      </c>
      <c r="BQ6" s="711">
        <f>BQ5-75</f>
        <v>425</v>
      </c>
      <c r="BR6" s="6">
        <f t="shared" ref="BR6:BR9" si="26">ROUND((BT$1)/(BT6*$A6)+1,4)</f>
        <v>1.6</v>
      </c>
      <c r="BS6" s="6">
        <f t="shared" ref="BS6:BS19" si="27">(BR6-1)*$A6*6</f>
        <v>144.00000000000003</v>
      </c>
      <c r="BT6" s="711">
        <f>BT5-750</f>
        <v>4250</v>
      </c>
      <c r="BU6" s="68"/>
      <c r="BV6" s="705"/>
      <c r="BW6" s="86"/>
      <c r="BX6" s="86"/>
      <c r="BY6" s="8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39" t="s">
        <v>123</v>
      </c>
      <c r="CM6" s="73">
        <v>20000</v>
      </c>
      <c r="CN6" s="39"/>
      <c r="CO6" s="720">
        <f t="shared" si="10"/>
        <v>5.9999999999999995E-4</v>
      </c>
      <c r="CP6" s="39">
        <v>1</v>
      </c>
      <c r="CQ6" s="39">
        <v>1</v>
      </c>
      <c r="CR6" s="720">
        <f t="shared" si="11"/>
        <v>5.9999999999999995E-4</v>
      </c>
      <c r="CS6" s="39"/>
      <c r="CT6" s="62">
        <f t="shared" si="12"/>
        <v>800</v>
      </c>
      <c r="CU6" s="62">
        <v>0</v>
      </c>
      <c r="CV6" s="62">
        <v>0</v>
      </c>
      <c r="CW6" s="62">
        <v>0</v>
      </c>
      <c r="CX6" s="62">
        <f t="shared" si="13"/>
        <v>1200</v>
      </c>
      <c r="CY6" s="62">
        <v>0</v>
      </c>
      <c r="CZ6" s="62">
        <v>0</v>
      </c>
      <c r="DA6" s="62">
        <v>0</v>
      </c>
      <c r="DB6" s="62">
        <f t="shared" si="14"/>
        <v>2000</v>
      </c>
      <c r="DC6" s="62">
        <v>0</v>
      </c>
      <c r="DD6" s="62">
        <v>0</v>
      </c>
      <c r="DE6" s="62">
        <v>0</v>
      </c>
    </row>
    <row r="7" spans="1:109" x14ac:dyDescent="0.35">
      <c r="A7" s="63">
        <v>60</v>
      </c>
      <c r="B7" s="39">
        <v>0</v>
      </c>
      <c r="C7" s="39">
        <v>1</v>
      </c>
      <c r="D7" s="39">
        <v>0</v>
      </c>
      <c r="E7" s="39">
        <v>-1</v>
      </c>
      <c r="F7" s="39">
        <v>1005</v>
      </c>
      <c r="G7" s="39">
        <f t="shared" si="0"/>
        <v>300000</v>
      </c>
      <c r="H7" s="686">
        <f>A7*100</f>
        <v>6000</v>
      </c>
      <c r="I7" s="39">
        <f t="shared" si="2"/>
        <v>1728</v>
      </c>
      <c r="J7" s="39">
        <f t="shared" si="15"/>
        <v>1728</v>
      </c>
      <c r="K7" s="39">
        <v>100</v>
      </c>
      <c r="L7" s="39">
        <v>100</v>
      </c>
      <c r="M7" s="39">
        <v>0</v>
      </c>
      <c r="N7" s="39">
        <v>1605</v>
      </c>
      <c r="O7" s="39">
        <v>9600</v>
      </c>
      <c r="P7" s="39">
        <v>9650</v>
      </c>
      <c r="S7" s="39">
        <v>1</v>
      </c>
      <c r="T7" s="39">
        <f t="shared" si="3"/>
        <v>3</v>
      </c>
      <c r="Z7" s="39">
        <f t="shared" si="4"/>
        <v>2.1574</v>
      </c>
      <c r="AA7" s="39">
        <f t="shared" si="16"/>
        <v>0.94440000000000002</v>
      </c>
      <c r="AB7" s="690" t="str">
        <f t="shared" si="17"/>
        <v>1.4762,0.9429,1.4762,0.9429,1.4857</v>
      </c>
      <c r="AC7" s="39" t="str">
        <f t="shared" si="5"/>
        <v>1,1,0.0009</v>
      </c>
      <c r="AE7" s="39" t="str">
        <f t="shared" si="6"/>
        <v>[[0,0,0],[0,0,0],[0,0,0]]</v>
      </c>
      <c r="AG7" s="10">
        <f>ROUND((0-$AJ$5)/($A7*AI7*60*6)+1,4)</f>
        <v>0.94440000000000002</v>
      </c>
      <c r="AH7" s="11">
        <f t="shared" si="7"/>
        <v>20.015999999999995</v>
      </c>
      <c r="AI7" s="698">
        <f>AI$5*(A$5/A7)</f>
        <v>8.3333333333333321</v>
      </c>
      <c r="AL7" s="1">
        <f>ROUND(($AP$5)/(AN7*60*A7*6)+1,4)</f>
        <v>2.1574</v>
      </c>
      <c r="AM7" s="1">
        <f t="shared" si="8"/>
        <v>416.66399999999999</v>
      </c>
      <c r="AN7" s="82">
        <f t="shared" ref="AN7:AN9" si="28">AN6-0.5</f>
        <v>4</v>
      </c>
      <c r="AO7" s="704" t="s">
        <v>124</v>
      </c>
      <c r="AP7" s="68">
        <v>1500000</v>
      </c>
      <c r="AQ7" s="705" t="str">
        <f>"中级房：演出金币首次达到金币"&amp;AP7</f>
        <v>中级房：演出金币首次达到金币1500000</v>
      </c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E7" s="1">
        <f t="shared" si="9"/>
        <v>4270</v>
      </c>
      <c r="BF7" s="6">
        <f t="shared" si="18"/>
        <v>1.4762</v>
      </c>
      <c r="BG7" s="6">
        <f t="shared" si="19"/>
        <v>171.43199999999996</v>
      </c>
      <c r="BH7" s="711">
        <f t="shared" ref="BH7:BH9" si="29">BH6-7.5</f>
        <v>35</v>
      </c>
      <c r="BI7" s="6">
        <f t="shared" si="20"/>
        <v>0.94289999999999996</v>
      </c>
      <c r="BJ7" s="6">
        <f t="shared" si="21"/>
        <v>-20.556000000000015</v>
      </c>
      <c r="BK7" s="711">
        <f t="shared" ref="BK7:BK9" si="30">BK6-75</f>
        <v>350</v>
      </c>
      <c r="BL7" s="6">
        <f t="shared" si="22"/>
        <v>1.4762</v>
      </c>
      <c r="BM7" s="6">
        <f t="shared" si="23"/>
        <v>171.43199999999996</v>
      </c>
      <c r="BN7" s="711">
        <f t="shared" ref="BN7:BN9" si="31">BN6-7.5</f>
        <v>35</v>
      </c>
      <c r="BO7" s="6">
        <f t="shared" si="24"/>
        <v>0.94289999999999996</v>
      </c>
      <c r="BP7" s="6">
        <f t="shared" si="25"/>
        <v>-20.556000000000015</v>
      </c>
      <c r="BQ7" s="711">
        <f t="shared" ref="BQ7:BQ9" si="32">BQ6-75</f>
        <v>350</v>
      </c>
      <c r="BR7" s="6">
        <f t="shared" si="26"/>
        <v>1.4857</v>
      </c>
      <c r="BS7" s="6">
        <f t="shared" si="27"/>
        <v>174.85200000000003</v>
      </c>
      <c r="BT7" s="711">
        <f t="shared" ref="BT7:BT9" si="33">BT6-750</f>
        <v>3500</v>
      </c>
      <c r="BU7" s="68"/>
      <c r="BV7" s="705"/>
      <c r="BW7" s="86"/>
      <c r="BX7" s="86"/>
      <c r="BY7" s="8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39" t="s">
        <v>125</v>
      </c>
      <c r="CM7" s="719">
        <v>0</v>
      </c>
      <c r="CN7" s="39"/>
      <c r="CO7" s="720">
        <f t="shared" si="10"/>
        <v>8.9999999999999998E-4</v>
      </c>
      <c r="CP7" s="39">
        <v>1</v>
      </c>
      <c r="CQ7" s="39">
        <v>1</v>
      </c>
      <c r="CR7" s="720">
        <f t="shared" si="11"/>
        <v>8.9999999999999998E-4</v>
      </c>
      <c r="CS7" s="39"/>
      <c r="CT7" s="62">
        <f t="shared" si="12"/>
        <v>1200</v>
      </c>
      <c r="CU7" s="62">
        <v>0</v>
      </c>
      <c r="CV7" s="62">
        <v>0</v>
      </c>
      <c r="CW7" s="62">
        <v>0</v>
      </c>
      <c r="CX7" s="62">
        <f t="shared" si="13"/>
        <v>1800</v>
      </c>
      <c r="CY7" s="62">
        <v>0</v>
      </c>
      <c r="CZ7" s="62">
        <v>0</v>
      </c>
      <c r="DA7" s="62">
        <v>0</v>
      </c>
      <c r="DB7" s="62">
        <f t="shared" si="14"/>
        <v>3000</v>
      </c>
      <c r="DC7" s="62">
        <v>0</v>
      </c>
      <c r="DD7" s="62">
        <v>0</v>
      </c>
      <c r="DE7" s="62">
        <v>0</v>
      </c>
    </row>
    <row r="8" spans="1:109" x14ac:dyDescent="0.35">
      <c r="A8" s="63">
        <v>80</v>
      </c>
      <c r="B8" s="39">
        <v>0</v>
      </c>
      <c r="C8" s="39">
        <v>1</v>
      </c>
      <c r="D8" s="39">
        <v>0</v>
      </c>
      <c r="E8" s="39">
        <v>-1</v>
      </c>
      <c r="F8" s="39">
        <v>1005</v>
      </c>
      <c r="G8" s="39">
        <f t="shared" si="0"/>
        <v>400000</v>
      </c>
      <c r="H8" s="686">
        <f>A8*85</f>
        <v>6800</v>
      </c>
      <c r="I8" s="39">
        <f t="shared" si="2"/>
        <v>2304</v>
      </c>
      <c r="J8" s="39">
        <f t="shared" si="15"/>
        <v>2304</v>
      </c>
      <c r="K8" s="39">
        <v>100</v>
      </c>
      <c r="L8" s="39">
        <v>100</v>
      </c>
      <c r="M8" s="39">
        <v>10000</v>
      </c>
      <c r="N8" s="39">
        <v>1605</v>
      </c>
      <c r="O8" s="39">
        <v>9600</v>
      </c>
      <c r="P8" s="39">
        <v>9650</v>
      </c>
      <c r="S8" s="39">
        <v>1</v>
      </c>
      <c r="T8" s="39">
        <f t="shared" si="3"/>
        <v>4</v>
      </c>
      <c r="Z8" s="39">
        <f t="shared" si="4"/>
        <v>1.9921</v>
      </c>
      <c r="AA8" s="39">
        <f t="shared" si="16"/>
        <v>0.94440000000000002</v>
      </c>
      <c r="AB8" s="690" t="str">
        <f t="shared" si="17"/>
        <v>1.4545,0.9455,1.4545,0.9455,1.4636</v>
      </c>
      <c r="AC8" s="39" t="str">
        <f t="shared" si="5"/>
        <v>1,1,0.0012</v>
      </c>
      <c r="AE8" s="39" t="str">
        <f t="shared" si="6"/>
        <v>[[0,0,0],[0,0,0],[0,0,0]]</v>
      </c>
      <c r="AG8" s="10">
        <f>ROUND((0-$AJ$5)/($A8*AI8*60*6)+1,4)</f>
        <v>0.94440000000000002</v>
      </c>
      <c r="AH8" s="11">
        <f t="shared" si="7"/>
        <v>26.687999999999992</v>
      </c>
      <c r="AI8" s="697">
        <f>AI$5*(A$5/A8)</f>
        <v>6.25</v>
      </c>
      <c r="AL8" s="1">
        <f>ROUND(($AP$5)/(AN8*60*A8*6)+1,4)</f>
        <v>1.9921</v>
      </c>
      <c r="AM8" s="1">
        <f t="shared" si="8"/>
        <v>476.20799999999997</v>
      </c>
      <c r="AN8" s="82">
        <f t="shared" si="28"/>
        <v>3.5</v>
      </c>
      <c r="AO8" s="704" t="s">
        <v>126</v>
      </c>
      <c r="AP8" s="68">
        <v>1000000</v>
      </c>
      <c r="AQ8" s="705" t="str">
        <f t="shared" ref="AQ8:AQ12" si="34">"中级房：演出金币首次达到金币"&amp;AP8</f>
        <v>中级房：演出金币首次达到金币1000000</v>
      </c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E8" s="1">
        <f t="shared" si="9"/>
        <v>3355</v>
      </c>
      <c r="BF8" s="6">
        <f t="shared" si="18"/>
        <v>1.4544999999999999</v>
      </c>
      <c r="BG8" s="6">
        <f t="shared" si="19"/>
        <v>218.15999999999997</v>
      </c>
      <c r="BH8" s="711">
        <f t="shared" si="29"/>
        <v>27.5</v>
      </c>
      <c r="BI8" s="6">
        <f t="shared" si="20"/>
        <v>0.94550000000000001</v>
      </c>
      <c r="BJ8" s="6">
        <f t="shared" si="21"/>
        <v>-26.159999999999997</v>
      </c>
      <c r="BK8" s="711">
        <f t="shared" si="30"/>
        <v>275</v>
      </c>
      <c r="BL8" s="6">
        <f t="shared" si="22"/>
        <v>1.4544999999999999</v>
      </c>
      <c r="BM8" s="6">
        <f t="shared" si="23"/>
        <v>218.15999999999997</v>
      </c>
      <c r="BN8" s="711">
        <f t="shared" si="31"/>
        <v>27.5</v>
      </c>
      <c r="BO8" s="6">
        <f t="shared" si="24"/>
        <v>0.94550000000000001</v>
      </c>
      <c r="BP8" s="6">
        <f t="shared" si="25"/>
        <v>-26.159999999999997</v>
      </c>
      <c r="BQ8" s="711">
        <f t="shared" si="32"/>
        <v>275</v>
      </c>
      <c r="BR8" s="6">
        <f t="shared" si="26"/>
        <v>1.4636</v>
      </c>
      <c r="BS8" s="6">
        <f t="shared" si="27"/>
        <v>222.52800000000002</v>
      </c>
      <c r="BT8" s="711">
        <f t="shared" si="33"/>
        <v>2750</v>
      </c>
      <c r="BU8" s="68"/>
      <c r="BV8" s="705"/>
      <c r="BW8" s="86"/>
      <c r="BX8" s="86"/>
      <c r="BY8" s="8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39" t="s">
        <v>127</v>
      </c>
      <c r="CM8" s="73">
        <v>150</v>
      </c>
      <c r="CN8" s="39"/>
      <c r="CO8" s="720">
        <f t="shared" si="10"/>
        <v>1.1999999999999999E-3</v>
      </c>
      <c r="CP8" s="39">
        <v>1</v>
      </c>
      <c r="CQ8" s="39">
        <v>1</v>
      </c>
      <c r="CR8" s="720">
        <f t="shared" si="11"/>
        <v>1.1999999999999999E-3</v>
      </c>
      <c r="CS8" s="39"/>
      <c r="CT8" s="62">
        <f t="shared" si="12"/>
        <v>1600</v>
      </c>
      <c r="CU8" s="62">
        <v>0</v>
      </c>
      <c r="CV8" s="62">
        <v>0</v>
      </c>
      <c r="CW8" s="62">
        <v>0</v>
      </c>
      <c r="CX8" s="62">
        <f t="shared" si="13"/>
        <v>2400</v>
      </c>
      <c r="CY8" s="62">
        <v>0</v>
      </c>
      <c r="CZ8" s="62">
        <v>0</v>
      </c>
      <c r="DA8" s="62">
        <v>0</v>
      </c>
      <c r="DB8" s="62">
        <f t="shared" si="14"/>
        <v>4000</v>
      </c>
      <c r="DC8" s="62">
        <v>0</v>
      </c>
      <c r="DD8" s="62">
        <v>0</v>
      </c>
      <c r="DE8" s="62">
        <v>0</v>
      </c>
    </row>
    <row r="9" spans="1:109" x14ac:dyDescent="0.35">
      <c r="A9" s="63">
        <v>100</v>
      </c>
      <c r="B9" s="39">
        <v>0</v>
      </c>
      <c r="C9" s="39">
        <v>1</v>
      </c>
      <c r="D9" s="39">
        <v>0</v>
      </c>
      <c r="E9" s="39">
        <v>-1</v>
      </c>
      <c r="F9" s="39">
        <v>1005</v>
      </c>
      <c r="G9" s="39">
        <f t="shared" si="0"/>
        <v>500000</v>
      </c>
      <c r="H9" s="686">
        <f>A9*75</f>
        <v>7500</v>
      </c>
      <c r="I9" s="39">
        <f t="shared" si="2"/>
        <v>2880</v>
      </c>
      <c r="J9" s="39">
        <f t="shared" si="15"/>
        <v>2880</v>
      </c>
      <c r="K9" s="39">
        <v>100</v>
      </c>
      <c r="L9" s="39">
        <v>100</v>
      </c>
      <c r="M9" s="39">
        <v>10000</v>
      </c>
      <c r="N9" s="39">
        <v>1605</v>
      </c>
      <c r="O9" s="39">
        <v>9600</v>
      </c>
      <c r="P9" s="39">
        <v>9650</v>
      </c>
      <c r="S9" s="39">
        <v>1</v>
      </c>
      <c r="T9" s="39">
        <f t="shared" si="3"/>
        <v>5</v>
      </c>
      <c r="Z9" s="39">
        <f t="shared" si="4"/>
        <v>1.9258999999999999</v>
      </c>
      <c r="AA9" s="39">
        <f t="shared" si="16"/>
        <v>0.94440000000000002</v>
      </c>
      <c r="AB9" s="690" t="str">
        <f t="shared" si="17"/>
        <v>1.5,0.94,1.5,0.94,1.51</v>
      </c>
      <c r="AC9" s="39" t="str">
        <f t="shared" si="5"/>
        <v>1,1,0.0015</v>
      </c>
      <c r="AE9" s="39" t="str">
        <f t="shared" si="6"/>
        <v>[[0,0,0],[0,0,0],[0,0,0]]</v>
      </c>
      <c r="AG9" s="13">
        <f>ROUND((0-$AJ$5)/($A9*AI9*60*6)+1,4)</f>
        <v>0.94440000000000002</v>
      </c>
      <c r="AH9" s="14">
        <f t="shared" si="7"/>
        <v>33.359999999999992</v>
      </c>
      <c r="AI9" s="699">
        <f>AI$5*(A$5/A9)</f>
        <v>5</v>
      </c>
      <c r="AL9" s="1">
        <f>ROUND(($AP$5)/(AN9*60*A9*6)+1,4)</f>
        <v>1.9258999999999999</v>
      </c>
      <c r="AM9" s="1">
        <f t="shared" si="8"/>
        <v>555.54</v>
      </c>
      <c r="AN9" s="82">
        <f t="shared" si="28"/>
        <v>3</v>
      </c>
      <c r="AO9" s="704" t="s">
        <v>128</v>
      </c>
      <c r="AP9" s="68">
        <v>0</v>
      </c>
      <c r="AQ9" s="705" t="str">
        <f t="shared" si="34"/>
        <v>中级房：演出金币首次达到金币0</v>
      </c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1">
        <f t="shared" si="9"/>
        <v>2440</v>
      </c>
      <c r="BF9" s="6">
        <f t="shared" si="18"/>
        <v>1.5</v>
      </c>
      <c r="BG9" s="6">
        <f t="shared" si="19"/>
        <v>300</v>
      </c>
      <c r="BH9" s="711">
        <f t="shared" si="29"/>
        <v>20</v>
      </c>
      <c r="BI9" s="6">
        <f t="shared" si="20"/>
        <v>0.94</v>
      </c>
      <c r="BJ9" s="6">
        <f t="shared" si="21"/>
        <v>-36.000000000000028</v>
      </c>
      <c r="BK9" s="711">
        <f t="shared" si="30"/>
        <v>200</v>
      </c>
      <c r="BL9" s="6">
        <f t="shared" si="22"/>
        <v>1.5</v>
      </c>
      <c r="BM9" s="6">
        <f t="shared" si="23"/>
        <v>300</v>
      </c>
      <c r="BN9" s="711">
        <f t="shared" si="31"/>
        <v>20</v>
      </c>
      <c r="BO9" s="6">
        <f t="shared" si="24"/>
        <v>0.94</v>
      </c>
      <c r="BP9" s="6">
        <f t="shared" si="25"/>
        <v>-36.000000000000028</v>
      </c>
      <c r="BQ9" s="711">
        <f t="shared" si="32"/>
        <v>200</v>
      </c>
      <c r="BR9" s="6">
        <f t="shared" si="26"/>
        <v>1.51</v>
      </c>
      <c r="BS9" s="6">
        <f t="shared" si="27"/>
        <v>306</v>
      </c>
      <c r="BT9" s="711">
        <f t="shared" si="33"/>
        <v>2000</v>
      </c>
      <c r="BU9" s="68"/>
      <c r="BV9" s="705"/>
      <c r="BW9" s="86"/>
      <c r="BX9" s="86"/>
      <c r="BY9" s="8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39"/>
      <c r="CM9" s="328"/>
      <c r="CN9" s="39"/>
      <c r="CO9" s="720">
        <f t="shared" si="10"/>
        <v>1.4999999999999998E-3</v>
      </c>
      <c r="CP9" s="39">
        <v>1</v>
      </c>
      <c r="CQ9" s="39">
        <v>1</v>
      </c>
      <c r="CR9" s="720">
        <f t="shared" si="11"/>
        <v>1.5E-3</v>
      </c>
      <c r="CS9" s="39"/>
      <c r="CT9" s="62">
        <f t="shared" si="12"/>
        <v>2000</v>
      </c>
      <c r="CU9" s="62">
        <v>0</v>
      </c>
      <c r="CV9" s="62">
        <v>0</v>
      </c>
      <c r="CW9" s="62">
        <v>0</v>
      </c>
      <c r="CX9" s="62">
        <f t="shared" si="13"/>
        <v>3000</v>
      </c>
      <c r="CY9" s="62">
        <v>0</v>
      </c>
      <c r="CZ9" s="62">
        <v>0</v>
      </c>
      <c r="DA9" s="62">
        <v>0</v>
      </c>
      <c r="DB9" s="62">
        <f t="shared" si="14"/>
        <v>5000</v>
      </c>
      <c r="DC9" s="62">
        <v>0</v>
      </c>
      <c r="DD9" s="62">
        <v>0</v>
      </c>
      <c r="DE9" s="62">
        <v>0</v>
      </c>
    </row>
    <row r="10" spans="1:109" x14ac:dyDescent="0.35">
      <c r="A10" s="63">
        <v>200</v>
      </c>
      <c r="B10" s="39">
        <v>0</v>
      </c>
      <c r="C10" s="39">
        <v>2</v>
      </c>
      <c r="D10" s="39">
        <v>0</v>
      </c>
      <c r="E10" s="39">
        <v>-1</v>
      </c>
      <c r="F10" s="39">
        <v>1005</v>
      </c>
      <c r="G10" s="39">
        <f t="shared" si="0"/>
        <v>1000000</v>
      </c>
      <c r="H10" s="39">
        <f t="shared" si="1"/>
        <v>30000</v>
      </c>
      <c r="I10" s="39">
        <f t="shared" si="2"/>
        <v>5760</v>
      </c>
      <c r="J10" s="39">
        <f t="shared" si="15"/>
        <v>5760</v>
      </c>
      <c r="K10" s="39">
        <v>100</v>
      </c>
      <c r="L10" s="39">
        <v>100</v>
      </c>
      <c r="M10" s="39">
        <v>10000</v>
      </c>
      <c r="N10" s="39">
        <v>1605</v>
      </c>
      <c r="O10" s="39">
        <v>9600</v>
      </c>
      <c r="P10" s="39">
        <v>9600</v>
      </c>
      <c r="S10" s="39">
        <v>1</v>
      </c>
      <c r="T10" s="39">
        <f t="shared" si="3"/>
        <v>6</v>
      </c>
      <c r="Z10" s="39">
        <f t="shared" si="4"/>
        <v>3.5</v>
      </c>
      <c r="AA10" s="39">
        <f t="shared" si="16"/>
        <v>0.94440000000000002</v>
      </c>
      <c r="AB10" s="690" t="str">
        <f t="shared" si="17"/>
        <v>2,0.88,2,0.88,2.02</v>
      </c>
      <c r="AC10" s="39" t="str">
        <f t="shared" si="5"/>
        <v>1,1,0.003</v>
      </c>
      <c r="AE10" s="39" t="str">
        <f t="shared" si="6"/>
        <v>[[0,0,0],[0,0,0],[0,0,0]]</v>
      </c>
      <c r="AG10" s="47">
        <f>ROUND((0-$AJ$10)/($A10*AI10*60*6)+1,4)</f>
        <v>0.94440000000000002</v>
      </c>
      <c r="AH10" s="48">
        <f t="shared" si="7"/>
        <v>66.719999999999985</v>
      </c>
      <c r="AI10" s="696">
        <v>25</v>
      </c>
      <c r="AJ10" s="39">
        <v>100000</v>
      </c>
      <c r="AK10" s="39">
        <f>15*60*6</f>
        <v>5400</v>
      </c>
      <c r="AL10" s="1">
        <f>ROUND(($AP$6-$AP$5)/(AN10*60*A10*6)+1,4)</f>
        <v>3.5</v>
      </c>
      <c r="AM10" s="1">
        <f t="shared" si="8"/>
        <v>3000</v>
      </c>
      <c r="AN10" s="700">
        <v>5</v>
      </c>
      <c r="AO10" s="707" t="s">
        <v>129</v>
      </c>
      <c r="AP10" s="67">
        <v>0</v>
      </c>
      <c r="AQ10" s="708" t="str">
        <f t="shared" si="34"/>
        <v>中级房：演出金币首次达到金币0</v>
      </c>
      <c r="AR10" s="59"/>
      <c r="AS10" s="59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E10" s="1">
        <f t="shared" si="9"/>
        <v>6100</v>
      </c>
      <c r="BF10" s="712">
        <f>ROUND((BH$2)/(BH10*$A10)+1,4)</f>
        <v>2</v>
      </c>
      <c r="BG10" s="6">
        <f t="shared" si="19"/>
        <v>1200</v>
      </c>
      <c r="BH10" s="713">
        <f>BH5</f>
        <v>50</v>
      </c>
      <c r="BI10" s="6">
        <f>ROUND((-BK$2)/(BK10*$A10)+1,4)</f>
        <v>0.88</v>
      </c>
      <c r="BJ10" s="6">
        <f t="shared" si="21"/>
        <v>-144</v>
      </c>
      <c r="BK10" s="713">
        <f>BK5</f>
        <v>500</v>
      </c>
      <c r="BL10" s="6">
        <f>ROUND((BN$2)/(BN10*$A10)+1,4)</f>
        <v>2</v>
      </c>
      <c r="BM10" s="6">
        <f t="shared" si="23"/>
        <v>1200</v>
      </c>
      <c r="BN10" s="713">
        <f>BN5</f>
        <v>50</v>
      </c>
      <c r="BO10" s="6">
        <f>ROUND((-BQ$2)/(BQ10*$A10)+1,4)</f>
        <v>0.88</v>
      </c>
      <c r="BP10" s="6">
        <f t="shared" si="25"/>
        <v>-144</v>
      </c>
      <c r="BQ10" s="713">
        <f>BQ5</f>
        <v>500</v>
      </c>
      <c r="BR10" s="6">
        <f>ROUND((BT$2)/(BT10*$A10)+1,4)</f>
        <v>2.02</v>
      </c>
      <c r="BS10" s="6">
        <f t="shared" si="27"/>
        <v>1224</v>
      </c>
      <c r="BT10" s="713">
        <f>BT5</f>
        <v>5000</v>
      </c>
      <c r="BU10" s="68"/>
      <c r="BV10" s="705"/>
      <c r="BW10" s="86"/>
      <c r="BX10" s="86"/>
      <c r="BY10" s="8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39" t="s">
        <v>130</v>
      </c>
      <c r="CM10" s="39" t="s">
        <v>112</v>
      </c>
      <c r="CN10" s="39"/>
      <c r="CO10" s="720">
        <f t="shared" si="10"/>
        <v>2.9999999999999996E-3</v>
      </c>
      <c r="CP10" s="39">
        <v>1</v>
      </c>
      <c r="CQ10" s="39">
        <v>1</v>
      </c>
      <c r="CR10" s="720">
        <f t="shared" si="11"/>
        <v>3.0000000000000001E-3</v>
      </c>
      <c r="CS10" s="39"/>
      <c r="CT10" s="62">
        <f t="shared" si="12"/>
        <v>4000</v>
      </c>
      <c r="CU10" s="62">
        <v>0</v>
      </c>
      <c r="CV10" s="62">
        <v>0</v>
      </c>
      <c r="CW10" s="62">
        <v>0</v>
      </c>
      <c r="CX10" s="62">
        <f t="shared" si="13"/>
        <v>6000</v>
      </c>
      <c r="CY10" s="62">
        <v>0</v>
      </c>
      <c r="CZ10" s="62">
        <v>0</v>
      </c>
      <c r="DA10" s="62">
        <v>0</v>
      </c>
      <c r="DB10" s="62">
        <f t="shared" si="14"/>
        <v>10000</v>
      </c>
      <c r="DC10" s="62">
        <v>0</v>
      </c>
      <c r="DD10" s="62">
        <v>0</v>
      </c>
      <c r="DE10" s="62">
        <v>0</v>
      </c>
    </row>
    <row r="11" spans="1:109" x14ac:dyDescent="0.35">
      <c r="A11" s="63">
        <v>400</v>
      </c>
      <c r="B11" s="39">
        <v>0</v>
      </c>
      <c r="C11" s="39">
        <v>4</v>
      </c>
      <c r="D11" s="39">
        <v>0</v>
      </c>
      <c r="E11" s="39">
        <v>-1</v>
      </c>
      <c r="F11" s="39">
        <v>1005</v>
      </c>
      <c r="G11" s="39">
        <f t="shared" si="0"/>
        <v>2000000</v>
      </c>
      <c r="H11" s="39">
        <f>A11*120</f>
        <v>48000</v>
      </c>
      <c r="I11" s="39">
        <f t="shared" si="2"/>
        <v>11520</v>
      </c>
      <c r="J11" s="39">
        <f t="shared" si="15"/>
        <v>11520</v>
      </c>
      <c r="K11" s="39">
        <v>120</v>
      </c>
      <c r="L11" s="39">
        <v>100</v>
      </c>
      <c r="M11" s="39">
        <v>10000</v>
      </c>
      <c r="N11" s="39">
        <v>1605</v>
      </c>
      <c r="O11" s="39">
        <v>9600</v>
      </c>
      <c r="P11" s="39">
        <v>9600</v>
      </c>
      <c r="S11" s="39">
        <v>1</v>
      </c>
      <c r="T11" s="39">
        <f t="shared" si="3"/>
        <v>7</v>
      </c>
      <c r="Z11" s="39">
        <f t="shared" si="4"/>
        <v>2.3889</v>
      </c>
      <c r="AA11" s="39">
        <f t="shared" si="16"/>
        <v>0.94440000000000002</v>
      </c>
      <c r="AB11" s="690" t="str">
        <f t="shared" si="17"/>
        <v>1.5882,0.9294,1.5882,0.9294,1.6</v>
      </c>
      <c r="AC11" s="39" t="str">
        <f t="shared" si="5"/>
        <v>1,1,0.006</v>
      </c>
      <c r="AE11" s="39" t="str">
        <f t="shared" si="6"/>
        <v>[[0,0,0],[0,0,0],[0,0,0]]</v>
      </c>
      <c r="AG11" s="10">
        <f>ROUND((0-$AJ$10)/($A11*AI11*60*6)+1,4)</f>
        <v>0.94440000000000002</v>
      </c>
      <c r="AH11" s="11">
        <f t="shared" si="7"/>
        <v>133.43999999999997</v>
      </c>
      <c r="AI11" s="697">
        <f>AI$10*(A$10/A11)</f>
        <v>12.5</v>
      </c>
      <c r="AL11" s="1">
        <f>ROUND(($AP$6-$AP$5)/(AN11*60*A11*6)+1,4)</f>
        <v>2.3889</v>
      </c>
      <c r="AM11" s="1">
        <f t="shared" si="8"/>
        <v>3333.3600000000006</v>
      </c>
      <c r="AN11" s="700">
        <f>AN10-0.5</f>
        <v>4.5</v>
      </c>
      <c r="AO11" s="707" t="s">
        <v>131</v>
      </c>
      <c r="AP11" s="67">
        <v>0</v>
      </c>
      <c r="AQ11" s="708" t="str">
        <f t="shared" si="34"/>
        <v>中级房：演出金币首次达到金币0</v>
      </c>
      <c r="AR11" s="59"/>
      <c r="AS11" s="59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E11" s="1">
        <f t="shared" si="9"/>
        <v>5185</v>
      </c>
      <c r="BF11" s="712">
        <f t="shared" ref="BF11:BF14" si="35">ROUND((BH$2)/(BH11*$A11)+1,4)</f>
        <v>1.5882000000000001</v>
      </c>
      <c r="BG11" s="6">
        <f t="shared" si="19"/>
        <v>1411.6800000000003</v>
      </c>
      <c r="BH11" s="711">
        <f>BH10-7.5</f>
        <v>42.5</v>
      </c>
      <c r="BI11" s="6">
        <f t="shared" ref="BI11:BI14" si="36">ROUND((-BK$2)/(BK11*$A11)+1,4)</f>
        <v>0.9294</v>
      </c>
      <c r="BJ11" s="6">
        <f t="shared" ref="BJ11:BJ15" si="37">(BI11-1)*$A11*6</f>
        <v>-169.44</v>
      </c>
      <c r="BK11" s="711">
        <f>BK10-75</f>
        <v>425</v>
      </c>
      <c r="BL11" s="6">
        <f t="shared" ref="BL11:BL14" si="38">ROUND((BN$2)/(BN11*$A11)+1,4)</f>
        <v>1.5882000000000001</v>
      </c>
      <c r="BM11" s="6">
        <f t="shared" si="23"/>
        <v>1411.6800000000003</v>
      </c>
      <c r="BN11" s="711">
        <f>BN10-7.5</f>
        <v>42.5</v>
      </c>
      <c r="BO11" s="6">
        <f t="shared" ref="BO11:BO14" si="39">ROUND((-BQ$2)/(BQ11*$A11)+1,4)</f>
        <v>0.9294</v>
      </c>
      <c r="BP11" s="6">
        <f t="shared" ref="BP11:BP15" si="40">(BO11-1)*$A11*6</f>
        <v>-169.44</v>
      </c>
      <c r="BQ11" s="711">
        <f>BQ10-75</f>
        <v>425</v>
      </c>
      <c r="BR11" s="6">
        <f t="shared" ref="BR11:BR14" si="41">ROUND((BT$2)/(BT11*$A11)+1,4)</f>
        <v>1.6</v>
      </c>
      <c r="BS11" s="6">
        <f t="shared" si="27"/>
        <v>1440.0000000000002</v>
      </c>
      <c r="BT11" s="711">
        <f>BT10-750</f>
        <v>4250</v>
      </c>
      <c r="BU11" s="68"/>
      <c r="BV11" s="705"/>
      <c r="BW11" s="86"/>
      <c r="BX11" s="86"/>
      <c r="BY11" s="8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39">
        <v>1005</v>
      </c>
      <c r="CM11" s="39" t="str">
        <f>'弹头价值|Dantou'!B5</f>
        <v>1000000</v>
      </c>
      <c r="CN11" s="39"/>
      <c r="CO11" s="720">
        <f t="shared" si="10"/>
        <v>5.9999999999999993E-3</v>
      </c>
      <c r="CP11" s="39">
        <v>1</v>
      </c>
      <c r="CQ11" s="39">
        <v>1</v>
      </c>
      <c r="CR11" s="720">
        <f t="shared" si="11"/>
        <v>6.0000000000000001E-3</v>
      </c>
      <c r="CS11" s="39"/>
      <c r="CT11" s="62">
        <f t="shared" si="12"/>
        <v>8000</v>
      </c>
      <c r="CU11" s="62">
        <v>0</v>
      </c>
      <c r="CV11" s="62">
        <v>0</v>
      </c>
      <c r="CW11" s="62">
        <v>0</v>
      </c>
      <c r="CX11" s="62">
        <f t="shared" si="13"/>
        <v>12000</v>
      </c>
      <c r="CY11" s="62">
        <v>0</v>
      </c>
      <c r="CZ11" s="62">
        <v>0</v>
      </c>
      <c r="DA11" s="62">
        <v>0</v>
      </c>
      <c r="DB11" s="62">
        <f t="shared" si="14"/>
        <v>20000</v>
      </c>
      <c r="DC11" s="62">
        <v>0</v>
      </c>
      <c r="DD11" s="62">
        <v>0</v>
      </c>
      <c r="DE11" s="62">
        <v>0</v>
      </c>
    </row>
    <row r="12" spans="1:109" x14ac:dyDescent="0.35">
      <c r="A12" s="63">
        <v>600</v>
      </c>
      <c r="B12" s="39">
        <v>0</v>
      </c>
      <c r="C12" s="39">
        <v>6</v>
      </c>
      <c r="D12" s="39">
        <v>0</v>
      </c>
      <c r="E12" s="39">
        <v>-1</v>
      </c>
      <c r="F12" s="39">
        <v>1005</v>
      </c>
      <c r="G12" s="39">
        <f t="shared" si="0"/>
        <v>3000000</v>
      </c>
      <c r="H12" s="39">
        <f>A12*100</f>
        <v>60000</v>
      </c>
      <c r="I12" s="39">
        <f t="shared" si="2"/>
        <v>17280</v>
      </c>
      <c r="J12" s="39">
        <f t="shared" si="15"/>
        <v>17280</v>
      </c>
      <c r="K12" s="39">
        <v>150</v>
      </c>
      <c r="L12" s="39">
        <v>100</v>
      </c>
      <c r="M12" s="39">
        <v>10000</v>
      </c>
      <c r="N12" s="39">
        <v>1605</v>
      </c>
      <c r="O12" s="39">
        <v>9600</v>
      </c>
      <c r="P12" s="39">
        <v>9600</v>
      </c>
      <c r="S12" s="39">
        <v>1</v>
      </c>
      <c r="T12" s="39">
        <f t="shared" si="3"/>
        <v>8</v>
      </c>
      <c r="Z12" s="39">
        <f t="shared" si="4"/>
        <v>2.0417000000000001</v>
      </c>
      <c r="AA12" s="39">
        <f t="shared" si="16"/>
        <v>0.94440000000000002</v>
      </c>
      <c r="AB12" s="690" t="str">
        <f t="shared" si="17"/>
        <v>1.4762,0.9429,1.4762,0.9429,1.4857</v>
      </c>
      <c r="AC12" s="39" t="str">
        <f t="shared" si="5"/>
        <v>1,1,0.009</v>
      </c>
      <c r="AE12" s="39" t="str">
        <f t="shared" si="6"/>
        <v>[[0,0,0],[0,0,0],[0,0,0]]</v>
      </c>
      <c r="AG12" s="10">
        <f>ROUND((0-$AJ$10)/($A12*AI12*60*6)+1,4)</f>
        <v>0.94440000000000002</v>
      </c>
      <c r="AH12" s="11">
        <f t="shared" si="7"/>
        <v>200.15999999999997</v>
      </c>
      <c r="AI12" s="698">
        <f>AI$10*(A$10/A12)</f>
        <v>8.3333333333333321</v>
      </c>
      <c r="AL12" s="1">
        <f>ROUND(($AP$6-$AP$5)/(AN12*60*A12*6)+1,4)</f>
        <v>2.0417000000000001</v>
      </c>
      <c r="AM12" s="1">
        <f t="shared" si="8"/>
        <v>3750.1200000000008</v>
      </c>
      <c r="AN12" s="700">
        <f t="shared" ref="AN12:AN14" si="42">AN11-0.5</f>
        <v>4</v>
      </c>
      <c r="AO12" s="707" t="s">
        <v>132</v>
      </c>
      <c r="AP12" s="67">
        <v>0</v>
      </c>
      <c r="AQ12" s="708" t="str">
        <f t="shared" si="34"/>
        <v>中级房：演出金币首次达到金币0</v>
      </c>
      <c r="AR12" s="59"/>
      <c r="AS12" s="59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E12" s="1">
        <f t="shared" si="9"/>
        <v>4270</v>
      </c>
      <c r="BF12" s="712">
        <f t="shared" si="35"/>
        <v>1.4762</v>
      </c>
      <c r="BG12" s="6">
        <f t="shared" si="19"/>
        <v>1714.3199999999997</v>
      </c>
      <c r="BH12" s="711">
        <f t="shared" ref="BH12:BH14" si="43">BH11-7.5</f>
        <v>35</v>
      </c>
      <c r="BI12" s="6">
        <f t="shared" si="36"/>
        <v>0.94289999999999996</v>
      </c>
      <c r="BJ12" s="6">
        <f t="shared" si="37"/>
        <v>-205.56000000000017</v>
      </c>
      <c r="BK12" s="711">
        <f t="shared" ref="BK12:BK14" si="44">BK11-75</f>
        <v>350</v>
      </c>
      <c r="BL12" s="6">
        <f t="shared" si="38"/>
        <v>1.4762</v>
      </c>
      <c r="BM12" s="6">
        <f t="shared" si="23"/>
        <v>1714.3199999999997</v>
      </c>
      <c r="BN12" s="711">
        <f t="shared" ref="BN12:BN14" si="45">BN11-7.5</f>
        <v>35</v>
      </c>
      <c r="BO12" s="6">
        <f t="shared" si="39"/>
        <v>0.94289999999999996</v>
      </c>
      <c r="BP12" s="6">
        <f t="shared" si="40"/>
        <v>-205.56000000000017</v>
      </c>
      <c r="BQ12" s="711">
        <f t="shared" ref="BQ12:BQ14" si="46">BQ11-75</f>
        <v>350</v>
      </c>
      <c r="BR12" s="6">
        <f t="shared" si="41"/>
        <v>1.4857</v>
      </c>
      <c r="BS12" s="6">
        <f t="shared" si="27"/>
        <v>1748.52</v>
      </c>
      <c r="BT12" s="711">
        <f t="shared" ref="BT12:BT14" si="47">BT11-750</f>
        <v>3500</v>
      </c>
      <c r="BU12" s="68"/>
      <c r="BV12" s="705"/>
      <c r="BW12" s="86"/>
      <c r="BX12" s="86"/>
      <c r="BY12" s="8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39">
        <v>1006</v>
      </c>
      <c r="CM12" s="39" t="str">
        <f>'弹头价值|Dantou'!B6</f>
        <v>2000000</v>
      </c>
      <c r="CN12" s="39"/>
      <c r="CO12" s="720">
        <f t="shared" si="10"/>
        <v>8.9999999999999993E-3</v>
      </c>
      <c r="CP12" s="39">
        <v>1</v>
      </c>
      <c r="CQ12" s="39">
        <v>1</v>
      </c>
      <c r="CR12" s="720">
        <f t="shared" si="11"/>
        <v>8.9999999999999993E-3</v>
      </c>
      <c r="CS12" s="39"/>
      <c r="CT12" s="62">
        <f t="shared" si="12"/>
        <v>12000</v>
      </c>
      <c r="CU12" s="62">
        <v>0</v>
      </c>
      <c r="CV12" s="62">
        <v>0</v>
      </c>
      <c r="CW12" s="62">
        <v>0</v>
      </c>
      <c r="CX12" s="62">
        <f t="shared" si="13"/>
        <v>18000</v>
      </c>
      <c r="CY12" s="62">
        <v>0</v>
      </c>
      <c r="CZ12" s="62">
        <v>0</v>
      </c>
      <c r="DA12" s="62">
        <v>0</v>
      </c>
      <c r="DB12" s="62">
        <f t="shared" si="14"/>
        <v>30000</v>
      </c>
      <c r="DC12" s="62">
        <v>0</v>
      </c>
      <c r="DD12" s="62">
        <v>0</v>
      </c>
      <c r="DE12" s="62">
        <v>0</v>
      </c>
    </row>
    <row r="13" spans="1:109" x14ac:dyDescent="0.35">
      <c r="A13" s="63">
        <v>800</v>
      </c>
      <c r="B13" s="39">
        <v>0</v>
      </c>
      <c r="C13" s="39">
        <v>8</v>
      </c>
      <c r="D13" s="39">
        <v>0.5</v>
      </c>
      <c r="E13" s="39">
        <v>-1</v>
      </c>
      <c r="F13" s="39">
        <v>1005</v>
      </c>
      <c r="G13" s="39">
        <f t="shared" si="0"/>
        <v>4000000</v>
      </c>
      <c r="H13" s="39">
        <f>A13*85</f>
        <v>68000</v>
      </c>
      <c r="I13" s="39">
        <f t="shared" si="2"/>
        <v>23040</v>
      </c>
      <c r="J13" s="39">
        <f t="shared" si="15"/>
        <v>23040</v>
      </c>
      <c r="K13" s="39">
        <v>170</v>
      </c>
      <c r="L13" s="39">
        <v>100</v>
      </c>
      <c r="M13" s="39">
        <v>10000</v>
      </c>
      <c r="N13" s="39">
        <v>1605</v>
      </c>
      <c r="O13" s="39">
        <v>9600</v>
      </c>
      <c r="P13" s="39">
        <v>9600</v>
      </c>
      <c r="S13" s="39">
        <v>1</v>
      </c>
      <c r="T13" s="39">
        <f t="shared" si="3"/>
        <v>9</v>
      </c>
      <c r="Z13" s="39">
        <f t="shared" si="4"/>
        <v>1.8929</v>
      </c>
      <c r="AA13" s="39">
        <f t="shared" si="16"/>
        <v>0.94440000000000002</v>
      </c>
      <c r="AB13" s="690" t="str">
        <f t="shared" si="17"/>
        <v>1.4545,0.9455,1.4545,0.9455,1.4636</v>
      </c>
      <c r="AC13" s="39" t="str">
        <f t="shared" si="5"/>
        <v>1,1,0.012</v>
      </c>
      <c r="AE13" s="39" t="str">
        <f t="shared" si="6"/>
        <v>[[0,0,0],[0,0,0],[0,0,0]]</v>
      </c>
      <c r="AG13" s="10">
        <f>ROUND((0-$AJ$10)/($A13*AI13*60*6)+1,4)</f>
        <v>0.94440000000000002</v>
      </c>
      <c r="AH13" s="11">
        <f t="shared" si="7"/>
        <v>266.87999999999994</v>
      </c>
      <c r="AI13" s="697">
        <f>AI$10*(A$10/A13)</f>
        <v>6.25</v>
      </c>
      <c r="AL13" s="1">
        <f>ROUND(($AP$6-$AP$5)/(AN13*60*A13*6)+1,4)</f>
        <v>1.8929</v>
      </c>
      <c r="AM13" s="1">
        <f t="shared" si="8"/>
        <v>4285.92</v>
      </c>
      <c r="AN13" s="700">
        <f t="shared" si="42"/>
        <v>3.5</v>
      </c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E13" s="1">
        <f t="shared" si="9"/>
        <v>3355</v>
      </c>
      <c r="BF13" s="712">
        <f t="shared" si="35"/>
        <v>1.4544999999999999</v>
      </c>
      <c r="BG13" s="6">
        <f t="shared" si="19"/>
        <v>2181.5999999999995</v>
      </c>
      <c r="BH13" s="711">
        <f t="shared" si="43"/>
        <v>27.5</v>
      </c>
      <c r="BI13" s="6">
        <f t="shared" si="36"/>
        <v>0.94550000000000001</v>
      </c>
      <c r="BJ13" s="6">
        <f t="shared" si="37"/>
        <v>-261.59999999999997</v>
      </c>
      <c r="BK13" s="711">
        <f t="shared" si="44"/>
        <v>275</v>
      </c>
      <c r="BL13" s="6">
        <f t="shared" si="38"/>
        <v>1.4544999999999999</v>
      </c>
      <c r="BM13" s="6">
        <f t="shared" si="23"/>
        <v>2181.5999999999995</v>
      </c>
      <c r="BN13" s="711">
        <f t="shared" si="45"/>
        <v>27.5</v>
      </c>
      <c r="BO13" s="6">
        <f t="shared" si="39"/>
        <v>0.94550000000000001</v>
      </c>
      <c r="BP13" s="6">
        <f t="shared" si="40"/>
        <v>-261.59999999999997</v>
      </c>
      <c r="BQ13" s="711">
        <f t="shared" si="46"/>
        <v>275</v>
      </c>
      <c r="BR13" s="6">
        <f t="shared" si="41"/>
        <v>1.4636</v>
      </c>
      <c r="BS13" s="6">
        <f t="shared" si="27"/>
        <v>2225.2799999999997</v>
      </c>
      <c r="BT13" s="711">
        <f t="shared" si="47"/>
        <v>2750</v>
      </c>
      <c r="BU13" s="68"/>
      <c r="BV13" s="705"/>
      <c r="BW13" s="86"/>
      <c r="BX13" s="86"/>
      <c r="BY13" s="8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39">
        <v>1007</v>
      </c>
      <c r="CM13" s="39" t="str">
        <f>'弹头价值|Dantou'!B7</f>
        <v>5000000</v>
      </c>
      <c r="CN13" s="39"/>
      <c r="CO13" s="720">
        <f t="shared" si="10"/>
        <v>1.1999999999999999E-2</v>
      </c>
      <c r="CP13" s="39">
        <v>1</v>
      </c>
      <c r="CQ13" s="39">
        <v>1</v>
      </c>
      <c r="CR13" s="720">
        <f t="shared" si="11"/>
        <v>1.2E-2</v>
      </c>
      <c r="CS13" s="39"/>
      <c r="CT13" s="62">
        <f t="shared" si="12"/>
        <v>16000</v>
      </c>
      <c r="CU13" s="62">
        <v>0</v>
      </c>
      <c r="CV13" s="62">
        <v>0</v>
      </c>
      <c r="CW13" s="62">
        <v>0</v>
      </c>
      <c r="CX13" s="62">
        <f t="shared" si="13"/>
        <v>24000</v>
      </c>
      <c r="CY13" s="62">
        <v>0</v>
      </c>
      <c r="CZ13" s="62">
        <v>0</v>
      </c>
      <c r="DA13" s="62">
        <v>0</v>
      </c>
      <c r="DB13" s="62">
        <f t="shared" si="14"/>
        <v>40000</v>
      </c>
      <c r="DC13" s="62">
        <v>0</v>
      </c>
      <c r="DD13" s="62">
        <v>0</v>
      </c>
      <c r="DE13" s="62">
        <v>0</v>
      </c>
    </row>
    <row r="14" spans="1:109" x14ac:dyDescent="0.35">
      <c r="A14" s="63">
        <v>1000</v>
      </c>
      <c r="B14" s="39">
        <v>1</v>
      </c>
      <c r="C14" s="39">
        <f t="shared" ref="C14:C24" si="48">C9*10</f>
        <v>10</v>
      </c>
      <c r="D14" s="39">
        <v>0.5</v>
      </c>
      <c r="E14" s="39">
        <v>-1</v>
      </c>
      <c r="F14" s="39">
        <v>1005</v>
      </c>
      <c r="G14" s="39">
        <f t="shared" si="0"/>
        <v>5000000</v>
      </c>
      <c r="H14" s="39">
        <f>A14*75</f>
        <v>75000</v>
      </c>
      <c r="I14" s="39">
        <f t="shared" si="2"/>
        <v>28800</v>
      </c>
      <c r="J14" s="39">
        <f t="shared" si="15"/>
        <v>28800</v>
      </c>
      <c r="K14" s="39">
        <v>200</v>
      </c>
      <c r="L14" s="39">
        <v>100</v>
      </c>
      <c r="M14" s="39">
        <v>10000</v>
      </c>
      <c r="N14" s="39">
        <v>1605</v>
      </c>
      <c r="O14" s="39">
        <v>9600</v>
      </c>
      <c r="P14" s="39">
        <v>9600</v>
      </c>
      <c r="S14" s="39">
        <v>1</v>
      </c>
      <c r="T14" s="39">
        <f t="shared" si="3"/>
        <v>10</v>
      </c>
      <c r="Z14" s="39">
        <f t="shared" si="4"/>
        <v>1.8332999999999999</v>
      </c>
      <c r="AA14" s="39">
        <f t="shared" si="16"/>
        <v>0.94440000000000002</v>
      </c>
      <c r="AB14" s="690" t="str">
        <f t="shared" si="17"/>
        <v>1.5,0.94,1.5,0.94,1.51</v>
      </c>
      <c r="AC14" s="39" t="str">
        <f t="shared" si="5"/>
        <v>1,1,0.015</v>
      </c>
      <c r="AE14" s="39" t="str">
        <f t="shared" si="6"/>
        <v>[[0,0,0],[0,0,0],[0,0,0]]</v>
      </c>
      <c r="AG14" s="13">
        <f>ROUND((0-$AJ$10)/($A14*AI14*60*6)+1,4)</f>
        <v>0.94440000000000002</v>
      </c>
      <c r="AH14" s="14">
        <f t="shared" si="7"/>
        <v>333.59999999999991</v>
      </c>
      <c r="AI14" s="699">
        <f>AI$10*(A$10/A14)</f>
        <v>5</v>
      </c>
      <c r="AL14" s="1">
        <f>ROUND(($AP$6-$AP$5)/(AN14*60*A14*6)+1,4)</f>
        <v>1.8332999999999999</v>
      </c>
      <c r="AM14" s="1">
        <f t="shared" si="8"/>
        <v>4999.7999999999993</v>
      </c>
      <c r="AN14" s="700">
        <f t="shared" si="42"/>
        <v>3</v>
      </c>
      <c r="AO14" s="86" t="s">
        <v>133</v>
      </c>
      <c r="AP14" s="706" t="s">
        <v>101</v>
      </c>
      <c r="AQ14" s="706" t="s">
        <v>134</v>
      </c>
      <c r="AR14" s="86" t="s">
        <v>135</v>
      </c>
      <c r="AS14" s="706" t="s">
        <v>101</v>
      </c>
      <c r="AT14" s="706" t="s">
        <v>134</v>
      </c>
      <c r="AU14" s="86" t="s">
        <v>136</v>
      </c>
      <c r="AV14" s="706" t="s">
        <v>101</v>
      </c>
      <c r="AW14" s="706" t="s">
        <v>134</v>
      </c>
      <c r="AX14" s="86" t="s">
        <v>137</v>
      </c>
      <c r="AY14" s="706" t="s">
        <v>101</v>
      </c>
      <c r="AZ14" s="706" t="s">
        <v>134</v>
      </c>
      <c r="BA14" s="86" t="s">
        <v>138</v>
      </c>
      <c r="BB14" s="706" t="s">
        <v>101</v>
      </c>
      <c r="BC14" s="706" t="s">
        <v>134</v>
      </c>
      <c r="BE14" s="1">
        <f t="shared" si="9"/>
        <v>2440</v>
      </c>
      <c r="BF14" s="712">
        <f t="shared" si="35"/>
        <v>1.5</v>
      </c>
      <c r="BG14" s="6">
        <f t="shared" si="19"/>
        <v>3000</v>
      </c>
      <c r="BH14" s="711">
        <f t="shared" si="43"/>
        <v>20</v>
      </c>
      <c r="BI14" s="6">
        <f t="shared" si="36"/>
        <v>0.94</v>
      </c>
      <c r="BJ14" s="6">
        <f t="shared" si="37"/>
        <v>-360.00000000000034</v>
      </c>
      <c r="BK14" s="711">
        <f t="shared" si="44"/>
        <v>200</v>
      </c>
      <c r="BL14" s="6">
        <f t="shared" si="38"/>
        <v>1.5</v>
      </c>
      <c r="BM14" s="6">
        <f t="shared" si="23"/>
        <v>3000</v>
      </c>
      <c r="BN14" s="711">
        <f t="shared" si="45"/>
        <v>20</v>
      </c>
      <c r="BO14" s="6">
        <f t="shared" si="39"/>
        <v>0.94</v>
      </c>
      <c r="BP14" s="6">
        <f t="shared" si="40"/>
        <v>-360.00000000000034</v>
      </c>
      <c r="BQ14" s="711">
        <f t="shared" si="46"/>
        <v>200</v>
      </c>
      <c r="BR14" s="6">
        <f t="shared" si="41"/>
        <v>1.51</v>
      </c>
      <c r="BS14" s="6">
        <f t="shared" si="27"/>
        <v>3060</v>
      </c>
      <c r="BT14" s="711">
        <f t="shared" si="47"/>
        <v>2000</v>
      </c>
      <c r="CL14" s="39">
        <v>1008</v>
      </c>
      <c r="CM14" s="39" t="str">
        <f>'弹头价值|Dantou'!B8</f>
        <v>10000000</v>
      </c>
      <c r="CN14" s="39"/>
      <c r="CO14" s="720">
        <f t="shared" si="10"/>
        <v>1.4999999999999999E-2</v>
      </c>
      <c r="CP14" s="39">
        <v>1</v>
      </c>
      <c r="CQ14" s="39">
        <v>1</v>
      </c>
      <c r="CR14" s="720">
        <f t="shared" si="11"/>
        <v>1.4999999999999999E-2</v>
      </c>
      <c r="CS14" s="39"/>
      <c r="CT14" s="62">
        <f t="shared" si="12"/>
        <v>20000</v>
      </c>
      <c r="CU14" s="62">
        <v>0</v>
      </c>
      <c r="CV14" s="62">
        <v>0</v>
      </c>
      <c r="CW14" s="62">
        <v>0</v>
      </c>
      <c r="CX14" s="62">
        <f t="shared" si="13"/>
        <v>30000</v>
      </c>
      <c r="CY14" s="62">
        <v>0</v>
      </c>
      <c r="CZ14" s="62">
        <v>0</v>
      </c>
      <c r="DA14" s="62">
        <v>0</v>
      </c>
      <c r="DB14" s="62">
        <f t="shared" si="14"/>
        <v>50000</v>
      </c>
      <c r="DC14" s="62">
        <v>0</v>
      </c>
      <c r="DD14" s="62">
        <v>0</v>
      </c>
      <c r="DE14" s="62">
        <v>0</v>
      </c>
    </row>
    <row r="15" spans="1:109" x14ac:dyDescent="0.35">
      <c r="A15" s="63">
        <v>2000</v>
      </c>
      <c r="B15" s="39">
        <v>1</v>
      </c>
      <c r="C15" s="39">
        <f t="shared" si="48"/>
        <v>20</v>
      </c>
      <c r="D15" s="39">
        <v>0.5</v>
      </c>
      <c r="E15" s="39">
        <v>-1</v>
      </c>
      <c r="F15" s="39">
        <v>1005</v>
      </c>
      <c r="G15" s="39">
        <f t="shared" si="0"/>
        <v>10000000</v>
      </c>
      <c r="H15" s="686">
        <f t="shared" si="1"/>
        <v>300000</v>
      </c>
      <c r="I15" s="39">
        <f t="shared" si="2"/>
        <v>57600</v>
      </c>
      <c r="J15" s="39">
        <f t="shared" si="15"/>
        <v>57600</v>
      </c>
      <c r="K15" s="39">
        <f>K10</f>
        <v>100</v>
      </c>
      <c r="L15" s="39">
        <v>100</v>
      </c>
      <c r="M15" s="39">
        <v>10000</v>
      </c>
      <c r="N15" s="39">
        <v>1606</v>
      </c>
      <c r="O15" s="39">
        <v>9400</v>
      </c>
      <c r="P15" s="39">
        <v>9500</v>
      </c>
      <c r="S15" s="39">
        <v>1</v>
      </c>
      <c r="T15" s="39">
        <f t="shared" si="3"/>
        <v>11</v>
      </c>
      <c r="Z15" s="691" t="str">
        <f>AL15&amp;","&amp;AO15&amp;","&amp;AR15</f>
        <v>1.434,0.9132,0.9597</v>
      </c>
      <c r="AA15" s="39">
        <f t="shared" si="16"/>
        <v>0.94440000000000002</v>
      </c>
      <c r="AB15" s="690" t="str">
        <f t="shared" si="17"/>
        <v>2,0.88,2,0.88,2.02</v>
      </c>
      <c r="AC15" s="39" t="str">
        <f t="shared" si="5"/>
        <v>1,1,0.03</v>
      </c>
      <c r="AE15" s="39" t="str">
        <f t="shared" si="6"/>
        <v>[[0,0,0],[0,0,0],[0,0,0]]</v>
      </c>
      <c r="AG15" s="47">
        <f t="shared" ref="AG15:AG24" si="49">ROUND((0-$AJ$15)/($A15*AI15*60*6)+1,4)</f>
        <v>0.94440000000000002</v>
      </c>
      <c r="AH15" s="48">
        <f t="shared" si="7"/>
        <v>667.19999999999982</v>
      </c>
      <c r="AI15" s="696">
        <v>25</v>
      </c>
      <c r="AJ15" s="39">
        <v>1000000</v>
      </c>
      <c r="AK15" s="39">
        <f>18*60*6</f>
        <v>6480</v>
      </c>
      <c r="AL15" s="1">
        <f>ROUND(($AP$7-$AP$6)/(AN15*60*$A15*6)+1,4)</f>
        <v>1.4339999999999999</v>
      </c>
      <c r="AM15" s="1">
        <f>(AL15-1)*$A20*6</f>
        <v>52079.999999999985</v>
      </c>
      <c r="AN15" s="701">
        <v>1.6</v>
      </c>
      <c r="AO15" s="1">
        <f>ROUND(($AP$8-$AP$7)/(A15*6*60*AQ15)+1,4)</f>
        <v>0.91320000000000001</v>
      </c>
      <c r="AP15" s="1">
        <f>(AO15-1)*$A20*6</f>
        <v>-10415.999999999998</v>
      </c>
      <c r="AQ15" s="701">
        <v>8</v>
      </c>
      <c r="AR15" s="1">
        <f>ROUND(($AP$9-$AP$8)/(AT15*60*A15*6)+1,4)</f>
        <v>0.9597</v>
      </c>
      <c r="AS15" s="1">
        <f>(AR15-1)*$A20*6</f>
        <v>-4836</v>
      </c>
      <c r="AT15" s="701">
        <v>34.5</v>
      </c>
      <c r="AU15" s="1">
        <f>ROUND(($AP$10-$AP$9)/(A15*6*60*AW15)+1,4)</f>
        <v>1</v>
      </c>
      <c r="AV15" s="1">
        <f>(AU15-1)*$A20*6</f>
        <v>0</v>
      </c>
      <c r="AW15" s="701">
        <v>8</v>
      </c>
      <c r="AX15" s="1">
        <f>ROUND(($AP$11-$AP$10)/(AZ15*60*A15*6)+1,4)</f>
        <v>1</v>
      </c>
      <c r="AY15" s="1">
        <f>(AX15-1)*$A20*6</f>
        <v>0</v>
      </c>
      <c r="AZ15" s="701">
        <v>1.6</v>
      </c>
      <c r="BA15" s="1">
        <f>ROUND(($AP$12-$AP$11)/(A15*6*60*BC15)+1,4)</f>
        <v>1</v>
      </c>
      <c r="BB15" s="1">
        <f>(BA15-1)*$A20*6</f>
        <v>0</v>
      </c>
      <c r="BC15" s="701">
        <f>AW15/3*2</f>
        <v>5.333333333333333</v>
      </c>
      <c r="BE15" s="1">
        <f t="shared" si="9"/>
        <v>6100</v>
      </c>
      <c r="BF15" s="712">
        <f>ROUND((BH$3)/(BH15*$A15)+1,4)</f>
        <v>2</v>
      </c>
      <c r="BG15" s="6">
        <f t="shared" si="19"/>
        <v>12000</v>
      </c>
      <c r="BH15" s="714">
        <f>BH5</f>
        <v>50</v>
      </c>
      <c r="BI15" s="6">
        <f>ROUND((-BK$3)/(BK15*$A15)+1,4)</f>
        <v>0.88</v>
      </c>
      <c r="BJ15" s="6">
        <f t="shared" si="37"/>
        <v>-1440</v>
      </c>
      <c r="BK15" s="714">
        <f>BK5</f>
        <v>500</v>
      </c>
      <c r="BL15" s="6">
        <f>ROUND((BN$3)/(BN15*$A15)+1,4)</f>
        <v>2</v>
      </c>
      <c r="BM15" s="6">
        <f t="shared" si="23"/>
        <v>12000</v>
      </c>
      <c r="BN15" s="714">
        <f>BN5</f>
        <v>50</v>
      </c>
      <c r="BO15" s="6">
        <f>ROUND((-BQ$3)/(BQ15*$A15)+1,4)</f>
        <v>0.88</v>
      </c>
      <c r="BP15" s="6">
        <f t="shared" si="40"/>
        <v>-1440</v>
      </c>
      <c r="BQ15" s="714">
        <f>BQ5</f>
        <v>500</v>
      </c>
      <c r="BR15" s="6">
        <f>ROUND((BT$3)/(BT15*$A15)+1,4)</f>
        <v>2.02</v>
      </c>
      <c r="BS15" s="6">
        <f t="shared" si="27"/>
        <v>12240</v>
      </c>
      <c r="BT15" s="714">
        <f>BT5</f>
        <v>5000</v>
      </c>
      <c r="CN15" s="39"/>
      <c r="CO15" s="720">
        <f t="shared" si="10"/>
        <v>0.03</v>
      </c>
      <c r="CP15" s="39">
        <v>1</v>
      </c>
      <c r="CQ15" s="39">
        <v>1</v>
      </c>
      <c r="CR15" s="720">
        <f t="shared" si="11"/>
        <v>0.03</v>
      </c>
      <c r="CS15" s="39"/>
      <c r="CT15" s="62">
        <f t="shared" si="12"/>
        <v>40000</v>
      </c>
      <c r="CU15" s="62">
        <v>0</v>
      </c>
      <c r="CV15" s="62">
        <v>0</v>
      </c>
      <c r="CW15" s="62">
        <v>0</v>
      </c>
      <c r="CX15" s="62">
        <f t="shared" si="13"/>
        <v>60000</v>
      </c>
      <c r="CY15" s="62">
        <v>0</v>
      </c>
      <c r="CZ15" s="62">
        <v>0</v>
      </c>
      <c r="DA15" s="62">
        <v>0</v>
      </c>
      <c r="DB15" s="62">
        <f t="shared" si="14"/>
        <v>100000</v>
      </c>
      <c r="DC15" s="62">
        <v>0</v>
      </c>
      <c r="DD15" s="62">
        <v>0</v>
      </c>
      <c r="DE15" s="62">
        <v>0</v>
      </c>
    </row>
    <row r="16" spans="1:109" x14ac:dyDescent="0.35">
      <c r="A16" s="63">
        <v>4000</v>
      </c>
      <c r="B16" s="39">
        <v>1</v>
      </c>
      <c r="C16" s="39">
        <f t="shared" si="48"/>
        <v>40</v>
      </c>
      <c r="D16" s="39">
        <v>0.5</v>
      </c>
      <c r="E16" s="39">
        <v>-1</v>
      </c>
      <c r="F16" s="39">
        <v>1005</v>
      </c>
      <c r="G16" s="39">
        <f t="shared" si="0"/>
        <v>20000000</v>
      </c>
      <c r="H16" s="686">
        <f>A16*120</f>
        <v>480000</v>
      </c>
      <c r="I16" s="39">
        <f t="shared" si="2"/>
        <v>115200</v>
      </c>
      <c r="J16" s="39">
        <f t="shared" si="15"/>
        <v>115200</v>
      </c>
      <c r="K16" s="39">
        <f t="shared" ref="K16:K24" si="50">K11</f>
        <v>120</v>
      </c>
      <c r="L16" s="39">
        <v>100</v>
      </c>
      <c r="M16" s="39">
        <v>6250</v>
      </c>
      <c r="N16" s="39">
        <v>1606</v>
      </c>
      <c r="O16" s="39">
        <v>9400</v>
      </c>
      <c r="P16" s="39">
        <v>9500</v>
      </c>
      <c r="S16" s="39">
        <v>1</v>
      </c>
      <c r="T16" s="39">
        <f t="shared" si="3"/>
        <v>12</v>
      </c>
      <c r="Z16" s="691" t="str">
        <f t="shared" ref="Z16:Z19" si="51">AL16&amp;","&amp;AO16&amp;","&amp;AR16</f>
        <v>1.2395,0.9504,0.9597</v>
      </c>
      <c r="AA16" s="39">
        <f t="shared" si="16"/>
        <v>0.94440000000000002</v>
      </c>
      <c r="AB16" s="690" t="str">
        <f t="shared" si="17"/>
        <v>1.5882,0.9294,1.5882,0.9294,1.6</v>
      </c>
      <c r="AC16" s="39" t="str">
        <f t="shared" si="5"/>
        <v>2,1,0.03</v>
      </c>
      <c r="AE16" s="39" t="str">
        <f t="shared" si="6"/>
        <v>[[0,0,0],[0,0,0],[0,0,0]]</v>
      </c>
      <c r="AG16" s="10">
        <f t="shared" si="49"/>
        <v>0.94440000000000002</v>
      </c>
      <c r="AH16" s="11">
        <f t="shared" si="7"/>
        <v>1334.3999999999996</v>
      </c>
      <c r="AI16" s="697">
        <f>AI$15*(A$15/A16)</f>
        <v>12.5</v>
      </c>
      <c r="AL16" s="1">
        <f>ROUND(($AP$7-$AP$6)/(AN16*60*$A16*6)+1,4)</f>
        <v>1.2395</v>
      </c>
      <c r="AM16" s="1">
        <f>(AL16-1)*$A21*6</f>
        <v>57480.000000000015</v>
      </c>
      <c r="AN16" s="701">
        <v>1.45</v>
      </c>
      <c r="AO16" s="1">
        <f>ROUND(($AP$8-$AP$7)/(A16*6*60*AQ16)+1,4)</f>
        <v>0.95040000000000002</v>
      </c>
      <c r="AP16" s="1">
        <f>(AO16-1)*$A21*6</f>
        <v>-11903.999999999995</v>
      </c>
      <c r="AQ16" s="701">
        <v>7</v>
      </c>
      <c r="AR16" s="1">
        <f>ROUND(($AP$9-$AP$8)/(AT16*60*A16*6)+1,4)</f>
        <v>0.9597</v>
      </c>
      <c r="AS16" s="1">
        <f>(AR16-1)*$A21*6</f>
        <v>-9672</v>
      </c>
      <c r="AT16" s="701">
        <f>AT15/2</f>
        <v>17.25</v>
      </c>
      <c r="AU16" s="1">
        <f>ROUND(($AP$10-$AP$9)/(A16*6*60*AW16)+1,4)</f>
        <v>1</v>
      </c>
      <c r="AV16" s="1">
        <f>(AU16-1)*$A21*6</f>
        <v>0</v>
      </c>
      <c r="AW16" s="701">
        <v>7</v>
      </c>
      <c r="AX16" s="1">
        <f>ROUND(($AP$11-$AP$10)/(AZ16*60*A16*6)+1,4)</f>
        <v>1</v>
      </c>
      <c r="AY16" s="1">
        <f>(AX16-1)*$A21*6</f>
        <v>0</v>
      </c>
      <c r="AZ16" s="701">
        <v>1.45</v>
      </c>
      <c r="BA16" s="1">
        <f>ROUND(($AP$12-$AP$11)/(A16*6*60*BC16)+1,4)</f>
        <v>1</v>
      </c>
      <c r="BB16" s="1">
        <f>(BA16-1)*$A21*6</f>
        <v>0</v>
      </c>
      <c r="BC16" s="701">
        <f t="shared" ref="BC16:BC19" si="52">AW16/3*2</f>
        <v>4.666666666666667</v>
      </c>
      <c r="BE16" s="1">
        <f t="shared" si="9"/>
        <v>5185</v>
      </c>
      <c r="BF16" s="712">
        <f t="shared" ref="BF16:BF19" si="53">ROUND((BH$3)/(BH16*$A16)+1,4)</f>
        <v>1.5882000000000001</v>
      </c>
      <c r="BG16" s="6">
        <f t="shared" si="19"/>
        <v>14116.800000000001</v>
      </c>
      <c r="BH16" s="711">
        <f>BH15-7.5</f>
        <v>42.5</v>
      </c>
      <c r="BI16" s="6">
        <f t="shared" ref="BI16:BI19" si="54">ROUND((-BK$3)/(BK16*$A16)+1,4)</f>
        <v>0.9294</v>
      </c>
      <c r="BJ16" s="6">
        <f t="shared" ref="BJ16:BJ19" si="55">(BI16-1)*$A16*6</f>
        <v>-1694.3999999999999</v>
      </c>
      <c r="BK16" s="711">
        <f>BK15-75</f>
        <v>425</v>
      </c>
      <c r="BL16" s="6">
        <f t="shared" ref="BL16:BL19" si="56">ROUND((BN$3)/(BN16*$A16)+1,4)</f>
        <v>1.5882000000000001</v>
      </c>
      <c r="BM16" s="6">
        <f t="shared" si="23"/>
        <v>14116.800000000001</v>
      </c>
      <c r="BN16" s="711">
        <f>BN15-7.5</f>
        <v>42.5</v>
      </c>
      <c r="BO16" s="6">
        <f t="shared" ref="BO16:BO19" si="57">ROUND((-BQ$3)/(BQ16*$A16)+1,4)</f>
        <v>0.9294</v>
      </c>
      <c r="BP16" s="6">
        <f t="shared" ref="BP16:BP19" si="58">(BO16-1)*$A16*6</f>
        <v>-1694.3999999999999</v>
      </c>
      <c r="BQ16" s="711">
        <f>BQ15-75</f>
        <v>425</v>
      </c>
      <c r="BR16" s="6">
        <f t="shared" ref="BR16:BR19" si="59">ROUND((BT$3)/(BT16*$A16)+1,4)</f>
        <v>1.6</v>
      </c>
      <c r="BS16" s="6">
        <f t="shared" si="27"/>
        <v>14400.000000000004</v>
      </c>
      <c r="BT16" s="711">
        <f>BT15-750</f>
        <v>4250</v>
      </c>
      <c r="CN16" s="39"/>
      <c r="CO16" s="720">
        <f t="shared" si="10"/>
        <v>0.06</v>
      </c>
      <c r="CP16" s="39">
        <v>2</v>
      </c>
      <c r="CQ16" s="39">
        <v>1</v>
      </c>
      <c r="CR16" s="720">
        <f t="shared" si="11"/>
        <v>0.03</v>
      </c>
      <c r="CS16" s="39"/>
      <c r="CT16" s="62">
        <f t="shared" si="12"/>
        <v>80000</v>
      </c>
      <c r="CU16" s="62">
        <v>0</v>
      </c>
      <c r="CV16" s="62">
        <v>0</v>
      </c>
      <c r="CW16" s="62">
        <v>0</v>
      </c>
      <c r="CX16" s="62">
        <f t="shared" si="13"/>
        <v>120000</v>
      </c>
      <c r="CY16" s="62">
        <v>0</v>
      </c>
      <c r="CZ16" s="62">
        <v>0</v>
      </c>
      <c r="DA16" s="62">
        <v>0</v>
      </c>
      <c r="DB16" s="62">
        <f t="shared" si="14"/>
        <v>200000</v>
      </c>
      <c r="DC16" s="62">
        <v>0</v>
      </c>
      <c r="DD16" s="62">
        <v>0</v>
      </c>
      <c r="DE16" s="62">
        <v>0</v>
      </c>
    </row>
    <row r="17" spans="1:109" x14ac:dyDescent="0.35">
      <c r="A17" s="63">
        <v>6000</v>
      </c>
      <c r="B17" s="39">
        <v>1</v>
      </c>
      <c r="C17" s="39">
        <f t="shared" si="48"/>
        <v>60</v>
      </c>
      <c r="D17" s="39">
        <v>0.5</v>
      </c>
      <c r="E17" s="39">
        <v>-1</v>
      </c>
      <c r="F17" s="39">
        <v>1005</v>
      </c>
      <c r="G17" s="39">
        <f t="shared" si="0"/>
        <v>30000000</v>
      </c>
      <c r="H17" s="686">
        <f>A17*100</f>
        <v>600000</v>
      </c>
      <c r="I17" s="39">
        <f t="shared" si="2"/>
        <v>172800</v>
      </c>
      <c r="J17" s="39">
        <f t="shared" si="15"/>
        <v>172800</v>
      </c>
      <c r="K17" s="39">
        <f t="shared" si="50"/>
        <v>150</v>
      </c>
      <c r="L17" s="39">
        <v>100</v>
      </c>
      <c r="M17" s="39">
        <v>4166</v>
      </c>
      <c r="N17" s="39">
        <v>1606</v>
      </c>
      <c r="O17" s="39">
        <v>9300</v>
      </c>
      <c r="P17" s="39">
        <v>9400</v>
      </c>
      <c r="S17" s="39">
        <v>1</v>
      </c>
      <c r="T17" s="39">
        <f t="shared" si="3"/>
        <v>13</v>
      </c>
      <c r="Z17" s="691" t="str">
        <f t="shared" si="51"/>
        <v>1.1781,0.9614,0.9597</v>
      </c>
      <c r="AA17" s="39">
        <f t="shared" si="16"/>
        <v>0.94440000000000002</v>
      </c>
      <c r="AB17" s="690" t="str">
        <f t="shared" si="17"/>
        <v>1.4762,0.9429,1.4762,0.9429,1.4857</v>
      </c>
      <c r="AC17" s="39" t="str">
        <f t="shared" si="5"/>
        <v>2,1,0.045</v>
      </c>
      <c r="AE17" s="39" t="str">
        <f t="shared" si="6"/>
        <v>[[0,0,0],[0,0,0],[0,0,0]]</v>
      </c>
      <c r="AG17" s="10">
        <f t="shared" si="49"/>
        <v>0.94440000000000002</v>
      </c>
      <c r="AH17" s="11">
        <f t="shared" si="7"/>
        <v>2001.5999999999995</v>
      </c>
      <c r="AI17" s="698">
        <f>AI$15*(A$15/A17)</f>
        <v>8.3333333333333321</v>
      </c>
      <c r="AL17" s="1">
        <f>ROUND(($AP$7-$AP$6)/(AN17*60*$A17*6)+1,4)</f>
        <v>1.1780999999999999</v>
      </c>
      <c r="AM17" s="1">
        <f>(AL17-1)*$A22*6</f>
        <v>64115.999999999978</v>
      </c>
      <c r="AN17" s="701">
        <v>1.3</v>
      </c>
      <c r="AO17" s="1">
        <f>ROUND(($AP$8-$AP$7)/(A17*6*60*AQ17)+1,4)</f>
        <v>0.96140000000000003</v>
      </c>
      <c r="AP17" s="1">
        <f>(AO17-1)*$A22*6</f>
        <v>-13895.999999999989</v>
      </c>
      <c r="AQ17" s="701">
        <v>6</v>
      </c>
      <c r="AR17" s="1">
        <f>ROUND(($AP$9-$AP$8)/(AT17*60*A17*6)+1,4)</f>
        <v>0.9597</v>
      </c>
      <c r="AS17" s="1">
        <f>(AR17-1)*$A22*6</f>
        <v>-14508</v>
      </c>
      <c r="AT17" s="701">
        <f>AT15/3</f>
        <v>11.5</v>
      </c>
      <c r="AU17" s="1">
        <f>ROUND(($AP$10-$AP$9)/(A17*6*60*AW17)+1,4)</f>
        <v>1</v>
      </c>
      <c r="AV17" s="1">
        <f>(AU17-1)*$A22*6</f>
        <v>0</v>
      </c>
      <c r="AW17" s="701">
        <v>6</v>
      </c>
      <c r="AX17" s="1">
        <f>ROUND(($AP$11-$AP$10)/(AZ17*60*A17*6)+1,4)</f>
        <v>1</v>
      </c>
      <c r="AY17" s="1">
        <f>(AX17-1)*$A22*6</f>
        <v>0</v>
      </c>
      <c r="AZ17" s="701">
        <v>1.3</v>
      </c>
      <c r="BA17" s="1">
        <f>ROUND(($AP$12-$AP$11)/(A17*6*60*BC17)+1,4)</f>
        <v>1</v>
      </c>
      <c r="BB17" s="1">
        <f>(BA17-1)*$A22*6</f>
        <v>0</v>
      </c>
      <c r="BC17" s="701">
        <f t="shared" si="52"/>
        <v>4</v>
      </c>
      <c r="BE17" s="1">
        <f t="shared" si="9"/>
        <v>4270</v>
      </c>
      <c r="BF17" s="712">
        <f t="shared" si="53"/>
        <v>1.4762</v>
      </c>
      <c r="BG17" s="6">
        <f t="shared" si="19"/>
        <v>17143.199999999997</v>
      </c>
      <c r="BH17" s="711">
        <f t="shared" ref="BH17:BH19" si="60">BH16-7.5</f>
        <v>35</v>
      </c>
      <c r="BI17" s="6">
        <f t="shared" si="54"/>
        <v>0.94289999999999996</v>
      </c>
      <c r="BJ17" s="6">
        <f t="shared" si="55"/>
        <v>-2055.6000000000013</v>
      </c>
      <c r="BK17" s="711">
        <f t="shared" ref="BK17:BK19" si="61">BK16-75</f>
        <v>350</v>
      </c>
      <c r="BL17" s="6">
        <f t="shared" si="56"/>
        <v>1.4762</v>
      </c>
      <c r="BM17" s="6">
        <f t="shared" si="23"/>
        <v>17143.199999999997</v>
      </c>
      <c r="BN17" s="711">
        <f t="shared" ref="BN17:BN19" si="62">BN16-7.5</f>
        <v>35</v>
      </c>
      <c r="BO17" s="6">
        <f t="shared" si="57"/>
        <v>0.94289999999999996</v>
      </c>
      <c r="BP17" s="6">
        <f t="shared" si="58"/>
        <v>-2055.6000000000013</v>
      </c>
      <c r="BQ17" s="711">
        <f t="shared" ref="BQ17:BQ19" si="63">BQ16-75</f>
        <v>350</v>
      </c>
      <c r="BR17" s="6">
        <f t="shared" si="59"/>
        <v>1.4857</v>
      </c>
      <c r="BS17" s="6">
        <f t="shared" si="27"/>
        <v>17485.2</v>
      </c>
      <c r="BT17" s="711">
        <f t="shared" ref="BT17:BT19" si="64">BT16-750</f>
        <v>3500</v>
      </c>
      <c r="CN17" s="39"/>
      <c r="CO17" s="720">
        <f t="shared" si="10"/>
        <v>0.09</v>
      </c>
      <c r="CP17" s="39">
        <v>2</v>
      </c>
      <c r="CQ17" s="39">
        <v>1</v>
      </c>
      <c r="CR17" s="720">
        <f t="shared" si="11"/>
        <v>4.4999999999999998E-2</v>
      </c>
      <c r="CS17" s="39"/>
      <c r="CT17" s="62">
        <f t="shared" si="12"/>
        <v>120000</v>
      </c>
      <c r="CU17" s="62">
        <v>0</v>
      </c>
      <c r="CV17" s="62">
        <v>0</v>
      </c>
      <c r="CW17" s="62">
        <v>0</v>
      </c>
      <c r="CX17" s="62">
        <f t="shared" si="13"/>
        <v>180000</v>
      </c>
      <c r="CY17" s="62">
        <v>0</v>
      </c>
      <c r="CZ17" s="62">
        <v>0</v>
      </c>
      <c r="DA17" s="62">
        <v>0</v>
      </c>
      <c r="DB17" s="62">
        <f t="shared" si="14"/>
        <v>300000</v>
      </c>
      <c r="DC17" s="62">
        <v>0</v>
      </c>
      <c r="DD17" s="62">
        <v>0</v>
      </c>
      <c r="DE17" s="62">
        <v>0</v>
      </c>
    </row>
    <row r="18" spans="1:109" x14ac:dyDescent="0.35">
      <c r="A18" s="63">
        <v>8000</v>
      </c>
      <c r="B18" s="39">
        <v>1</v>
      </c>
      <c r="C18" s="39">
        <f t="shared" si="48"/>
        <v>80</v>
      </c>
      <c r="D18" s="39">
        <v>0.5</v>
      </c>
      <c r="E18" s="39">
        <v>-1</v>
      </c>
      <c r="F18" s="39">
        <v>1005</v>
      </c>
      <c r="G18" s="39">
        <f t="shared" si="0"/>
        <v>40000000</v>
      </c>
      <c r="H18" s="686">
        <f>A18*85</f>
        <v>680000</v>
      </c>
      <c r="I18" s="39">
        <f t="shared" si="2"/>
        <v>230400</v>
      </c>
      <c r="J18" s="39">
        <f t="shared" si="15"/>
        <v>230400</v>
      </c>
      <c r="K18" s="39">
        <f t="shared" si="50"/>
        <v>170</v>
      </c>
      <c r="L18" s="39">
        <v>100</v>
      </c>
      <c r="M18" s="39">
        <v>3124</v>
      </c>
      <c r="N18" s="39">
        <v>1606</v>
      </c>
      <c r="O18" s="39">
        <v>9300</v>
      </c>
      <c r="P18" s="39">
        <v>9400</v>
      </c>
      <c r="S18" s="39">
        <v>1</v>
      </c>
      <c r="T18" s="39">
        <f t="shared" si="3"/>
        <v>14</v>
      </c>
      <c r="Z18" s="691" t="str">
        <f t="shared" si="51"/>
        <v>1.151,0.9653,0.9597</v>
      </c>
      <c r="AA18" s="39">
        <f t="shared" si="16"/>
        <v>0.94440000000000002</v>
      </c>
      <c r="AB18" s="690" t="str">
        <f t="shared" si="17"/>
        <v>1.4545,0.9455,1.4545,0.9455,1.4636</v>
      </c>
      <c r="AC18" s="39" t="str">
        <f t="shared" si="5"/>
        <v>3,1,0.04</v>
      </c>
      <c r="AE18" s="39" t="str">
        <f t="shared" si="6"/>
        <v>[[0,0,0],[0,0,0],[0,0,0]]</v>
      </c>
      <c r="AG18" s="10">
        <f t="shared" si="49"/>
        <v>0.94440000000000002</v>
      </c>
      <c r="AH18" s="11">
        <f t="shared" si="7"/>
        <v>2668.7999999999993</v>
      </c>
      <c r="AI18" s="697">
        <f>AI$15*(A$15/A18)</f>
        <v>6.25</v>
      </c>
      <c r="AL18" s="1">
        <f>ROUND(($AP$7-$AP$6)/(AN18*60*$A18*6)+1,4)</f>
        <v>1.151</v>
      </c>
      <c r="AM18" s="1">
        <f>(AL18-1)*$A23*6</f>
        <v>72480.000000000015</v>
      </c>
      <c r="AN18" s="701">
        <v>1.1499999999999999</v>
      </c>
      <c r="AO18" s="1">
        <f>ROUND(($AP$8-$AP$7)/(A18*6*60*AQ18)+1,4)</f>
        <v>0.96530000000000005</v>
      </c>
      <c r="AP18" s="1">
        <f>(AO18-1)*$A23*6</f>
        <v>-16655.999999999978</v>
      </c>
      <c r="AQ18" s="701">
        <v>5</v>
      </c>
      <c r="AR18" s="1">
        <f>ROUND(($AP$9-$AP$8)/(AT18*60*A18*6)+1,4)</f>
        <v>0.9597</v>
      </c>
      <c r="AS18" s="1">
        <f>(AR18-1)*$A23*6</f>
        <v>-19344</v>
      </c>
      <c r="AT18" s="701">
        <f>AT15/4</f>
        <v>8.625</v>
      </c>
      <c r="AU18" s="1">
        <f>ROUND(($AP$10-$AP$9)/(A18*6*60*AW18)+1,4)</f>
        <v>1</v>
      </c>
      <c r="AV18" s="1">
        <f>(AU18-1)*$A23*6</f>
        <v>0</v>
      </c>
      <c r="AW18" s="701">
        <v>5</v>
      </c>
      <c r="AX18" s="1">
        <f>ROUND(($AP$11-$AP$10)/(AZ18*60*A18*6)+1,4)</f>
        <v>1</v>
      </c>
      <c r="AY18" s="1">
        <f>(AX18-1)*$A23*6</f>
        <v>0</v>
      </c>
      <c r="AZ18" s="701">
        <v>1.1499999999999999</v>
      </c>
      <c r="BA18" s="1">
        <f>ROUND(($AP$12-$AP$11)/(A18*6*60*BC18)+1,4)</f>
        <v>1</v>
      </c>
      <c r="BB18" s="1">
        <f>(BA18-1)*$A23*6</f>
        <v>0</v>
      </c>
      <c r="BC18" s="701">
        <f t="shared" si="52"/>
        <v>3.3333333333333335</v>
      </c>
      <c r="BE18" s="1">
        <f t="shared" si="9"/>
        <v>3355</v>
      </c>
      <c r="BF18" s="712">
        <f t="shared" si="53"/>
        <v>1.4544999999999999</v>
      </c>
      <c r="BG18" s="6">
        <f t="shared" si="19"/>
        <v>21815.999999999993</v>
      </c>
      <c r="BH18" s="711">
        <f t="shared" si="60"/>
        <v>27.5</v>
      </c>
      <c r="BI18" s="6">
        <f t="shared" si="54"/>
        <v>0.94550000000000001</v>
      </c>
      <c r="BJ18" s="6">
        <f t="shared" si="55"/>
        <v>-2615.9999999999995</v>
      </c>
      <c r="BK18" s="711">
        <f t="shared" si="61"/>
        <v>275</v>
      </c>
      <c r="BL18" s="6">
        <f t="shared" si="56"/>
        <v>1.4544999999999999</v>
      </c>
      <c r="BM18" s="6">
        <f t="shared" si="23"/>
        <v>21815.999999999993</v>
      </c>
      <c r="BN18" s="711">
        <f t="shared" si="62"/>
        <v>27.5</v>
      </c>
      <c r="BO18" s="6">
        <f t="shared" si="57"/>
        <v>0.94550000000000001</v>
      </c>
      <c r="BP18" s="6">
        <f t="shared" si="58"/>
        <v>-2615.9999999999995</v>
      </c>
      <c r="BQ18" s="711">
        <f t="shared" si="63"/>
        <v>275</v>
      </c>
      <c r="BR18" s="6">
        <f t="shared" si="59"/>
        <v>1.4636</v>
      </c>
      <c r="BS18" s="6">
        <f t="shared" si="27"/>
        <v>22252.800000000003</v>
      </c>
      <c r="BT18" s="711">
        <f t="shared" si="64"/>
        <v>2750</v>
      </c>
      <c r="CN18" s="39"/>
      <c r="CO18" s="720">
        <f t="shared" si="10"/>
        <v>0.12</v>
      </c>
      <c r="CP18" s="39">
        <v>3</v>
      </c>
      <c r="CQ18" s="39">
        <v>1</v>
      </c>
      <c r="CR18" s="720">
        <f t="shared" si="11"/>
        <v>0.04</v>
      </c>
      <c r="CS18" s="39"/>
      <c r="CT18" s="62">
        <f t="shared" si="12"/>
        <v>160000</v>
      </c>
      <c r="CU18" s="62">
        <v>0</v>
      </c>
      <c r="CV18" s="62">
        <v>0</v>
      </c>
      <c r="CW18" s="62">
        <v>0</v>
      </c>
      <c r="CX18" s="62">
        <f t="shared" si="13"/>
        <v>240000</v>
      </c>
      <c r="CY18" s="62">
        <v>0</v>
      </c>
      <c r="CZ18" s="62">
        <v>0</v>
      </c>
      <c r="DA18" s="62">
        <v>0</v>
      </c>
      <c r="DB18" s="62">
        <f t="shared" si="14"/>
        <v>400000</v>
      </c>
      <c r="DC18" s="62">
        <v>0</v>
      </c>
      <c r="DD18" s="62">
        <v>0</v>
      </c>
      <c r="DE18" s="62">
        <v>0</v>
      </c>
    </row>
    <row r="19" spans="1:109" x14ac:dyDescent="0.35">
      <c r="A19" s="63">
        <v>10000</v>
      </c>
      <c r="B19" s="39">
        <v>1</v>
      </c>
      <c r="C19" s="39">
        <f t="shared" si="48"/>
        <v>100</v>
      </c>
      <c r="D19" s="39">
        <v>0.5</v>
      </c>
      <c r="E19" s="39">
        <v>-1</v>
      </c>
      <c r="F19" s="39">
        <v>1005</v>
      </c>
      <c r="G19" s="39">
        <f t="shared" si="0"/>
        <v>50000000</v>
      </c>
      <c r="H19" s="686">
        <f>A19*75</f>
        <v>750000</v>
      </c>
      <c r="I19" s="39">
        <f t="shared" si="2"/>
        <v>288000</v>
      </c>
      <c r="J19" s="39">
        <f t="shared" si="15"/>
        <v>288000</v>
      </c>
      <c r="K19" s="39">
        <f t="shared" si="50"/>
        <v>200</v>
      </c>
      <c r="L19" s="39">
        <v>100</v>
      </c>
      <c r="M19" s="39">
        <v>2499</v>
      </c>
      <c r="N19" s="39">
        <v>1606</v>
      </c>
      <c r="O19" s="39">
        <v>9300</v>
      </c>
      <c r="P19" s="39">
        <v>9300</v>
      </c>
      <c r="S19" s="39">
        <v>1</v>
      </c>
      <c r="T19" s="39">
        <f t="shared" si="3"/>
        <v>15</v>
      </c>
      <c r="Z19" s="691" t="str">
        <f t="shared" si="51"/>
        <v>1.1389,0.9653,0.9597</v>
      </c>
      <c r="AA19" s="39">
        <f t="shared" si="16"/>
        <v>0.94440000000000002</v>
      </c>
      <c r="AB19" s="690" t="str">
        <f t="shared" si="17"/>
        <v>1.5,0.94,1.5,0.94,1.51</v>
      </c>
      <c r="AC19" s="39" t="str">
        <f t="shared" si="5"/>
        <v>4,1,0.0375</v>
      </c>
      <c r="AE19" s="39" t="str">
        <f t="shared" si="6"/>
        <v>[[0,0,0],[0,0,0],[0,0,0]]</v>
      </c>
      <c r="AG19" s="13">
        <f t="shared" si="49"/>
        <v>0.94440000000000002</v>
      </c>
      <c r="AH19" s="14">
        <f t="shared" si="7"/>
        <v>3335.9999999999986</v>
      </c>
      <c r="AI19" s="699">
        <f>AI$15*(A$15/A19)</f>
        <v>5</v>
      </c>
      <c r="AL19" s="1">
        <f>ROUND(($AP$7-$AP$6)/(AN19*60*$A19*6)+1,4)</f>
        <v>1.1389</v>
      </c>
      <c r="AM19" s="1">
        <f>(AL19-1)*$A24*6</f>
        <v>83340.000000000015</v>
      </c>
      <c r="AN19" s="701">
        <v>1</v>
      </c>
      <c r="AO19" s="1">
        <f>ROUND(($AP$8-$AP$7)/(A19*6*60*AQ19)+1,4)</f>
        <v>0.96530000000000005</v>
      </c>
      <c r="AP19" s="1">
        <f>(AO19-1)*$A24*6</f>
        <v>-20819.999999999971</v>
      </c>
      <c r="AQ19" s="701">
        <v>4</v>
      </c>
      <c r="AR19" s="1">
        <f>ROUND(($AP$9-$AP$8)/(AT19*60*A19*6)+1,4)</f>
        <v>0.9597</v>
      </c>
      <c r="AS19" s="1">
        <f>(AR19-1)*$A24*6</f>
        <v>-24180.000000000004</v>
      </c>
      <c r="AT19" s="701">
        <f>AT15/5</f>
        <v>6.9</v>
      </c>
      <c r="AU19" s="1">
        <f>ROUND(($AP$10-$AP$9)/(A19*6*60*AW19)+1,4)</f>
        <v>1</v>
      </c>
      <c r="AV19" s="1">
        <f>(AU19-1)*$A24*6</f>
        <v>0</v>
      </c>
      <c r="AW19" s="701">
        <v>4</v>
      </c>
      <c r="AX19" s="1">
        <f>ROUND(($AP$11-$AP$10)/(AZ19*60*A19*6)+1,4)</f>
        <v>1</v>
      </c>
      <c r="AY19" s="1">
        <f>(AX19-1)*$A24*6</f>
        <v>0</v>
      </c>
      <c r="AZ19" s="701">
        <v>1</v>
      </c>
      <c r="BA19" s="1">
        <f>ROUND(($AP$12-$AP$11)/(A19*6*60*BC19)+1,4)</f>
        <v>1</v>
      </c>
      <c r="BB19" s="1">
        <f>(BA19-1)*$A24*6</f>
        <v>0</v>
      </c>
      <c r="BC19" s="701">
        <f t="shared" si="52"/>
        <v>2.6666666666666665</v>
      </c>
      <c r="BE19" s="1">
        <f t="shared" si="9"/>
        <v>2440</v>
      </c>
      <c r="BF19" s="712">
        <f t="shared" si="53"/>
        <v>1.5</v>
      </c>
      <c r="BG19" s="6">
        <f t="shared" si="19"/>
        <v>30000</v>
      </c>
      <c r="BH19" s="711">
        <f t="shared" si="60"/>
        <v>20</v>
      </c>
      <c r="BI19" s="6">
        <f t="shared" si="54"/>
        <v>0.94</v>
      </c>
      <c r="BJ19" s="6">
        <f t="shared" si="55"/>
        <v>-3600.0000000000036</v>
      </c>
      <c r="BK19" s="711">
        <f t="shared" si="61"/>
        <v>200</v>
      </c>
      <c r="BL19" s="6">
        <f t="shared" si="56"/>
        <v>1.5</v>
      </c>
      <c r="BM19" s="6">
        <f t="shared" si="23"/>
        <v>30000</v>
      </c>
      <c r="BN19" s="711">
        <f t="shared" si="62"/>
        <v>20</v>
      </c>
      <c r="BO19" s="6">
        <f t="shared" si="57"/>
        <v>0.94</v>
      </c>
      <c r="BP19" s="6">
        <f t="shared" si="58"/>
        <v>-3600.0000000000036</v>
      </c>
      <c r="BQ19" s="711">
        <f t="shared" si="63"/>
        <v>200</v>
      </c>
      <c r="BR19" s="6">
        <f t="shared" si="59"/>
        <v>1.51</v>
      </c>
      <c r="BS19" s="6">
        <f t="shared" si="27"/>
        <v>30600</v>
      </c>
      <c r="BT19" s="711">
        <f t="shared" si="64"/>
        <v>2000</v>
      </c>
      <c r="CN19" s="39"/>
      <c r="CO19" s="720">
        <f t="shared" si="10"/>
        <v>0.15</v>
      </c>
      <c r="CP19" s="39">
        <v>4</v>
      </c>
      <c r="CQ19" s="39">
        <v>1</v>
      </c>
      <c r="CR19" s="720">
        <f t="shared" si="11"/>
        <v>3.7499999999999999E-2</v>
      </c>
      <c r="CS19" s="39"/>
      <c r="CT19" s="62">
        <f t="shared" si="12"/>
        <v>200000</v>
      </c>
      <c r="CU19" s="62">
        <v>0</v>
      </c>
      <c r="CV19" s="62">
        <v>0</v>
      </c>
      <c r="CW19" s="62">
        <v>0</v>
      </c>
      <c r="CX19" s="62">
        <f t="shared" si="13"/>
        <v>300000</v>
      </c>
      <c r="CY19" s="62">
        <v>0</v>
      </c>
      <c r="CZ19" s="62">
        <v>0</v>
      </c>
      <c r="DA19" s="62">
        <v>0</v>
      </c>
      <c r="DB19" s="62">
        <f t="shared" si="14"/>
        <v>500000</v>
      </c>
      <c r="DC19" s="62">
        <v>0</v>
      </c>
      <c r="DD19" s="62">
        <v>0</v>
      </c>
      <c r="DE19" s="62">
        <v>0</v>
      </c>
    </row>
    <row r="20" spans="1:109" x14ac:dyDescent="0.35">
      <c r="A20" s="63">
        <v>20000</v>
      </c>
      <c r="B20" s="39">
        <v>1</v>
      </c>
      <c r="C20" s="39">
        <f t="shared" si="48"/>
        <v>200</v>
      </c>
      <c r="D20" s="39">
        <v>0.5</v>
      </c>
      <c r="E20" s="39">
        <v>-1</v>
      </c>
      <c r="F20" s="39">
        <v>1005</v>
      </c>
      <c r="G20" s="39">
        <f t="shared" si="0"/>
        <v>100000000</v>
      </c>
      <c r="H20" s="39">
        <f t="shared" si="1"/>
        <v>3000000</v>
      </c>
      <c r="I20" s="39">
        <f t="shared" si="2"/>
        <v>576000</v>
      </c>
      <c r="J20" s="39">
        <f t="shared" si="15"/>
        <v>576000</v>
      </c>
      <c r="K20" s="39">
        <f t="shared" si="50"/>
        <v>100</v>
      </c>
      <c r="L20" s="39">
        <v>120</v>
      </c>
      <c r="M20" s="39">
        <v>1249</v>
      </c>
      <c r="N20" s="39">
        <v>1607</v>
      </c>
      <c r="O20" s="39">
        <v>9300</v>
      </c>
      <c r="P20" s="39">
        <v>9300</v>
      </c>
      <c r="S20" s="39">
        <v>1</v>
      </c>
      <c r="T20" s="39">
        <f t="shared" si="3"/>
        <v>16</v>
      </c>
      <c r="Z20" s="73">
        <v>0</v>
      </c>
      <c r="AA20" s="39">
        <f t="shared" si="16"/>
        <v>0.94440000000000002</v>
      </c>
      <c r="AB20" s="690"/>
      <c r="AC20" s="39" t="str">
        <f t="shared" si="5"/>
        <v>6,1,0.05</v>
      </c>
      <c r="AE20" s="39" t="str">
        <f t="shared" si="6"/>
        <v>[[0,0,0],[0,0,0],[1005,1,0.5]]</v>
      </c>
      <c r="AG20" s="47">
        <f t="shared" si="49"/>
        <v>0.94440000000000002</v>
      </c>
      <c r="AH20" s="48">
        <f t="shared" si="7"/>
        <v>6671.9999999999973</v>
      </c>
      <c r="AI20" s="696">
        <v>2.5</v>
      </c>
      <c r="CN20" s="39"/>
      <c r="CO20" s="720">
        <f t="shared" si="10"/>
        <v>0.3</v>
      </c>
      <c r="CP20" s="39">
        <v>6</v>
      </c>
      <c r="CQ20" s="39">
        <v>1</v>
      </c>
      <c r="CR20" s="720">
        <f t="shared" si="11"/>
        <v>0.05</v>
      </c>
      <c r="CS20" s="39"/>
      <c r="CT20" s="62">
        <f t="shared" si="12"/>
        <v>400000</v>
      </c>
      <c r="CU20" s="62">
        <v>0</v>
      </c>
      <c r="CV20" s="62">
        <v>0</v>
      </c>
      <c r="CW20" s="62">
        <v>0</v>
      </c>
      <c r="CX20" s="62">
        <f t="shared" si="13"/>
        <v>600000</v>
      </c>
      <c r="CY20" s="62">
        <v>0</v>
      </c>
      <c r="CZ20" s="62">
        <v>0</v>
      </c>
      <c r="DA20" s="62">
        <v>0</v>
      </c>
      <c r="DB20" s="62">
        <f t="shared" si="14"/>
        <v>1000000</v>
      </c>
      <c r="DC20" s="62">
        <v>1005</v>
      </c>
      <c r="DD20" s="62">
        <v>1</v>
      </c>
      <c r="DE20" s="724">
        <v>0.5</v>
      </c>
    </row>
    <row r="21" spans="1:109" x14ac:dyDescent="0.35">
      <c r="A21" s="63">
        <v>40000</v>
      </c>
      <c r="B21" s="39">
        <v>1</v>
      </c>
      <c r="C21" s="39">
        <f t="shared" si="48"/>
        <v>400</v>
      </c>
      <c r="D21" s="39">
        <v>0.5</v>
      </c>
      <c r="E21" s="39">
        <v>-1</v>
      </c>
      <c r="F21" s="39">
        <v>1006</v>
      </c>
      <c r="G21" s="39">
        <f t="shared" si="0"/>
        <v>200000000</v>
      </c>
      <c r="H21" s="39">
        <f>A21*120</f>
        <v>4800000</v>
      </c>
      <c r="I21" s="39">
        <f t="shared" si="2"/>
        <v>1152000</v>
      </c>
      <c r="J21" s="39">
        <f t="shared" si="15"/>
        <v>1152000</v>
      </c>
      <c r="K21" s="39">
        <f t="shared" si="50"/>
        <v>120</v>
      </c>
      <c r="L21" s="39">
        <v>140</v>
      </c>
      <c r="M21" s="39">
        <v>624</v>
      </c>
      <c r="N21" s="39">
        <v>1607</v>
      </c>
      <c r="O21" s="39">
        <v>9200</v>
      </c>
      <c r="P21" s="39">
        <v>9200</v>
      </c>
      <c r="S21" s="39">
        <v>1</v>
      </c>
      <c r="T21" s="39">
        <f t="shared" si="3"/>
        <v>17</v>
      </c>
      <c r="Z21" s="73">
        <v>0</v>
      </c>
      <c r="AA21" s="39">
        <f t="shared" si="16"/>
        <v>0.94440000000000002</v>
      </c>
      <c r="AB21" s="690"/>
      <c r="AC21" s="39" t="str">
        <f t="shared" si="5"/>
        <v>8,1,0.075</v>
      </c>
      <c r="AE21" s="39" t="str">
        <f t="shared" si="6"/>
        <v>[[0,0,0],[0,0,0],[1006,1,0.5]]</v>
      </c>
      <c r="AG21" s="10">
        <f t="shared" si="49"/>
        <v>0.94440000000000002</v>
      </c>
      <c r="AH21" s="11">
        <f t="shared" si="7"/>
        <v>13343.999999999995</v>
      </c>
      <c r="AI21" s="697">
        <f>AI$15*(A$15/A21)</f>
        <v>1.25</v>
      </c>
      <c r="CN21" s="39"/>
      <c r="CO21" s="720">
        <f t="shared" si="10"/>
        <v>0.6</v>
      </c>
      <c r="CP21" s="39">
        <v>8</v>
      </c>
      <c r="CQ21" s="39">
        <v>1</v>
      </c>
      <c r="CR21" s="720">
        <f t="shared" si="11"/>
        <v>7.4999999999999997E-2</v>
      </c>
      <c r="CS21" s="39"/>
      <c r="CT21" s="62">
        <f t="shared" si="12"/>
        <v>800000</v>
      </c>
      <c r="CU21" s="62">
        <v>0</v>
      </c>
      <c r="CV21" s="62">
        <v>0</v>
      </c>
      <c r="CW21" s="62">
        <v>0</v>
      </c>
      <c r="CX21" s="62">
        <f t="shared" si="13"/>
        <v>1200000</v>
      </c>
      <c r="CY21" s="62">
        <v>0</v>
      </c>
      <c r="CZ21" s="62">
        <v>0</v>
      </c>
      <c r="DA21" s="62">
        <v>0</v>
      </c>
      <c r="DB21" s="62">
        <f t="shared" si="14"/>
        <v>2000000</v>
      </c>
      <c r="DC21" s="62">
        <v>1006</v>
      </c>
      <c r="DD21" s="62">
        <v>1</v>
      </c>
      <c r="DE21" s="724">
        <v>0.5</v>
      </c>
    </row>
    <row r="22" spans="1:109" x14ac:dyDescent="0.35">
      <c r="A22" s="63">
        <v>60000</v>
      </c>
      <c r="B22" s="39">
        <v>1</v>
      </c>
      <c r="C22" s="39">
        <f t="shared" si="48"/>
        <v>600</v>
      </c>
      <c r="D22" s="39">
        <v>0.5</v>
      </c>
      <c r="E22" s="39">
        <v>-1</v>
      </c>
      <c r="F22" s="39">
        <v>1006</v>
      </c>
      <c r="G22" s="39">
        <f t="shared" si="0"/>
        <v>300000000</v>
      </c>
      <c r="H22" s="39">
        <f>A22*100</f>
        <v>6000000</v>
      </c>
      <c r="I22" s="39">
        <f t="shared" si="2"/>
        <v>1728000</v>
      </c>
      <c r="J22" s="39">
        <f t="shared" si="15"/>
        <v>1728000</v>
      </c>
      <c r="K22" s="39">
        <f t="shared" si="50"/>
        <v>150</v>
      </c>
      <c r="L22" s="39">
        <v>160</v>
      </c>
      <c r="M22" s="39">
        <v>416</v>
      </c>
      <c r="N22" s="39">
        <v>1607</v>
      </c>
      <c r="O22" s="39">
        <v>9200</v>
      </c>
      <c r="P22" s="39">
        <v>9200</v>
      </c>
      <c r="S22" s="39">
        <v>1</v>
      </c>
      <c r="T22" s="39">
        <f t="shared" si="3"/>
        <v>18</v>
      </c>
      <c r="Z22" s="73">
        <v>0</v>
      </c>
      <c r="AA22" s="39">
        <f t="shared" si="16"/>
        <v>0.94440000000000002</v>
      </c>
      <c r="AB22" s="690"/>
      <c r="AC22" s="39" t="str">
        <f t="shared" si="5"/>
        <v>10,1,0.09</v>
      </c>
      <c r="AE22" s="39" t="str">
        <f t="shared" si="6"/>
        <v>[[0,0,0],[0,0,0],[1005,3,0.5]]</v>
      </c>
      <c r="AG22" s="10">
        <f t="shared" si="49"/>
        <v>0.94440000000000002</v>
      </c>
      <c r="AH22" s="11">
        <f t="shared" si="7"/>
        <v>20015.999999999993</v>
      </c>
      <c r="AI22" s="698">
        <f>AI$15*(A$15/A22)</f>
        <v>0.83333333333333337</v>
      </c>
      <c r="CN22" s="39"/>
      <c r="CO22" s="720">
        <f t="shared" si="10"/>
        <v>0.89999999999999991</v>
      </c>
      <c r="CP22" s="39">
        <v>10</v>
      </c>
      <c r="CQ22" s="39">
        <v>1</v>
      </c>
      <c r="CR22" s="720">
        <f t="shared" si="11"/>
        <v>0.09</v>
      </c>
      <c r="CS22" s="39"/>
      <c r="CT22" s="62">
        <f t="shared" si="12"/>
        <v>1200000</v>
      </c>
      <c r="CU22" s="62">
        <v>0</v>
      </c>
      <c r="CV22" s="62">
        <v>0</v>
      </c>
      <c r="CW22" s="62">
        <v>0</v>
      </c>
      <c r="CX22" s="62">
        <f t="shared" si="13"/>
        <v>1800000</v>
      </c>
      <c r="CY22" s="62">
        <v>0</v>
      </c>
      <c r="CZ22" s="62">
        <v>0</v>
      </c>
      <c r="DA22" s="62">
        <v>0</v>
      </c>
      <c r="DB22" s="62">
        <f t="shared" si="14"/>
        <v>3000000</v>
      </c>
      <c r="DC22" s="62">
        <v>1005</v>
      </c>
      <c r="DD22" s="62">
        <v>3</v>
      </c>
      <c r="DE22" s="724">
        <v>0.5</v>
      </c>
    </row>
    <row r="23" spans="1:109" x14ac:dyDescent="0.35">
      <c r="A23" s="63">
        <v>80000</v>
      </c>
      <c r="B23" s="39">
        <v>1</v>
      </c>
      <c r="C23" s="39">
        <f t="shared" si="48"/>
        <v>800</v>
      </c>
      <c r="D23" s="39">
        <v>0.5</v>
      </c>
      <c r="E23" s="39">
        <v>-1</v>
      </c>
      <c r="F23" s="39">
        <v>1007</v>
      </c>
      <c r="G23" s="39">
        <f t="shared" si="0"/>
        <v>400000000</v>
      </c>
      <c r="H23" s="39">
        <f>A23*85</f>
        <v>6800000</v>
      </c>
      <c r="I23" s="39">
        <f t="shared" si="2"/>
        <v>2304000</v>
      </c>
      <c r="J23" s="39">
        <f t="shared" si="15"/>
        <v>2304000</v>
      </c>
      <c r="K23" s="39">
        <f t="shared" si="50"/>
        <v>170</v>
      </c>
      <c r="L23" s="39">
        <v>180</v>
      </c>
      <c r="M23" s="39">
        <v>312</v>
      </c>
      <c r="N23" s="39">
        <v>1607</v>
      </c>
      <c r="O23" s="39">
        <v>9200</v>
      </c>
      <c r="P23" s="39">
        <v>9200</v>
      </c>
      <c r="S23" s="39">
        <v>1</v>
      </c>
      <c r="T23" s="39">
        <f t="shared" si="3"/>
        <v>19</v>
      </c>
      <c r="Z23" s="73">
        <v>0</v>
      </c>
      <c r="AA23" s="39">
        <f t="shared" si="16"/>
        <v>0.94440000000000002</v>
      </c>
      <c r="AB23" s="690"/>
      <c r="AC23" s="39" t="str">
        <f t="shared" si="5"/>
        <v>12,1,0.1</v>
      </c>
      <c r="AE23" s="39" t="str">
        <f t="shared" si="6"/>
        <v>[[0,0,0],[0,0,0],[1006,2,0.5]]</v>
      </c>
      <c r="AG23" s="10">
        <f t="shared" si="49"/>
        <v>0.94440000000000002</v>
      </c>
      <c r="AH23" s="11">
        <f t="shared" si="7"/>
        <v>26687.999999999989</v>
      </c>
      <c r="AI23" s="697">
        <f>AI$15*(A$15/A23)</f>
        <v>0.625</v>
      </c>
      <c r="BG23" s="715" t="s">
        <v>139</v>
      </c>
      <c r="CN23" s="39"/>
      <c r="CO23" s="720">
        <f t="shared" si="10"/>
        <v>1.2</v>
      </c>
      <c r="CP23" s="39">
        <v>12</v>
      </c>
      <c r="CQ23" s="39">
        <v>1</v>
      </c>
      <c r="CR23" s="720">
        <f t="shared" si="11"/>
        <v>0.1</v>
      </c>
      <c r="CS23" s="39"/>
      <c r="CT23" s="62">
        <f t="shared" si="12"/>
        <v>1600000</v>
      </c>
      <c r="CU23" s="62">
        <v>0</v>
      </c>
      <c r="CV23" s="62">
        <v>0</v>
      </c>
      <c r="CW23" s="62">
        <v>0</v>
      </c>
      <c r="CX23" s="62">
        <f t="shared" si="13"/>
        <v>2400000</v>
      </c>
      <c r="CY23" s="62">
        <v>0</v>
      </c>
      <c r="CZ23" s="62">
        <v>0</v>
      </c>
      <c r="DA23" s="62">
        <v>0</v>
      </c>
      <c r="DB23" s="62">
        <f t="shared" si="14"/>
        <v>4000000</v>
      </c>
      <c r="DC23" s="62">
        <v>1006</v>
      </c>
      <c r="DD23" s="62">
        <v>2</v>
      </c>
      <c r="DE23" s="724">
        <v>0.5</v>
      </c>
    </row>
    <row r="24" spans="1:109" x14ac:dyDescent="0.35">
      <c r="A24" s="63">
        <v>100000</v>
      </c>
      <c r="B24" s="39">
        <v>1</v>
      </c>
      <c r="C24" s="39">
        <f t="shared" si="48"/>
        <v>1000</v>
      </c>
      <c r="D24" s="39">
        <v>0.5</v>
      </c>
      <c r="E24" s="39">
        <v>-1</v>
      </c>
      <c r="F24" s="39">
        <v>1007</v>
      </c>
      <c r="G24" s="39">
        <f t="shared" si="0"/>
        <v>500000000</v>
      </c>
      <c r="H24" s="39">
        <f>A24*75</f>
        <v>7500000</v>
      </c>
      <c r="I24" s="39">
        <v>2880000</v>
      </c>
      <c r="J24" s="39">
        <f t="shared" si="15"/>
        <v>2880000</v>
      </c>
      <c r="K24" s="39">
        <f t="shared" si="50"/>
        <v>200</v>
      </c>
      <c r="L24" s="39">
        <v>200</v>
      </c>
      <c r="M24" s="39">
        <v>249</v>
      </c>
      <c r="N24" s="39">
        <v>1607</v>
      </c>
      <c r="O24" s="39">
        <v>9200</v>
      </c>
      <c r="P24" s="39">
        <v>9200</v>
      </c>
      <c r="S24" s="39">
        <v>1</v>
      </c>
      <c r="T24" s="39">
        <f t="shared" si="3"/>
        <v>20</v>
      </c>
      <c r="Z24" s="73">
        <v>0</v>
      </c>
      <c r="AA24" s="39">
        <f t="shared" si="16"/>
        <v>0.94440000000000002</v>
      </c>
      <c r="AB24" s="690"/>
      <c r="AC24" s="39" t="str">
        <f t="shared" si="5"/>
        <v>15,1,0.1</v>
      </c>
      <c r="AE24" s="39" t="str">
        <f t="shared" si="6"/>
        <v>[[0,0,0],[1005,3,0.3],[1007,1,0.5]]</v>
      </c>
      <c r="AG24" s="13">
        <f t="shared" si="49"/>
        <v>0.94440000000000002</v>
      </c>
      <c r="AH24" s="14">
        <f t="shared" si="7"/>
        <v>33359.999999999985</v>
      </c>
      <c r="AI24" s="699">
        <f>AI$15*(A$15/A24)</f>
        <v>0.5</v>
      </c>
      <c r="CN24" s="39"/>
      <c r="CO24" s="720">
        <f t="shared" si="10"/>
        <v>1.4999999999999998</v>
      </c>
      <c r="CP24" s="39">
        <v>15</v>
      </c>
      <c r="CQ24" s="39">
        <v>1</v>
      </c>
      <c r="CR24" s="720">
        <f t="shared" si="11"/>
        <v>0.1</v>
      </c>
      <c r="CS24" s="39"/>
      <c r="CT24" s="62">
        <f t="shared" si="12"/>
        <v>2000000</v>
      </c>
      <c r="CU24" s="62">
        <v>0</v>
      </c>
      <c r="CV24" s="62">
        <v>0</v>
      </c>
      <c r="CW24" s="62">
        <v>0</v>
      </c>
      <c r="CX24" s="62">
        <f t="shared" si="13"/>
        <v>3000000</v>
      </c>
      <c r="CY24" s="62">
        <v>1005</v>
      </c>
      <c r="CZ24" s="62">
        <v>3</v>
      </c>
      <c r="DA24" s="724">
        <v>0.3</v>
      </c>
      <c r="DB24" s="62">
        <f t="shared" si="14"/>
        <v>5000000</v>
      </c>
      <c r="DC24" s="62">
        <v>1007</v>
      </c>
      <c r="DD24" s="62">
        <v>1</v>
      </c>
      <c r="DE24" s="724">
        <v>0.5</v>
      </c>
    </row>
    <row r="25" spans="1:109" x14ac:dyDescent="0.35"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109" x14ac:dyDescent="0.35"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109" x14ac:dyDescent="0.35"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109" x14ac:dyDescent="0.35"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109" x14ac:dyDescent="0.35"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109" x14ac:dyDescent="0.35"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109" x14ac:dyDescent="0.35"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109" x14ac:dyDescent="0.35"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38:55" x14ac:dyDescent="0.35"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38:55" x14ac:dyDescent="0.35"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38:55" x14ac:dyDescent="0.35"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38:55" x14ac:dyDescent="0.35"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38:55" x14ac:dyDescent="0.35"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38:55" x14ac:dyDescent="0.35"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38:55" x14ac:dyDescent="0.35"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38:55" x14ac:dyDescent="0.35"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38:55" x14ac:dyDescent="0.35"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38:55" x14ac:dyDescent="0.35"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38:55" x14ac:dyDescent="0.35"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38:55" x14ac:dyDescent="0.35"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38:55" x14ac:dyDescent="0.35"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38:55" x14ac:dyDescent="0.35"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38:55" x14ac:dyDescent="0.35"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38:55" x14ac:dyDescent="0.35"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38:55" x14ac:dyDescent="0.35"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38:55" x14ac:dyDescent="0.35">
      <c r="AL50" s="1"/>
      <c r="AM50" s="1"/>
    </row>
    <row r="51" spans="38:55" x14ac:dyDescent="0.35">
      <c r="AL51" s="1"/>
      <c r="AM51" s="1"/>
    </row>
    <row r="52" spans="38:55" x14ac:dyDescent="0.35">
      <c r="AL52" s="1"/>
      <c r="AM52" s="1"/>
    </row>
    <row r="53" spans="38:55" x14ac:dyDescent="0.35"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38:55" x14ac:dyDescent="0.35">
      <c r="AL54" s="1"/>
      <c r="AM54" s="1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</row>
    <row r="55" spans="38:55" x14ac:dyDescent="0.35">
      <c r="AL55" s="1"/>
      <c r="AM55" s="1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</row>
    <row r="56" spans="38:55" x14ac:dyDescent="0.35">
      <c r="AL56" s="1"/>
      <c r="AM56" s="1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</row>
    <row r="57" spans="38:55" x14ac:dyDescent="0.35">
      <c r="AL57" s="1"/>
      <c r="AM57" s="1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</row>
    <row r="58" spans="38:55" x14ac:dyDescent="0.35">
      <c r="AL58" s="1"/>
      <c r="AM58" s="1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</row>
    <row r="59" spans="38:55" x14ac:dyDescent="0.35">
      <c r="AL59" s="1"/>
      <c r="AM59" s="1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</row>
    <row r="60" spans="38:55" x14ac:dyDescent="0.35">
      <c r="AL60" s="1"/>
      <c r="AM60" s="1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</row>
    <row r="61" spans="38:55" x14ac:dyDescent="0.35">
      <c r="AL61" s="1"/>
      <c r="AM61" s="1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</row>
    <row r="62" spans="38:55" x14ac:dyDescent="0.35">
      <c r="AL62" s="1"/>
      <c r="AM62" s="1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</row>
    <row r="63" spans="38:55" x14ac:dyDescent="0.35">
      <c r="AL63" s="1"/>
      <c r="AM63" s="1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</row>
    <row r="64" spans="38:55" x14ac:dyDescent="0.35">
      <c r="AL64" s="1"/>
      <c r="AM64" s="1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</row>
    <row r="65" spans="38:55" x14ac:dyDescent="0.35">
      <c r="AL65" s="1"/>
      <c r="AM65" s="1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</row>
    <row r="66" spans="38:55" x14ac:dyDescent="0.35">
      <c r="AL66" s="1"/>
      <c r="AM66" s="1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</row>
    <row r="67" spans="38:55" x14ac:dyDescent="0.35">
      <c r="AL67" s="1"/>
      <c r="AM67" s="1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</row>
    <row r="68" spans="38:55" x14ac:dyDescent="0.35">
      <c r="AL68" s="1"/>
      <c r="AM68" s="1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</row>
    <row r="69" spans="38:55" x14ac:dyDescent="0.35">
      <c r="AL69" s="1"/>
      <c r="AM69" s="1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</row>
    <row r="70" spans="38:55" x14ac:dyDescent="0.35">
      <c r="AL70" s="1"/>
      <c r="AM70" s="1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</row>
    <row r="71" spans="38:55" x14ac:dyDescent="0.35">
      <c r="AL71" s="1"/>
      <c r="AM71" s="1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</row>
    <row r="72" spans="38:55" x14ac:dyDescent="0.35">
      <c r="AL72" s="1"/>
      <c r="AM72" s="1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</row>
    <row r="73" spans="38:55" x14ac:dyDescent="0.35">
      <c r="AL73" s="1"/>
      <c r="AM73" s="1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</row>
  </sheetData>
  <mergeCells count="11">
    <mergeCell ref="CO2:CR2"/>
    <mergeCell ref="CT2:DE2"/>
    <mergeCell ref="AG3:AI3"/>
    <mergeCell ref="AL3:AN3"/>
    <mergeCell ref="CO3:CR3"/>
    <mergeCell ref="BF1:BG3"/>
    <mergeCell ref="BL1:BM3"/>
    <mergeCell ref="BR1:BS3"/>
    <mergeCell ref="BI1:BJ3"/>
    <mergeCell ref="BO1:BP3"/>
    <mergeCell ref="AG1:AO2"/>
  </mergeCells>
  <phoneticPr fontId="64" type="noConversion"/>
  <conditionalFormatting sqref="AK10">
    <cfRule type="containsText" dxfId="2712" priority="12" operator="containsText" text=" ">
      <formula>NOT(ISERROR(SEARCH(" ",AK10)))</formula>
    </cfRule>
  </conditionalFormatting>
  <conditionalFormatting sqref="AK15">
    <cfRule type="containsText" dxfId="2711" priority="11" operator="containsText" text=" ">
      <formula>NOT(ISERROR(SEARCH(" ",AK15)))</formula>
    </cfRule>
  </conditionalFormatting>
  <conditionalFormatting sqref="M5:M12">
    <cfRule type="colorScale" priority="258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710" priority="2586" operator="containsText" text=" ">
      <formula>NOT(ISERROR(SEARCH(" ",M5)))</formula>
    </cfRule>
  </conditionalFormatting>
  <conditionalFormatting sqref="M13:M2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709" priority="27" operator="containsText" text=" ">
      <formula>NOT(ISERROR(SEARCH(" ",M13)))</formula>
    </cfRule>
  </conditionalFormatting>
  <conditionalFormatting sqref="AG5:AG9">
    <cfRule type="cellIs" dxfId="2708" priority="16" operator="greaterThan">
      <formula>1</formula>
    </cfRule>
    <cfRule type="cellIs" dxfId="2707" priority="17" operator="lessThan">
      <formula>1</formula>
    </cfRule>
  </conditionalFormatting>
  <conditionalFormatting sqref="AG10:AG19">
    <cfRule type="cellIs" dxfId="2706" priority="13" operator="greaterThan">
      <formula>1</formula>
    </cfRule>
    <cfRule type="cellIs" dxfId="2705" priority="14" operator="lessThan">
      <formula>1</formula>
    </cfRule>
  </conditionalFormatting>
  <conditionalFormatting sqref="AG20:AG24">
    <cfRule type="cellIs" dxfId="2704" priority="8" operator="greaterThan">
      <formula>1</formula>
    </cfRule>
    <cfRule type="cellIs" dxfId="2703" priority="9" operator="lessThan">
      <formula>1</formula>
    </cfRule>
  </conditionalFormatting>
  <conditionalFormatting sqref="AH10:AH19">
    <cfRule type="containsText" dxfId="2702" priority="15" operator="containsText" text=" ">
      <formula>NOT(ISERROR(SEARCH(" ",AH10)))</formula>
    </cfRule>
  </conditionalFormatting>
  <conditionalFormatting sqref="AH20:AH24">
    <cfRule type="containsText" dxfId="2701" priority="10" operator="containsText" text=" ">
      <formula>NOT(ISERROR(SEARCH(" ",AH20)))</formula>
    </cfRule>
  </conditionalFormatting>
  <conditionalFormatting sqref="AL5:AL19">
    <cfRule type="cellIs" dxfId="2700" priority="22" operator="greaterThan">
      <formula>1</formula>
    </cfRule>
    <cfRule type="cellIs" dxfId="2699" priority="23" operator="lessThan">
      <formula>1</formula>
    </cfRule>
  </conditionalFormatting>
  <conditionalFormatting sqref="BA15:BA19">
    <cfRule type="cellIs" dxfId="2698" priority="18" operator="greaterThan">
      <formula>1</formula>
    </cfRule>
    <cfRule type="cellIs" dxfId="2697" priority="19" operator="lessThan">
      <formula>1</formula>
    </cfRule>
  </conditionalFormatting>
  <conditionalFormatting sqref="BF5:BF19">
    <cfRule type="cellIs" dxfId="2696" priority="123" operator="greaterThan">
      <formula>1</formula>
    </cfRule>
    <cfRule type="cellIs" dxfId="2695" priority="124" operator="lessThan">
      <formula>1</formula>
    </cfRule>
  </conditionalFormatting>
  <conditionalFormatting sqref="BI5:BI19">
    <cfRule type="cellIs" dxfId="2694" priority="75" operator="greaterThan">
      <formula>1</formula>
    </cfRule>
    <cfRule type="cellIs" dxfId="2693" priority="76" operator="lessThan">
      <formula>1</formula>
    </cfRule>
  </conditionalFormatting>
  <conditionalFormatting sqref="BL5:BL19">
    <cfRule type="cellIs" dxfId="2692" priority="43" operator="greaterThan">
      <formula>1</formula>
    </cfRule>
    <cfRule type="cellIs" dxfId="2691" priority="44" operator="lessThan">
      <formula>1</formula>
    </cfRule>
  </conditionalFormatting>
  <conditionalFormatting sqref="BO5:BO19">
    <cfRule type="cellIs" dxfId="2690" priority="41" operator="greaterThan">
      <formula>1</formula>
    </cfRule>
    <cfRule type="cellIs" dxfId="2689" priority="42" operator="lessThan">
      <formula>1</formula>
    </cfRule>
  </conditionalFormatting>
  <conditionalFormatting sqref="BR5:BR19">
    <cfRule type="cellIs" dxfId="2688" priority="39" operator="greaterThan">
      <formula>1</formula>
    </cfRule>
    <cfRule type="cellIs" dxfId="2687" priority="40" operator="lessThan">
      <formula>1</formula>
    </cfRule>
  </conditionalFormatting>
  <conditionalFormatting sqref="CR5:CR24">
    <cfRule type="cellIs" dxfId="2686" priority="155" operator="greaterThan">
      <formula>1</formula>
    </cfRule>
  </conditionalFormatting>
  <conditionalFormatting sqref="CS5:CS24">
    <cfRule type="cellIs" dxfId="2685" priority="152" operator="greaterThan">
      <formula>0</formula>
    </cfRule>
    <cfRule type="cellIs" dxfId="2684" priority="153" operator="greaterThan">
      <formula>0</formula>
    </cfRule>
  </conditionalFormatting>
  <conditionalFormatting sqref="AG1 A25:M1048576 Q25:AK1048576">
    <cfRule type="containsText" dxfId="2683" priority="38" operator="containsText" text=" ">
      <formula>NOT(ISERROR(SEARCH(" ",A1)))</formula>
    </cfRule>
  </conditionalFormatting>
  <conditionalFormatting sqref="B7:B24 DF1:XFD24 A5:A24 F5:F18 E5:E17 C5:D10 D11:D16 C11:C24 Q5:R24 W5:Y24 AB5:AF24 G5:L24">
    <cfRule type="containsText" dxfId="2682" priority="341" operator="containsText" text=" ">
      <formula>NOT(ISERROR(SEARCH(" ",A1)))</formula>
    </cfRule>
  </conditionalFormatting>
  <conditionalFormatting sqref="AJ3:AK3 AF1:AF3">
    <cfRule type="containsText" dxfId="2681" priority="343" operator="containsText" text=" ">
      <formula>NOT(ISERROR(SEARCH(" ",AF1)))</formula>
    </cfRule>
  </conditionalFormatting>
  <conditionalFormatting sqref="B6 AF4 AH4 AJ4:AK4 D17:E24">
    <cfRule type="containsText" dxfId="2680" priority="347" operator="containsText" text=" ">
      <formula>NOT(ISERROR(SEARCH(" ",B4)))</formula>
    </cfRule>
  </conditionalFormatting>
  <conditionalFormatting sqref="B5 CL52:XFD1048576 CN25:XFD51">
    <cfRule type="containsText" dxfId="2679" priority="349" operator="containsText" text=" ">
      <formula>NOT(ISERROR(SEARCH(" ",B5)))</formula>
    </cfRule>
  </conditionalFormatting>
  <conditionalFormatting sqref="K5:L24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P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678" priority="2" operator="containsText" text=" ">
      <formula>NOT(ISERROR(SEARCH(" ",N5)))</formula>
    </cfRule>
  </conditionalFormatting>
  <conditionalFormatting sqref="W5:Y11 AB5:AE24">
    <cfRule type="cellIs" dxfId="2677" priority="171" operator="equal">
      <formula>" "</formula>
    </cfRule>
  </conditionalFormatting>
  <conditionalFormatting sqref="Z5:AA24">
    <cfRule type="cellIs" dxfId="2676" priority="6" operator="equal">
      <formula>" "</formula>
    </cfRule>
    <cfRule type="containsText" dxfId="2675" priority="7" operator="containsText" text=" ">
      <formula>NOT(ISERROR(SEARCH(" ",Z5)))</formula>
    </cfRule>
  </conditionalFormatting>
  <conditionalFormatting sqref="AH5:AH9 AJ13:AK14 AK11:AK12 AJ17:AK19 AK16 AJ21:AK24 AK20">
    <cfRule type="containsText" dxfId="2674" priority="24" operator="containsText" text=" ">
      <formula>NOT(ISERROR(SEARCH(" ",AH5)))</formula>
    </cfRule>
  </conditionalFormatting>
  <conditionalFormatting sqref="AJ5:AK5 AJ9:AK9 AK6:AK8 AJ10 AJ15 AJ20">
    <cfRule type="containsText" dxfId="2673" priority="25" operator="containsText" text=" ">
      <formula>NOT(ISERROR(SEARCH(" ",AJ5)))</formula>
    </cfRule>
  </conditionalFormatting>
  <conditionalFormatting sqref="AO15:AO19 AR15:AR19 AU15:AU19 AX15:AX19">
    <cfRule type="cellIs" dxfId="2672" priority="20" operator="greaterThan">
      <formula>1</formula>
    </cfRule>
    <cfRule type="cellIs" dxfId="2671" priority="21" operator="lessThan">
      <formula>1</formula>
    </cfRule>
  </conditionalFormatting>
  <conditionalFormatting sqref="N25:P1048576">
    <cfRule type="containsText" dxfId="2670" priority="3" operator="containsText" text=" ">
      <formula>NOT(ISERROR(SEARCH(" ",N25)))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AE92"/>
  <sheetViews>
    <sheetView workbookViewId="0">
      <selection activeCell="D8" sqref="D8"/>
    </sheetView>
  </sheetViews>
  <sheetFormatPr defaultColWidth="9" defaultRowHeight="15.6" x14ac:dyDescent="0.25"/>
  <cols>
    <col min="1" max="1" width="9.88671875" style="1" customWidth="1"/>
    <col min="2" max="2" width="21.88671875" style="1" customWidth="1"/>
    <col min="3" max="3" width="14.88671875" style="1" customWidth="1"/>
    <col min="4" max="5" width="12" style="1" customWidth="1"/>
    <col min="6" max="6" width="31.77734375" style="1" customWidth="1"/>
    <col min="7" max="7" width="18.6640625" style="75" customWidth="1"/>
    <col min="8" max="8" width="11.33203125" style="1" customWidth="1"/>
    <col min="9" max="9" width="9.6640625" style="75" customWidth="1"/>
    <col min="10" max="10" width="10" style="1" customWidth="1"/>
    <col min="11" max="11" width="15.44140625" style="75" customWidth="1"/>
    <col min="12" max="12" width="11.33203125" style="1" customWidth="1"/>
    <col min="13" max="13" width="9" style="75" customWidth="1"/>
    <col min="14" max="14" width="9.44140625" style="1" customWidth="1"/>
    <col min="15" max="15" width="8.88671875" style="75" customWidth="1"/>
    <col min="16" max="16" width="9" style="1"/>
    <col min="17" max="17" width="12.109375" style="1" customWidth="1"/>
    <col min="18" max="22" width="9" style="1"/>
    <col min="23" max="24" width="10" style="1" customWidth="1"/>
    <col min="25" max="25" width="9.6640625" style="1" customWidth="1"/>
    <col min="26" max="16384" width="9" style="1"/>
  </cols>
  <sheetData>
    <row r="1" spans="1:31" x14ac:dyDescent="0.35">
      <c r="A1" s="2" t="s">
        <v>1</v>
      </c>
      <c r="B1" s="2" t="s">
        <v>1</v>
      </c>
      <c r="C1" s="2" t="s">
        <v>1</v>
      </c>
      <c r="D1" s="2" t="s">
        <v>1</v>
      </c>
      <c r="E1" s="2" t="s">
        <v>1</v>
      </c>
      <c r="F1" s="30" t="s">
        <v>1</v>
      </c>
      <c r="G1" s="131" t="s">
        <v>1</v>
      </c>
      <c r="H1" s="132" t="s">
        <v>1</v>
      </c>
      <c r="I1" s="154" t="s">
        <v>1</v>
      </c>
      <c r="J1" s="30" t="s">
        <v>1</v>
      </c>
      <c r="K1" s="131" t="s">
        <v>1</v>
      </c>
      <c r="L1" s="132" t="s">
        <v>1</v>
      </c>
      <c r="M1" s="154" t="s">
        <v>1</v>
      </c>
      <c r="N1" s="30" t="s">
        <v>1</v>
      </c>
      <c r="O1" s="131" t="s">
        <v>1</v>
      </c>
      <c r="Q1" s="163" t="s">
        <v>1993</v>
      </c>
    </row>
    <row r="2" spans="1:31" x14ac:dyDescent="0.35">
      <c r="A2" s="2" t="s">
        <v>11</v>
      </c>
      <c r="B2" s="2" t="s">
        <v>11</v>
      </c>
      <c r="C2" s="2" t="s">
        <v>11</v>
      </c>
      <c r="D2" s="2" t="s">
        <v>11</v>
      </c>
      <c r="E2" s="2" t="s">
        <v>13</v>
      </c>
      <c r="F2" s="30" t="s">
        <v>14</v>
      </c>
      <c r="G2" s="131" t="s">
        <v>13</v>
      </c>
      <c r="H2" s="132" t="s">
        <v>14</v>
      </c>
      <c r="I2" s="154" t="s">
        <v>13</v>
      </c>
      <c r="J2" s="30" t="s">
        <v>14</v>
      </c>
      <c r="K2" s="131" t="s">
        <v>13</v>
      </c>
      <c r="L2" s="132" t="s">
        <v>14</v>
      </c>
      <c r="M2" s="154" t="s">
        <v>13</v>
      </c>
      <c r="N2" s="30" t="s">
        <v>14</v>
      </c>
      <c r="O2" s="131" t="s">
        <v>13</v>
      </c>
    </row>
    <row r="3" spans="1:31" x14ac:dyDescent="0.35">
      <c r="A3" s="2" t="s">
        <v>1994</v>
      </c>
      <c r="B3" s="2" t="s">
        <v>1995</v>
      </c>
      <c r="C3" s="2" t="s">
        <v>1996</v>
      </c>
      <c r="D3" s="2" t="s">
        <v>1997</v>
      </c>
      <c r="E3" s="2" t="s">
        <v>1998</v>
      </c>
      <c r="F3" s="30" t="s">
        <v>1999</v>
      </c>
      <c r="G3" s="131" t="s">
        <v>2000</v>
      </c>
      <c r="H3" s="132" t="s">
        <v>2001</v>
      </c>
      <c r="I3" s="154" t="s">
        <v>2002</v>
      </c>
      <c r="J3" s="30" t="s">
        <v>2003</v>
      </c>
      <c r="K3" s="131" t="s">
        <v>2004</v>
      </c>
      <c r="L3" s="132" t="s">
        <v>2005</v>
      </c>
      <c r="M3" s="154" t="s">
        <v>2006</v>
      </c>
      <c r="N3" s="30" t="s">
        <v>2007</v>
      </c>
      <c r="O3" s="131" t="s">
        <v>2008</v>
      </c>
    </row>
    <row r="4" spans="1:31" ht="92.4" x14ac:dyDescent="0.25">
      <c r="A4" s="89" t="s">
        <v>2009</v>
      </c>
      <c r="B4" s="60" t="s">
        <v>2010</v>
      </c>
      <c r="C4" s="60" t="s">
        <v>2011</v>
      </c>
      <c r="D4" s="60" t="s">
        <v>2012</v>
      </c>
      <c r="E4" s="60" t="s">
        <v>2013</v>
      </c>
      <c r="F4" s="4" t="s">
        <v>2014</v>
      </c>
      <c r="G4" s="133" t="s">
        <v>2015</v>
      </c>
      <c r="H4" s="134">
        <v>2</v>
      </c>
      <c r="I4" s="155">
        <v>2</v>
      </c>
      <c r="J4" s="156">
        <v>3</v>
      </c>
      <c r="K4" s="157">
        <v>3</v>
      </c>
      <c r="L4" s="134">
        <v>4</v>
      </c>
      <c r="M4" s="155">
        <v>4</v>
      </c>
      <c r="N4" s="156">
        <v>5</v>
      </c>
      <c r="O4" s="157">
        <v>5</v>
      </c>
      <c r="Q4" s="56" t="s">
        <v>2016</v>
      </c>
      <c r="Z4" s="1">
        <f>'抽奖|MoonBless'!DN4</f>
        <v>0</v>
      </c>
      <c r="AA4" s="1" t="str">
        <f>'抽奖|MoonBless'!DO4</f>
        <v>人民币价值</v>
      </c>
      <c r="AB4" s="1" t="str">
        <f>'抽奖|MoonBless'!DP4</f>
        <v>价值
钻石价值</v>
      </c>
      <c r="AC4" s="1" t="str">
        <f>'抽奖|MoonBless'!DQ4</f>
        <v>物品类型</v>
      </c>
      <c r="AD4" s="1" t="str">
        <f>'抽奖|MoonBless'!DR4</f>
        <v>id</v>
      </c>
      <c r="AE4" s="1" t="str">
        <f>'抽奖|MoonBless'!DS4</f>
        <v>价值加成</v>
      </c>
    </row>
    <row r="5" spans="1:31" x14ac:dyDescent="0.35">
      <c r="A5" s="1">
        <v>4101</v>
      </c>
      <c r="B5" s="1">
        <v>1</v>
      </c>
      <c r="C5" s="1">
        <v>1</v>
      </c>
      <c r="D5" s="1">
        <v>1</v>
      </c>
      <c r="E5" s="1">
        <v>-1</v>
      </c>
      <c r="F5" s="39" t="s">
        <v>2017</v>
      </c>
      <c r="G5" s="75">
        <v>1</v>
      </c>
      <c r="Q5" s="164" t="str">
        <f>IF(AND((B5=1),(G5+I5+K5+M5+O5&gt;1)),G5+I5+K5+M5+O5&amp;"，错误概率",G5+I5+K5+M5+O5&amp;"，正确")</f>
        <v>1，正确</v>
      </c>
      <c r="R5" s="1" t="s">
        <v>2018</v>
      </c>
      <c r="S5" s="1" t="s">
        <v>2019</v>
      </c>
      <c r="Z5" s="1" t="str">
        <f>'抽奖|MoonBless'!DN5</f>
        <v>人民币</v>
      </c>
      <c r="AA5" s="1">
        <f>'抽奖|MoonBless'!DO5</f>
        <v>1</v>
      </c>
      <c r="AB5" s="1">
        <f>'抽奖|MoonBless'!DP5</f>
        <v>20</v>
      </c>
      <c r="AC5" s="1">
        <f>'抽奖|MoonBless'!DQ5</f>
        <v>1</v>
      </c>
      <c r="AD5" s="1">
        <f>'抽奖|MoonBless'!DR5</f>
        <v>0</v>
      </c>
      <c r="AE5" s="177">
        <f>'抽奖|MoonBless'!DS5</f>
        <v>1</v>
      </c>
    </row>
    <row r="6" spans="1:31" x14ac:dyDescent="0.35">
      <c r="A6" s="1">
        <v>4102</v>
      </c>
      <c r="B6" s="1">
        <v>1</v>
      </c>
      <c r="C6" s="1">
        <v>1</v>
      </c>
      <c r="D6" s="1">
        <v>1</v>
      </c>
      <c r="E6" s="1">
        <v>-1</v>
      </c>
      <c r="F6" s="39" t="s">
        <v>2020</v>
      </c>
      <c r="G6" s="75">
        <v>0</v>
      </c>
      <c r="H6" s="39" t="s">
        <v>2021</v>
      </c>
      <c r="I6" s="75">
        <v>0.34</v>
      </c>
      <c r="J6" s="39" t="s">
        <v>2022</v>
      </c>
      <c r="K6" s="75">
        <v>0.33</v>
      </c>
      <c r="L6" s="39" t="s">
        <v>2023</v>
      </c>
      <c r="M6" s="75">
        <v>0.33</v>
      </c>
      <c r="Q6" s="164" t="str">
        <f t="shared" ref="Q6:Q88" si="0">IF(AND((B6=1),(G6+I6+K6+M6+O6&gt;1)),G6+I6+K6+M6+O6&amp;"，错误概率",G6+I6+K6+M6+O6&amp;"，正确")</f>
        <v>1，正确</v>
      </c>
      <c r="S6" s="1" t="s">
        <v>2024</v>
      </c>
      <c r="Z6" s="1" t="str">
        <f>'抽奖|MoonBless'!DN6</f>
        <v>钻石</v>
      </c>
      <c r="AA6" s="1">
        <f>'抽奖|MoonBless'!DO6</f>
        <v>0.1</v>
      </c>
      <c r="AB6" s="1">
        <f>'抽奖|MoonBless'!DP6</f>
        <v>2</v>
      </c>
      <c r="AC6" s="1">
        <f>'抽奖|MoonBless'!DQ6</f>
        <v>1</v>
      </c>
      <c r="AD6" s="1">
        <f>'抽奖|MoonBless'!DR6</f>
        <v>1</v>
      </c>
      <c r="AE6" s="177">
        <f>'抽奖|MoonBless'!DS6</f>
        <v>1</v>
      </c>
    </row>
    <row r="7" spans="1:31" s="86" customFormat="1" x14ac:dyDescent="0.35">
      <c r="A7" s="86">
        <v>4103</v>
      </c>
      <c r="B7" s="86">
        <v>1</v>
      </c>
      <c r="C7" s="86">
        <v>1</v>
      </c>
      <c r="D7" s="86">
        <v>1</v>
      </c>
      <c r="E7" s="1">
        <v>-1</v>
      </c>
      <c r="F7" s="63" t="s">
        <v>2017</v>
      </c>
      <c r="G7" s="135">
        <v>0.1</v>
      </c>
      <c r="H7" s="63" t="s">
        <v>2025</v>
      </c>
      <c r="I7" s="135">
        <v>0.3</v>
      </c>
      <c r="J7" s="63" t="s">
        <v>2026</v>
      </c>
      <c r="K7" s="135">
        <v>0.25</v>
      </c>
      <c r="L7" s="63" t="s">
        <v>2027</v>
      </c>
      <c r="M7" s="135">
        <v>0.25</v>
      </c>
      <c r="N7" s="63" t="s">
        <v>2028</v>
      </c>
      <c r="O7" s="135">
        <v>0.05</v>
      </c>
      <c r="Q7" s="165" t="str">
        <f t="shared" si="0"/>
        <v>0.95，正确</v>
      </c>
      <c r="Z7" s="1" t="str">
        <f>'抽奖|MoonBless'!DN7</f>
        <v>金币</v>
      </c>
      <c r="AA7" s="1">
        <f>'抽奖|MoonBless'!DO7</f>
        <v>5.0000000000000004E-6</v>
      </c>
      <c r="AB7" s="1">
        <f>'抽奖|MoonBless'!DP7</f>
        <v>1E-4</v>
      </c>
      <c r="AC7" s="1">
        <f>'抽奖|MoonBless'!DQ7</f>
        <v>1</v>
      </c>
      <c r="AD7" s="1">
        <f>'抽奖|MoonBless'!DR7</f>
        <v>2</v>
      </c>
      <c r="AE7" s="177">
        <f>'抽奖|MoonBless'!DS7</f>
        <v>1</v>
      </c>
    </row>
    <row r="8" spans="1:31" s="86" customFormat="1" x14ac:dyDescent="0.35">
      <c r="A8" s="86">
        <v>4104</v>
      </c>
      <c r="B8" s="86">
        <v>2</v>
      </c>
      <c r="C8" s="86">
        <v>1</v>
      </c>
      <c r="D8" s="86">
        <v>1</v>
      </c>
      <c r="E8" s="1">
        <v>-1</v>
      </c>
      <c r="F8" s="63" t="s">
        <v>2020</v>
      </c>
      <c r="G8" s="135">
        <v>0.1</v>
      </c>
      <c r="H8" s="63" t="s">
        <v>2025</v>
      </c>
      <c r="I8" s="135">
        <v>0.3</v>
      </c>
      <c r="J8" s="63" t="s">
        <v>2026</v>
      </c>
      <c r="K8" s="135">
        <v>0.25</v>
      </c>
      <c r="L8" s="63" t="s">
        <v>2027</v>
      </c>
      <c r="M8" s="135">
        <v>0.25</v>
      </c>
      <c r="N8" s="63" t="s">
        <v>2028</v>
      </c>
      <c r="O8" s="135">
        <v>0.05</v>
      </c>
      <c r="Q8" s="165" t="str">
        <f t="shared" si="0"/>
        <v>0.95，正确</v>
      </c>
      <c r="Z8" s="1" t="str">
        <f>'抽奖|MoonBless'!DN8</f>
        <v>锁定</v>
      </c>
      <c r="AA8" s="1">
        <f>'抽奖|MoonBless'!DO8</f>
        <v>0.1</v>
      </c>
      <c r="AB8" s="1">
        <f>'抽奖|MoonBless'!DP8</f>
        <v>2</v>
      </c>
      <c r="AC8" s="1">
        <f>'抽奖|MoonBless'!DQ8</f>
        <v>2</v>
      </c>
      <c r="AD8" s="1">
        <f>'抽奖|MoonBless'!DR8</f>
        <v>1001</v>
      </c>
      <c r="AE8" s="177">
        <f>'抽奖|MoonBless'!DS8</f>
        <v>1</v>
      </c>
    </row>
    <row r="9" spans="1:31" s="86" customFormat="1" x14ac:dyDescent="0.35">
      <c r="A9" s="86">
        <v>4201</v>
      </c>
      <c r="B9" s="86">
        <v>1</v>
      </c>
      <c r="C9" s="86">
        <v>1</v>
      </c>
      <c r="D9" s="86">
        <v>1</v>
      </c>
      <c r="E9" s="1">
        <v>-1</v>
      </c>
      <c r="F9" s="63" t="s">
        <v>478</v>
      </c>
      <c r="G9" s="135">
        <v>1</v>
      </c>
      <c r="I9" s="135"/>
      <c r="K9" s="135"/>
      <c r="M9" s="135"/>
      <c r="O9" s="135"/>
      <c r="Q9" s="165" t="str">
        <f t="shared" si="0"/>
        <v>1，正确</v>
      </c>
      <c r="R9" s="86" t="s">
        <v>2029</v>
      </c>
      <c r="Z9" s="1" t="str">
        <f>'抽奖|MoonBless'!DN9</f>
        <v>冰冻</v>
      </c>
      <c r="AA9" s="1">
        <f>'抽奖|MoonBless'!DO9</f>
        <v>0.25</v>
      </c>
      <c r="AB9" s="1">
        <f>'抽奖|MoonBless'!DP9</f>
        <v>5</v>
      </c>
      <c r="AC9" s="1">
        <f>'抽奖|MoonBless'!DQ9</f>
        <v>2</v>
      </c>
      <c r="AD9" s="1">
        <f>'抽奖|MoonBless'!DR9</f>
        <v>1002</v>
      </c>
      <c r="AE9" s="177">
        <f>'抽奖|MoonBless'!DS9</f>
        <v>1</v>
      </c>
    </row>
    <row r="10" spans="1:31" s="86" customFormat="1" x14ac:dyDescent="0.35">
      <c r="A10" s="86">
        <v>4202</v>
      </c>
      <c r="B10" s="86">
        <v>1</v>
      </c>
      <c r="C10" s="86">
        <v>1</v>
      </c>
      <c r="D10" s="86">
        <v>1</v>
      </c>
      <c r="E10" s="1">
        <v>-1</v>
      </c>
      <c r="F10" s="63" t="s">
        <v>2030</v>
      </c>
      <c r="G10" s="135">
        <v>0</v>
      </c>
      <c r="H10" s="63" t="s">
        <v>2031</v>
      </c>
      <c r="I10" s="135">
        <v>0.34</v>
      </c>
      <c r="J10" s="63" t="s">
        <v>2032</v>
      </c>
      <c r="K10" s="135">
        <v>0.33</v>
      </c>
      <c r="L10" s="63" t="s">
        <v>2033</v>
      </c>
      <c r="M10" s="135">
        <v>0.33</v>
      </c>
      <c r="O10" s="135"/>
      <c r="Q10" s="165" t="str">
        <f t="shared" si="0"/>
        <v>1，正确</v>
      </c>
      <c r="Z10" s="1" t="str">
        <f>'抽奖|MoonBless'!DN10</f>
        <v>狂暴</v>
      </c>
      <c r="AA10" s="1">
        <f>'抽奖|MoonBless'!DO10</f>
        <v>0.5</v>
      </c>
      <c r="AB10" s="1">
        <f>'抽奖|MoonBless'!DP10</f>
        <v>10</v>
      </c>
      <c r="AC10" s="1">
        <f>'抽奖|MoonBless'!DQ10</f>
        <v>2</v>
      </c>
      <c r="AD10" s="1">
        <f>'抽奖|MoonBless'!DR10</f>
        <v>1003</v>
      </c>
      <c r="AE10" s="177">
        <f>'抽奖|MoonBless'!DS10</f>
        <v>1</v>
      </c>
    </row>
    <row r="11" spans="1:31" s="86" customFormat="1" x14ac:dyDescent="0.35">
      <c r="A11" s="86">
        <v>4301</v>
      </c>
      <c r="B11" s="86">
        <v>1</v>
      </c>
      <c r="C11" s="86">
        <v>1</v>
      </c>
      <c r="D11" s="86">
        <v>1</v>
      </c>
      <c r="E11" s="1">
        <v>-1</v>
      </c>
      <c r="F11" s="63" t="s">
        <v>2034</v>
      </c>
      <c r="G11" s="135">
        <v>1</v>
      </c>
      <c r="I11" s="135"/>
      <c r="K11" s="135"/>
      <c r="M11" s="135"/>
      <c r="O11" s="135"/>
      <c r="Q11" s="165" t="str">
        <f t="shared" si="0"/>
        <v>1，正确</v>
      </c>
      <c r="R11" s="86" t="s">
        <v>2035</v>
      </c>
      <c r="Z11" s="1" t="str">
        <f>'抽奖|MoonBless'!DN11</f>
        <v>召唤</v>
      </c>
      <c r="AA11" s="1">
        <f>'抽奖|MoonBless'!DO11</f>
        <v>0.1</v>
      </c>
      <c r="AB11" s="1">
        <f>'抽奖|MoonBless'!DP11</f>
        <v>2</v>
      </c>
      <c r="AC11" s="1">
        <f>'抽奖|MoonBless'!DQ11</f>
        <v>2</v>
      </c>
      <c r="AD11" s="1">
        <f>'抽奖|MoonBless'!DR11</f>
        <v>1004</v>
      </c>
      <c r="AE11" s="177">
        <f>'抽奖|MoonBless'!DS11</f>
        <v>1</v>
      </c>
    </row>
    <row r="12" spans="1:31" s="86" customFormat="1" x14ac:dyDescent="0.35">
      <c r="A12" s="86">
        <v>4302</v>
      </c>
      <c r="B12" s="86">
        <v>1</v>
      </c>
      <c r="C12" s="86">
        <v>1</v>
      </c>
      <c r="D12" s="86">
        <v>1</v>
      </c>
      <c r="E12" s="1">
        <v>-1</v>
      </c>
      <c r="F12" s="63" t="s">
        <v>2036</v>
      </c>
      <c r="G12" s="135">
        <v>0</v>
      </c>
      <c r="H12" s="63" t="s">
        <v>2037</v>
      </c>
      <c r="I12" s="135">
        <v>0.34</v>
      </c>
      <c r="J12" s="63" t="s">
        <v>2038</v>
      </c>
      <c r="K12" s="135">
        <v>0.33</v>
      </c>
      <c r="L12" s="63" t="s">
        <v>2039</v>
      </c>
      <c r="M12" s="135">
        <v>0.33</v>
      </c>
      <c r="O12" s="135"/>
      <c r="Q12" s="165" t="str">
        <f t="shared" si="0"/>
        <v>1，正确</v>
      </c>
      <c r="Z12" s="1" t="str">
        <f>'抽奖|MoonBless'!DN12</f>
        <v>福卡</v>
      </c>
      <c r="AA12" s="1">
        <f>'抽奖|MoonBless'!DO12</f>
        <v>7.5000000000000002E-4</v>
      </c>
      <c r="AB12" s="1">
        <f>'抽奖|MoonBless'!DP12</f>
        <v>1.5000000000000001E-2</v>
      </c>
      <c r="AC12" s="1">
        <f>'抽奖|MoonBless'!DQ12</f>
        <v>2</v>
      </c>
      <c r="AD12" s="1">
        <f>'抽奖|MoonBless'!DR12</f>
        <v>1204</v>
      </c>
      <c r="AE12" s="177">
        <f>'抽奖|MoonBless'!DS12</f>
        <v>1</v>
      </c>
    </row>
    <row r="13" spans="1:31" s="86" customFormat="1" x14ac:dyDescent="0.35">
      <c r="A13" s="86">
        <v>4401</v>
      </c>
      <c r="B13" s="86">
        <v>1</v>
      </c>
      <c r="C13" s="86">
        <v>1</v>
      </c>
      <c r="D13" s="86">
        <v>1</v>
      </c>
      <c r="E13" s="1">
        <v>-1</v>
      </c>
      <c r="F13" s="63" t="s">
        <v>2040</v>
      </c>
      <c r="G13" s="135">
        <v>1</v>
      </c>
      <c r="I13" s="135"/>
      <c r="K13" s="135"/>
      <c r="M13" s="135"/>
      <c r="O13" s="135"/>
      <c r="Q13" s="165" t="str">
        <f t="shared" si="0"/>
        <v>1，正确</v>
      </c>
      <c r="R13" s="86" t="s">
        <v>2041</v>
      </c>
      <c r="Z13" s="1" t="str">
        <f>'抽奖|MoonBless'!DN13</f>
        <v>超级武器1</v>
      </c>
      <c r="AA13" s="1">
        <f>'抽奖|MoonBless'!DO13</f>
        <v>5</v>
      </c>
      <c r="AB13" s="1">
        <f>'抽奖|MoonBless'!DP13</f>
        <v>100</v>
      </c>
      <c r="AC13" s="1">
        <f>'抽奖|MoonBless'!DQ13</f>
        <v>2</v>
      </c>
      <c r="AD13" s="1">
        <f>'抽奖|MoonBless'!DR13</f>
        <v>1005</v>
      </c>
      <c r="AE13" s="177">
        <f>'抽奖|MoonBless'!DS13</f>
        <v>1</v>
      </c>
    </row>
    <row r="14" spans="1:31" s="86" customFormat="1" x14ac:dyDescent="0.35">
      <c r="A14" s="86">
        <v>4402</v>
      </c>
      <c r="B14" s="86">
        <v>1</v>
      </c>
      <c r="C14" s="86">
        <v>1</v>
      </c>
      <c r="D14" s="86">
        <v>1</v>
      </c>
      <c r="E14" s="1">
        <v>-1</v>
      </c>
      <c r="F14" s="63" t="s">
        <v>478</v>
      </c>
      <c r="G14" s="135">
        <v>0.25</v>
      </c>
      <c r="H14" s="63" t="s">
        <v>2042</v>
      </c>
      <c r="I14" s="135">
        <v>0.25</v>
      </c>
      <c r="J14" s="63" t="s">
        <v>2043</v>
      </c>
      <c r="K14" s="135">
        <v>0.25</v>
      </c>
      <c r="L14" s="63" t="s">
        <v>2044</v>
      </c>
      <c r="M14" s="135">
        <v>0.25</v>
      </c>
      <c r="O14" s="135"/>
      <c r="Q14" s="165" t="str">
        <f t="shared" si="0"/>
        <v>1，正确</v>
      </c>
      <c r="Z14" s="1" t="str">
        <f>'抽奖|MoonBless'!DN14</f>
        <v>超级武器2</v>
      </c>
      <c r="AA14" s="1">
        <f>'抽奖|MoonBless'!DO14</f>
        <v>10</v>
      </c>
      <c r="AB14" s="1">
        <f>'抽奖|MoonBless'!DP14</f>
        <v>200</v>
      </c>
      <c r="AC14" s="1">
        <f>'抽奖|MoonBless'!DQ14</f>
        <v>2</v>
      </c>
      <c r="AD14" s="1">
        <f>'抽奖|MoonBless'!DR14</f>
        <v>1006</v>
      </c>
      <c r="AE14" s="177">
        <f>'抽奖|MoonBless'!DS14</f>
        <v>1</v>
      </c>
    </row>
    <row r="15" spans="1:31" s="86" customFormat="1" ht="16.2" x14ac:dyDescent="0.4">
      <c r="A15" s="86">
        <v>4501</v>
      </c>
      <c r="B15" s="86">
        <v>1</v>
      </c>
      <c r="C15" s="86">
        <v>1</v>
      </c>
      <c r="D15" s="86">
        <v>1</v>
      </c>
      <c r="E15" s="1">
        <v>-1</v>
      </c>
      <c r="F15" s="136" t="s">
        <v>2045</v>
      </c>
      <c r="G15" s="135">
        <f>30000*0.02/5888*5</f>
        <v>0.50951086956521741</v>
      </c>
      <c r="H15" s="63"/>
      <c r="I15" s="135"/>
      <c r="J15" s="63"/>
      <c r="K15" s="135"/>
      <c r="L15" s="63"/>
      <c r="M15" s="135"/>
      <c r="O15" s="135"/>
      <c r="Q15" s="165" t="str">
        <f t="shared" si="0"/>
        <v>0.509510869565217，正确</v>
      </c>
      <c r="R15" s="86" t="s">
        <v>2046</v>
      </c>
      <c r="Z15" s="1" t="str">
        <f>'抽奖|MoonBless'!DN15</f>
        <v>超级武器3</v>
      </c>
      <c r="AA15" s="1">
        <f>'抽奖|MoonBless'!DO15</f>
        <v>25</v>
      </c>
      <c r="AB15" s="1">
        <f>'抽奖|MoonBless'!DP15</f>
        <v>500</v>
      </c>
      <c r="AC15" s="1">
        <f>'抽奖|MoonBless'!DQ15</f>
        <v>2</v>
      </c>
      <c r="AD15" s="1">
        <f>'抽奖|MoonBless'!DR15</f>
        <v>1007</v>
      </c>
      <c r="AE15" s="177">
        <f>'抽奖|MoonBless'!DS15</f>
        <v>1</v>
      </c>
    </row>
    <row r="16" spans="1:31" s="86" customFormat="1" ht="16.2" x14ac:dyDescent="0.4">
      <c r="A16" s="86">
        <v>4502</v>
      </c>
      <c r="B16" s="86">
        <v>1</v>
      </c>
      <c r="C16" s="86">
        <v>1</v>
      </c>
      <c r="D16" s="86">
        <v>1</v>
      </c>
      <c r="E16" s="1">
        <v>-1</v>
      </c>
      <c r="F16" s="136" t="s">
        <v>2047</v>
      </c>
      <c r="G16" s="135">
        <v>1</v>
      </c>
      <c r="H16" s="63"/>
      <c r="I16" s="135"/>
      <c r="J16" s="63"/>
      <c r="K16" s="135"/>
      <c r="L16" s="63"/>
      <c r="M16" s="135"/>
      <c r="O16" s="135"/>
      <c r="Q16" s="165" t="str">
        <f t="shared" ref="Q16" si="1">IF(AND((B16=1),(G16+I16+K16+M16+O16&gt;1)),G16+I16+K16+M16+O16&amp;"，错误概率",G16+I16+K16+M16+O16&amp;"，正确")</f>
        <v>1，正确</v>
      </c>
      <c r="Z16" s="1" t="str">
        <f>'抽奖|MoonBless'!DN16</f>
        <v>超级武器4</v>
      </c>
      <c r="AA16" s="1">
        <f>'抽奖|MoonBless'!DO16</f>
        <v>50</v>
      </c>
      <c r="AB16" s="1">
        <f>'抽奖|MoonBless'!DP16</f>
        <v>1000</v>
      </c>
      <c r="AC16" s="1">
        <f>'抽奖|MoonBless'!DQ16</f>
        <v>2</v>
      </c>
      <c r="AD16" s="1">
        <f>'抽奖|MoonBless'!DR16</f>
        <v>1008</v>
      </c>
      <c r="AE16" s="177">
        <f>'抽奖|MoonBless'!DS16</f>
        <v>1</v>
      </c>
    </row>
    <row r="17" spans="1:31" s="86" customFormat="1" x14ac:dyDescent="0.35">
      <c r="A17" s="86">
        <v>4503</v>
      </c>
      <c r="B17" s="86">
        <v>1</v>
      </c>
      <c r="C17" s="86">
        <v>1</v>
      </c>
      <c r="D17" s="86">
        <v>1</v>
      </c>
      <c r="E17" s="1">
        <v>-1</v>
      </c>
      <c r="F17" s="63" t="s">
        <v>2048</v>
      </c>
      <c r="G17" s="135">
        <v>0.6</v>
      </c>
      <c r="H17" s="63" t="s">
        <v>2043</v>
      </c>
      <c r="I17" s="135">
        <v>0</v>
      </c>
      <c r="J17" s="63" t="s">
        <v>2038</v>
      </c>
      <c r="K17" s="135">
        <v>0.4</v>
      </c>
      <c r="L17" s="63" t="s">
        <v>2049</v>
      </c>
      <c r="M17" s="135">
        <v>0</v>
      </c>
      <c r="O17" s="135"/>
      <c r="Q17" s="165" t="str">
        <f t="shared" si="0"/>
        <v>1，正确</v>
      </c>
      <c r="Z17" s="1" t="str">
        <f>'抽奖|MoonBless'!DN17</f>
        <v>5元话费卡</v>
      </c>
      <c r="AA17" s="1">
        <f>'抽奖|MoonBless'!DO17</f>
        <v>5</v>
      </c>
      <c r="AB17" s="1">
        <f>'抽奖|MoonBless'!DP17</f>
        <v>100</v>
      </c>
      <c r="AC17" s="1">
        <f>'抽奖|MoonBless'!DQ17</f>
        <v>2</v>
      </c>
      <c r="AD17" s="1">
        <f>'抽奖|MoonBless'!DR17</f>
        <v>1206</v>
      </c>
      <c r="AE17" s="177">
        <f>'抽奖|MoonBless'!DS17</f>
        <v>1</v>
      </c>
    </row>
    <row r="18" spans="1:31" s="86" customFormat="1" x14ac:dyDescent="0.35">
      <c r="A18" s="86">
        <v>4504</v>
      </c>
      <c r="B18" s="86">
        <v>1</v>
      </c>
      <c r="C18" s="86">
        <v>1</v>
      </c>
      <c r="D18" s="86">
        <v>1</v>
      </c>
      <c r="E18" s="1">
        <v>-1</v>
      </c>
      <c r="F18" s="63" t="s">
        <v>2048</v>
      </c>
      <c r="G18" s="135">
        <v>0</v>
      </c>
      <c r="H18" s="63" t="s">
        <v>2043</v>
      </c>
      <c r="I18" s="135">
        <v>0.6</v>
      </c>
      <c r="J18" s="63" t="s">
        <v>2038</v>
      </c>
      <c r="K18" s="135">
        <v>0</v>
      </c>
      <c r="L18" s="63" t="s">
        <v>2049</v>
      </c>
      <c r="M18" s="135">
        <v>0.4</v>
      </c>
      <c r="O18" s="135"/>
      <c r="Q18" s="165" t="str">
        <f t="shared" si="0"/>
        <v>1，正确</v>
      </c>
      <c r="Z18" s="1" t="str">
        <f>'抽奖|MoonBless'!DN18</f>
        <v>2元话费卡</v>
      </c>
      <c r="AA18" s="1">
        <f>'抽奖|MoonBless'!DO18</f>
        <v>2</v>
      </c>
      <c r="AB18" s="1">
        <f>'抽奖|MoonBless'!DP18</f>
        <v>40</v>
      </c>
      <c r="AC18" s="1">
        <f>'抽奖|MoonBless'!DQ18</f>
        <v>2</v>
      </c>
      <c r="AD18" s="1">
        <f>'抽奖|MoonBless'!DR18</f>
        <v>1205</v>
      </c>
      <c r="AE18" s="177">
        <f>'抽奖|MoonBless'!DS18</f>
        <v>1</v>
      </c>
    </row>
    <row r="19" spans="1:31" s="86" customFormat="1" x14ac:dyDescent="0.35">
      <c r="A19" s="86">
        <v>4505</v>
      </c>
      <c r="B19" s="86">
        <v>1</v>
      </c>
      <c r="C19" s="86">
        <v>1</v>
      </c>
      <c r="D19" s="86">
        <v>1</v>
      </c>
      <c r="E19" s="1">
        <v>-1</v>
      </c>
      <c r="F19" s="39" t="s">
        <v>2017</v>
      </c>
      <c r="G19" s="135">
        <v>0.4</v>
      </c>
      <c r="H19" s="39"/>
      <c r="I19" s="135"/>
      <c r="J19" s="63"/>
      <c r="K19" s="135"/>
      <c r="L19" s="63"/>
      <c r="M19" s="135"/>
      <c r="O19" s="135"/>
      <c r="Q19" s="165" t="str">
        <f t="shared" si="0"/>
        <v>0.4，正确</v>
      </c>
      <c r="U19" s="166"/>
      <c r="W19" s="167" t="s">
        <v>2050</v>
      </c>
      <c r="X19" s="168" t="s">
        <v>112</v>
      </c>
      <c r="Y19" s="1"/>
      <c r="Z19" s="1" t="str">
        <f>'抽奖|MoonBless'!DN19</f>
        <v>高压锅</v>
      </c>
      <c r="AA19" s="1">
        <f>'抽奖|MoonBless'!DO19</f>
        <v>200</v>
      </c>
      <c r="AB19" s="1">
        <f>'抽奖|MoonBless'!DP19</f>
        <v>4000</v>
      </c>
      <c r="AC19" s="1">
        <f>'抽奖|MoonBless'!DQ19</f>
        <v>2</v>
      </c>
      <c r="AD19" s="1">
        <f>'抽奖|MoonBless'!DR19</f>
        <v>1208</v>
      </c>
      <c r="AE19" s="177">
        <f>'抽奖|MoonBless'!DS19</f>
        <v>1</v>
      </c>
    </row>
    <row r="20" spans="1:31" s="86" customFormat="1" x14ac:dyDescent="0.35">
      <c r="A20" s="137">
        <v>4506</v>
      </c>
      <c r="B20" s="138">
        <v>1</v>
      </c>
      <c r="C20" s="138">
        <v>1</v>
      </c>
      <c r="D20" s="138">
        <v>1</v>
      </c>
      <c r="E20" s="139">
        <v>-1</v>
      </c>
      <c r="F20" s="140" t="s">
        <v>2051</v>
      </c>
      <c r="G20" s="141">
        <v>1</v>
      </c>
      <c r="H20" s="140"/>
      <c r="I20" s="141"/>
      <c r="J20" s="140"/>
      <c r="K20" s="141"/>
      <c r="L20" s="140"/>
      <c r="M20" s="141"/>
      <c r="N20" s="138"/>
      <c r="O20" s="141"/>
      <c r="P20" s="158"/>
      <c r="Q20" s="165" t="str">
        <f t="shared" ref="Q20:Q34" si="2">IF(AND((B20=1),(G20+I20+K20+M20+O20&gt;1)),G20+I20+K20+M20+O20&amp;"，错误概率",G20+I20+K20+M20+O20&amp;"，正确")</f>
        <v>1，正确</v>
      </c>
      <c r="U20" s="166"/>
      <c r="W20" s="169" t="s">
        <v>2052</v>
      </c>
      <c r="X20" s="170">
        <v>500</v>
      </c>
      <c r="Y20" s="1">
        <f>RIGHT(F35,LEN(F35)-4)*G35+RIGHT(H35,LEN(H35)-4)*I35+RIGHT(J35,LEN(J35)-4)*K35+RIGHT(L35,LEN(L35)-4)*M35+RIGHT(N35,LEN(N35)-4)*O35</f>
        <v>500.05220408163336</v>
      </c>
      <c r="Z20" s="1" t="str">
        <f>'抽奖|MoonBless'!DN20</f>
        <v>30元话费卡</v>
      </c>
      <c r="AA20" s="1">
        <f>'抽奖|MoonBless'!DO20</f>
        <v>30</v>
      </c>
      <c r="AB20" s="1">
        <f>'抽奖|MoonBless'!DP20</f>
        <v>600</v>
      </c>
      <c r="AC20" s="1">
        <f>'抽奖|MoonBless'!DQ20</f>
        <v>2</v>
      </c>
      <c r="AD20" s="1">
        <f>'抽奖|MoonBless'!DR20</f>
        <v>1209</v>
      </c>
      <c r="AE20" s="177">
        <f>'抽奖|MoonBless'!DS20</f>
        <v>1</v>
      </c>
    </row>
    <row r="21" spans="1:31" s="86" customFormat="1" x14ac:dyDescent="0.35">
      <c r="A21" s="142">
        <v>4507</v>
      </c>
      <c r="B21" s="117">
        <v>1</v>
      </c>
      <c r="C21" s="117">
        <v>1</v>
      </c>
      <c r="D21" s="117">
        <v>1</v>
      </c>
      <c r="E21" s="11">
        <v>-1</v>
      </c>
      <c r="F21" s="143" t="s">
        <v>2053</v>
      </c>
      <c r="G21" s="144">
        <v>1</v>
      </c>
      <c r="H21" s="143"/>
      <c r="I21" s="144"/>
      <c r="J21" s="143"/>
      <c r="K21" s="144"/>
      <c r="L21" s="143"/>
      <c r="M21" s="144"/>
      <c r="N21" s="117"/>
      <c r="O21" s="144"/>
      <c r="P21" s="159"/>
      <c r="Q21" s="165" t="str">
        <f t="shared" si="2"/>
        <v>1，正确</v>
      </c>
      <c r="U21" s="166"/>
      <c r="W21" s="169" t="s">
        <v>2054</v>
      </c>
      <c r="X21" s="170">
        <v>1000</v>
      </c>
      <c r="Y21" s="1">
        <f>RIGHT(F36,LEN(F36)-4)*G36+RIGHT(H36,LEN(H36)-4)*I36+RIGHT(J36,LEN(J36)-4)*K36+RIGHT(L36,LEN(L36)-4)*M36+RIGHT(N36,LEN(N36)-4)*O36</f>
        <v>1000.4872060004725</v>
      </c>
      <c r="Z21" s="1" t="str">
        <f>'抽奖|MoonBless'!DN21</f>
        <v>50元话费卡</v>
      </c>
      <c r="AA21" s="1">
        <f>'抽奖|MoonBless'!DO21</f>
        <v>50</v>
      </c>
      <c r="AB21" s="1">
        <f>'抽奖|MoonBless'!DP21</f>
        <v>1000</v>
      </c>
      <c r="AC21" s="1">
        <f>'抽奖|MoonBless'!DQ21</f>
        <v>2</v>
      </c>
      <c r="AD21" s="1">
        <f>'抽奖|MoonBless'!DR21</f>
        <v>1210</v>
      </c>
      <c r="AE21" s="177">
        <f>'抽奖|MoonBless'!DS21</f>
        <v>1</v>
      </c>
    </row>
    <row r="22" spans="1:31" s="86" customFormat="1" x14ac:dyDescent="0.35">
      <c r="A22" s="142">
        <v>4508</v>
      </c>
      <c r="B22" s="117">
        <v>1</v>
      </c>
      <c r="C22" s="117">
        <v>1</v>
      </c>
      <c r="D22" s="117">
        <v>1</v>
      </c>
      <c r="E22" s="11">
        <v>-1</v>
      </c>
      <c r="F22" s="143" t="s">
        <v>2055</v>
      </c>
      <c r="G22" s="144">
        <v>0.6</v>
      </c>
      <c r="H22" s="143" t="s">
        <v>2031</v>
      </c>
      <c r="I22" s="144">
        <v>0</v>
      </c>
      <c r="J22" s="143" t="s">
        <v>2022</v>
      </c>
      <c r="K22" s="144">
        <f>1-G22</f>
        <v>0.4</v>
      </c>
      <c r="L22" s="143" t="s">
        <v>2038</v>
      </c>
      <c r="M22" s="144">
        <v>0</v>
      </c>
      <c r="N22" s="117"/>
      <c r="O22" s="144"/>
      <c r="P22" s="159"/>
      <c r="Q22" s="165" t="str">
        <f t="shared" si="2"/>
        <v>1，正确</v>
      </c>
      <c r="U22" s="166"/>
      <c r="W22" s="169" t="s">
        <v>2056</v>
      </c>
      <c r="X22" s="170">
        <v>2000</v>
      </c>
      <c r="Y22" s="1">
        <f>RIGHT(F37,LEN(F37)-4)*G37+RIGHT(H37,LEN(H37)-4)*I37+RIGHT(J37,LEN(J37)-4)*K37+RIGHT(L37,LEN(L37)-4)*M37+RIGHT(N37,LEN(N37)-4)*O37</f>
        <v>2000.1313520884387</v>
      </c>
      <c r="Z22" s="1" t="str">
        <f>'抽奖|MoonBless'!DN22</f>
        <v>活跃度</v>
      </c>
      <c r="AA22" s="1">
        <f>'抽奖|MoonBless'!DO22</f>
        <v>1</v>
      </c>
      <c r="AB22" s="1">
        <f>'抽奖|MoonBless'!DP22</f>
        <v>20</v>
      </c>
      <c r="AC22" s="1">
        <f>'抽奖|MoonBless'!DQ22</f>
        <v>1</v>
      </c>
      <c r="AD22" s="1">
        <f>'抽奖|MoonBless'!DR22</f>
        <v>6</v>
      </c>
      <c r="AE22" s="177">
        <f>'抽奖|MoonBless'!DS22</f>
        <v>1</v>
      </c>
    </row>
    <row r="23" spans="1:31" s="86" customFormat="1" x14ac:dyDescent="0.35">
      <c r="A23" s="142">
        <v>4509</v>
      </c>
      <c r="B23" s="117">
        <v>1</v>
      </c>
      <c r="C23" s="117">
        <v>1</v>
      </c>
      <c r="D23" s="117">
        <v>1</v>
      </c>
      <c r="E23" s="11">
        <v>-1</v>
      </c>
      <c r="F23" s="143" t="s">
        <v>2055</v>
      </c>
      <c r="G23" s="144">
        <v>0</v>
      </c>
      <c r="H23" s="143" t="s">
        <v>2031</v>
      </c>
      <c r="I23" s="144">
        <f>1-M23</f>
        <v>0.5</v>
      </c>
      <c r="J23" s="143" t="s">
        <v>2022</v>
      </c>
      <c r="K23" s="144">
        <v>0</v>
      </c>
      <c r="L23" s="143" t="s">
        <v>2038</v>
      </c>
      <c r="M23" s="144">
        <v>0.5</v>
      </c>
      <c r="N23" s="117"/>
      <c r="O23" s="144"/>
      <c r="P23" s="159"/>
      <c r="Q23" s="165" t="str">
        <f t="shared" si="2"/>
        <v>1，正确</v>
      </c>
      <c r="U23" s="166"/>
      <c r="W23" s="171" t="s">
        <v>2057</v>
      </c>
      <c r="X23" s="172">
        <v>3500</v>
      </c>
      <c r="Y23" s="1">
        <f>RIGHT(F38,LEN(F38)-4)*G38+RIGHT(H38,LEN(H38)-4)*I38+RIGHT(J38,LEN(J38)-4)*K38+RIGHT(L38,LEN(L38)-4)*M38+RIGHT(N38,LEN(N38)-4)*O38</f>
        <v>3500.4895781515115</v>
      </c>
      <c r="Z23" s="1" t="str">
        <f>'抽奖|MoonBless'!DN23</f>
        <v>红包【恭】</v>
      </c>
      <c r="AA23" s="1">
        <f>'抽奖|MoonBless'!DO23</f>
        <v>1</v>
      </c>
      <c r="AB23" s="1">
        <f>'抽奖|MoonBless'!DP23</f>
        <v>20</v>
      </c>
      <c r="AC23" s="1">
        <f>'抽奖|MoonBless'!DQ23</f>
        <v>2</v>
      </c>
      <c r="AD23" s="1">
        <f>'抽奖|MoonBless'!DR23</f>
        <v>1301</v>
      </c>
      <c r="AE23" s="177">
        <f>'抽奖|MoonBless'!DS23</f>
        <v>1</v>
      </c>
    </row>
    <row r="24" spans="1:31" s="86" customFormat="1" x14ac:dyDescent="0.35">
      <c r="A24" s="145">
        <v>4510</v>
      </c>
      <c r="B24" s="146">
        <v>1</v>
      </c>
      <c r="C24" s="146">
        <v>1</v>
      </c>
      <c r="D24" s="146">
        <v>1</v>
      </c>
      <c r="E24" s="147">
        <v>-1</v>
      </c>
      <c r="F24" s="148" t="s">
        <v>2017</v>
      </c>
      <c r="G24" s="149">
        <v>0.4</v>
      </c>
      <c r="H24" s="148"/>
      <c r="I24" s="149"/>
      <c r="J24" s="160"/>
      <c r="K24" s="149"/>
      <c r="L24" s="160"/>
      <c r="M24" s="149"/>
      <c r="N24" s="146"/>
      <c r="O24" s="149"/>
      <c r="P24" s="161"/>
      <c r="Q24" s="165" t="str">
        <f t="shared" si="2"/>
        <v>0.4，正确</v>
      </c>
      <c r="U24" s="166"/>
      <c r="V24" s="1"/>
      <c r="W24" s="1"/>
      <c r="X24" s="1"/>
      <c r="Y24" s="1"/>
      <c r="Z24" s="1" t="str">
        <f>'抽奖|MoonBless'!DN24</f>
        <v>红包【喜】</v>
      </c>
      <c r="AA24" s="1">
        <f>'抽奖|MoonBless'!DO24</f>
        <v>1</v>
      </c>
      <c r="AB24" s="1">
        <f>'抽奖|MoonBless'!DP24</f>
        <v>20</v>
      </c>
      <c r="AC24" s="1">
        <f>'抽奖|MoonBless'!DQ24</f>
        <v>2</v>
      </c>
      <c r="AD24" s="1">
        <f>'抽奖|MoonBless'!DR24</f>
        <v>1302</v>
      </c>
      <c r="AE24" s="177">
        <f>'抽奖|MoonBless'!DS24</f>
        <v>1</v>
      </c>
    </row>
    <row r="25" spans="1:31" s="86" customFormat="1" x14ac:dyDescent="0.35">
      <c r="A25" s="150">
        <v>4511</v>
      </c>
      <c r="B25" s="138">
        <v>1</v>
      </c>
      <c r="C25" s="138">
        <v>1</v>
      </c>
      <c r="D25" s="138">
        <v>1</v>
      </c>
      <c r="E25" s="139">
        <v>-1</v>
      </c>
      <c r="F25" s="140" t="s">
        <v>2058</v>
      </c>
      <c r="G25" s="141">
        <v>1</v>
      </c>
      <c r="H25" s="140"/>
      <c r="I25" s="141"/>
      <c r="J25" s="140"/>
      <c r="K25" s="141"/>
      <c r="L25" s="140"/>
      <c r="M25" s="141"/>
      <c r="N25" s="138"/>
      <c r="O25" s="141"/>
      <c r="P25" s="158"/>
      <c r="Q25" s="165" t="str">
        <f t="shared" si="2"/>
        <v>1，正确</v>
      </c>
      <c r="U25" s="166"/>
      <c r="V25" s="1"/>
      <c r="W25" s="1"/>
      <c r="X25" s="1"/>
      <c r="Y25" s="1"/>
      <c r="Z25" s="1" t="str">
        <f>'抽奖|MoonBless'!DN25</f>
        <v>红包【发】</v>
      </c>
      <c r="AA25" s="1">
        <f>'抽奖|MoonBless'!DO25</f>
        <v>1</v>
      </c>
      <c r="AB25" s="1">
        <f>'抽奖|MoonBless'!DP25</f>
        <v>20</v>
      </c>
      <c r="AC25" s="1">
        <f>'抽奖|MoonBless'!DQ25</f>
        <v>2</v>
      </c>
      <c r="AD25" s="1">
        <f>'抽奖|MoonBless'!DR25</f>
        <v>1303</v>
      </c>
      <c r="AE25" s="177">
        <f>'抽奖|MoonBless'!DS25</f>
        <v>1</v>
      </c>
    </row>
    <row r="26" spans="1:31" s="86" customFormat="1" x14ac:dyDescent="0.35">
      <c r="A26" s="151">
        <v>4512</v>
      </c>
      <c r="B26" s="117">
        <v>1</v>
      </c>
      <c r="C26" s="117">
        <v>1</v>
      </c>
      <c r="D26" s="117">
        <v>1</v>
      </c>
      <c r="E26" s="11">
        <v>-1</v>
      </c>
      <c r="F26" s="143" t="s">
        <v>2059</v>
      </c>
      <c r="G26" s="144">
        <v>1</v>
      </c>
      <c r="H26" s="143"/>
      <c r="I26" s="144"/>
      <c r="J26" s="143"/>
      <c r="K26" s="144"/>
      <c r="L26" s="143"/>
      <c r="M26" s="144"/>
      <c r="N26" s="117"/>
      <c r="O26" s="144"/>
      <c r="P26" s="159"/>
      <c r="Q26" s="165" t="str">
        <f t="shared" si="2"/>
        <v>1，正确</v>
      </c>
      <c r="U26" s="166"/>
      <c r="V26" s="1"/>
      <c r="W26" s="1"/>
      <c r="X26" s="1"/>
      <c r="Y26" s="1"/>
      <c r="Z26" s="1" t="str">
        <f>'抽奖|MoonBless'!DN26</f>
        <v>红包【财】</v>
      </c>
      <c r="AA26" s="1">
        <f>'抽奖|MoonBless'!DO26</f>
        <v>1</v>
      </c>
      <c r="AB26" s="1">
        <f>'抽奖|MoonBless'!DP26</f>
        <v>20</v>
      </c>
      <c r="AC26" s="1">
        <f>'抽奖|MoonBless'!DQ26</f>
        <v>2</v>
      </c>
      <c r="AD26" s="1">
        <f>'抽奖|MoonBless'!DR26</f>
        <v>1304</v>
      </c>
      <c r="AE26" s="177">
        <f>'抽奖|MoonBless'!DS26</f>
        <v>1</v>
      </c>
    </row>
    <row r="27" spans="1:31" s="86" customFormat="1" x14ac:dyDescent="0.35">
      <c r="A27" s="151">
        <v>4513</v>
      </c>
      <c r="B27" s="117">
        <v>1</v>
      </c>
      <c r="C27" s="117">
        <v>1</v>
      </c>
      <c r="D27" s="117">
        <v>1</v>
      </c>
      <c r="E27" s="11">
        <v>-1</v>
      </c>
      <c r="F27" s="143" t="s">
        <v>2060</v>
      </c>
      <c r="G27" s="144">
        <v>0.6</v>
      </c>
      <c r="H27" s="143" t="s">
        <v>2037</v>
      </c>
      <c r="I27" s="144">
        <v>0</v>
      </c>
      <c r="J27" s="143" t="s">
        <v>2061</v>
      </c>
      <c r="K27" s="144">
        <f>1-G27</f>
        <v>0.4</v>
      </c>
      <c r="L27" s="143" t="s">
        <v>2062</v>
      </c>
      <c r="M27" s="144">
        <v>0</v>
      </c>
      <c r="N27" s="117"/>
      <c r="O27" s="144"/>
      <c r="P27" s="159"/>
      <c r="Q27" s="165" t="str">
        <f t="shared" si="2"/>
        <v>1，正确</v>
      </c>
      <c r="U27" s="166"/>
      <c r="V27" s="1"/>
      <c r="W27" s="1"/>
      <c r="X27" s="1"/>
      <c r="Y27" s="1"/>
      <c r="Z27" s="1" t="str">
        <f>'抽奖|MoonBless'!DN27</f>
        <v>双轮</v>
      </c>
      <c r="AA27" s="1">
        <f>'抽奖|MoonBless'!DO27</f>
        <v>30</v>
      </c>
      <c r="AB27" s="1">
        <f>'抽奖|MoonBless'!DP27</f>
        <v>600</v>
      </c>
      <c r="AC27" s="1">
        <f>'抽奖|MoonBless'!DQ27</f>
        <v>2</v>
      </c>
      <c r="AD27" s="1">
        <f>'抽奖|MoonBless'!DR27</f>
        <v>1500</v>
      </c>
      <c r="AE27" s="177">
        <f>'抽奖|MoonBless'!DS27</f>
        <v>1</v>
      </c>
    </row>
    <row r="28" spans="1:31" s="86" customFormat="1" x14ac:dyDescent="0.35">
      <c r="A28" s="151">
        <v>4514</v>
      </c>
      <c r="B28" s="117">
        <v>1</v>
      </c>
      <c r="C28" s="117">
        <v>1</v>
      </c>
      <c r="D28" s="117">
        <v>1</v>
      </c>
      <c r="E28" s="11">
        <v>-1</v>
      </c>
      <c r="F28" s="143" t="s">
        <v>2060</v>
      </c>
      <c r="G28" s="144">
        <v>0</v>
      </c>
      <c r="H28" s="143" t="s">
        <v>2037</v>
      </c>
      <c r="I28" s="144">
        <f>1-M28</f>
        <v>0.5</v>
      </c>
      <c r="J28" s="143" t="s">
        <v>2061</v>
      </c>
      <c r="K28" s="144">
        <v>0</v>
      </c>
      <c r="L28" s="143" t="s">
        <v>2062</v>
      </c>
      <c r="M28" s="144">
        <v>0.5</v>
      </c>
      <c r="N28" s="117"/>
      <c r="O28" s="144"/>
      <c r="P28" s="159"/>
      <c r="Q28" s="165" t="str">
        <f t="shared" si="2"/>
        <v>1，正确</v>
      </c>
      <c r="U28" s="166"/>
      <c r="V28" s="1"/>
      <c r="W28" s="1"/>
      <c r="X28" s="1"/>
      <c r="Y28" s="1"/>
      <c r="Z28" s="1" t="str">
        <f>'抽奖|MoonBless'!DN28</f>
        <v>橄榄油</v>
      </c>
      <c r="AA28" s="1">
        <f>'抽奖|MoonBless'!DO28</f>
        <v>60</v>
      </c>
      <c r="AB28" s="1">
        <f>'抽奖|MoonBless'!DP28</f>
        <v>1200</v>
      </c>
      <c r="AC28" s="1">
        <f>'抽奖|MoonBless'!DQ28</f>
        <v>2</v>
      </c>
      <c r="AD28" s="1">
        <f>'抽奖|MoonBless'!DR28</f>
        <v>1503</v>
      </c>
      <c r="AE28" s="177">
        <f>'抽奖|MoonBless'!DS28</f>
        <v>1</v>
      </c>
    </row>
    <row r="29" spans="1:31" s="86" customFormat="1" x14ac:dyDescent="0.35">
      <c r="A29" s="152">
        <v>4515</v>
      </c>
      <c r="B29" s="146">
        <v>1</v>
      </c>
      <c r="C29" s="146">
        <v>1</v>
      </c>
      <c r="D29" s="146">
        <v>1</v>
      </c>
      <c r="E29" s="147">
        <v>-1</v>
      </c>
      <c r="F29" s="148" t="s">
        <v>2017</v>
      </c>
      <c r="G29" s="149">
        <v>0.4</v>
      </c>
      <c r="H29" s="148"/>
      <c r="I29" s="149"/>
      <c r="J29" s="160"/>
      <c r="K29" s="149"/>
      <c r="L29" s="160"/>
      <c r="M29" s="149"/>
      <c r="N29" s="146"/>
      <c r="O29" s="149"/>
      <c r="P29" s="161"/>
      <c r="Q29" s="165" t="str">
        <f t="shared" si="2"/>
        <v>0.4，正确</v>
      </c>
      <c r="U29" s="166"/>
      <c r="V29" s="1"/>
      <c r="W29" s="1"/>
      <c r="X29" s="1"/>
      <c r="Y29" s="1"/>
      <c r="Z29" s="1" t="str">
        <f>'抽奖|MoonBless'!DN29</f>
        <v>米面礼包</v>
      </c>
      <c r="AA29" s="1">
        <f>'抽奖|MoonBless'!DO29</f>
        <v>82.5</v>
      </c>
      <c r="AB29" s="1">
        <f>'抽奖|MoonBless'!DP29</f>
        <v>1650</v>
      </c>
      <c r="AC29" s="1">
        <f>'抽奖|MoonBless'!DQ29</f>
        <v>2</v>
      </c>
      <c r="AD29" s="1">
        <f>'抽奖|MoonBless'!DR29</f>
        <v>1504</v>
      </c>
      <c r="AE29" s="177">
        <f>'抽奖|MoonBless'!DS29</f>
        <v>1</v>
      </c>
    </row>
    <row r="30" spans="1:31" s="86" customFormat="1" x14ac:dyDescent="0.35">
      <c r="A30" s="137">
        <v>4516</v>
      </c>
      <c r="B30" s="138">
        <v>1</v>
      </c>
      <c r="C30" s="138">
        <v>1</v>
      </c>
      <c r="D30" s="138">
        <v>1</v>
      </c>
      <c r="E30" s="139">
        <v>-1</v>
      </c>
      <c r="F30" s="140" t="s">
        <v>2058</v>
      </c>
      <c r="G30" s="141">
        <v>1</v>
      </c>
      <c r="H30" s="140"/>
      <c r="I30" s="141"/>
      <c r="J30" s="140"/>
      <c r="K30" s="141"/>
      <c r="L30" s="140"/>
      <c r="M30" s="141"/>
      <c r="N30" s="138"/>
      <c r="O30" s="141"/>
      <c r="P30" s="158"/>
      <c r="Q30" s="165" t="str">
        <f t="shared" si="2"/>
        <v>1，正确</v>
      </c>
      <c r="U30" s="166"/>
      <c r="V30" s="1"/>
      <c r="W30" s="1"/>
      <c r="X30" s="1"/>
      <c r="Y30" s="1"/>
      <c r="Z30" s="1" t="str">
        <f>'抽奖|MoonBless'!DN30</f>
        <v>买单券</v>
      </c>
      <c r="AA30" s="1">
        <f>'抽奖|MoonBless'!DO30</f>
        <v>0.75</v>
      </c>
      <c r="AB30" s="1">
        <f>'抽奖|MoonBless'!DP30</f>
        <v>15</v>
      </c>
      <c r="AC30" s="1">
        <f>'抽奖|MoonBless'!DQ30</f>
        <v>2</v>
      </c>
      <c r="AD30" s="1">
        <f>'抽奖|MoonBless'!DR30</f>
        <v>1213</v>
      </c>
      <c r="AE30" s="177">
        <f>'抽奖|MoonBless'!DS30</f>
        <v>1</v>
      </c>
    </row>
    <row r="31" spans="1:31" s="86" customFormat="1" x14ac:dyDescent="0.35">
      <c r="A31" s="142">
        <v>4517</v>
      </c>
      <c r="B31" s="117">
        <v>1</v>
      </c>
      <c r="C31" s="117">
        <v>1</v>
      </c>
      <c r="D31" s="117">
        <v>1</v>
      </c>
      <c r="E31" s="11">
        <v>-1</v>
      </c>
      <c r="F31" s="143" t="s">
        <v>2040</v>
      </c>
      <c r="G31" s="144">
        <v>1</v>
      </c>
      <c r="H31" s="143"/>
      <c r="I31" s="144"/>
      <c r="J31" s="143"/>
      <c r="K31" s="144"/>
      <c r="L31" s="143"/>
      <c r="M31" s="144"/>
      <c r="N31" s="117"/>
      <c r="O31" s="144"/>
      <c r="P31" s="159"/>
      <c r="Q31" s="165" t="str">
        <f t="shared" si="2"/>
        <v>1，正确</v>
      </c>
      <c r="U31" s="166"/>
      <c r="V31" s="1"/>
      <c r="W31" s="1"/>
      <c r="X31" s="1"/>
      <c r="Y31" s="1"/>
      <c r="Z31" s="1" t="str">
        <f>'抽奖|MoonBless'!DN31</f>
        <v>超级武器碎片1</v>
      </c>
      <c r="AA31" s="1">
        <f>'抽奖|MoonBless'!DO31</f>
        <v>0.25</v>
      </c>
      <c r="AB31" s="1">
        <f>'抽奖|MoonBless'!DP31</f>
        <v>5</v>
      </c>
      <c r="AC31" s="1">
        <f>'抽奖|MoonBless'!DQ31</f>
        <v>2</v>
      </c>
      <c r="AD31" s="1">
        <f>'抽奖|MoonBless'!DR31</f>
        <v>1015</v>
      </c>
      <c r="AE31" s="177">
        <f>'抽奖|MoonBless'!DS31</f>
        <v>1</v>
      </c>
    </row>
    <row r="32" spans="1:31" s="86" customFormat="1" x14ac:dyDescent="0.35">
      <c r="A32" s="142">
        <v>4518</v>
      </c>
      <c r="B32" s="117">
        <v>1</v>
      </c>
      <c r="C32" s="117">
        <v>1</v>
      </c>
      <c r="D32" s="117">
        <v>1</v>
      </c>
      <c r="E32" s="11">
        <v>-1</v>
      </c>
      <c r="F32" s="143" t="s">
        <v>2063</v>
      </c>
      <c r="G32" s="144">
        <v>0.6</v>
      </c>
      <c r="H32" s="143" t="s">
        <v>2042</v>
      </c>
      <c r="I32" s="144">
        <v>0</v>
      </c>
      <c r="J32" s="143" t="s">
        <v>2043</v>
      </c>
      <c r="K32" s="144">
        <f>1-G32</f>
        <v>0.4</v>
      </c>
      <c r="L32" s="143" t="s">
        <v>2064</v>
      </c>
      <c r="M32" s="144">
        <v>0</v>
      </c>
      <c r="N32" s="117"/>
      <c r="O32" s="144"/>
      <c r="P32" s="159"/>
      <c r="Q32" s="165" t="str">
        <f t="shared" si="2"/>
        <v>1，正确</v>
      </c>
      <c r="U32" s="166"/>
      <c r="V32" s="1"/>
      <c r="W32" s="1"/>
      <c r="X32" s="1"/>
      <c r="Y32" s="1"/>
      <c r="Z32" s="1" t="str">
        <f>'抽奖|MoonBless'!DN32</f>
        <v>超级武器碎片2</v>
      </c>
      <c r="AA32" s="1">
        <f>'抽奖|MoonBless'!DO32</f>
        <v>0.5</v>
      </c>
      <c r="AB32" s="1">
        <f>'抽奖|MoonBless'!DP32</f>
        <v>10</v>
      </c>
      <c r="AC32" s="1">
        <f>'抽奖|MoonBless'!DQ32</f>
        <v>2</v>
      </c>
      <c r="AD32" s="1">
        <f>'抽奖|MoonBless'!DR32</f>
        <v>1016</v>
      </c>
      <c r="AE32" s="177">
        <f>'抽奖|MoonBless'!DS32</f>
        <v>1</v>
      </c>
    </row>
    <row r="33" spans="1:31" s="86" customFormat="1" x14ac:dyDescent="0.35">
      <c r="A33" s="142">
        <v>4519</v>
      </c>
      <c r="B33" s="117">
        <v>1</v>
      </c>
      <c r="C33" s="117">
        <v>1</v>
      </c>
      <c r="D33" s="117">
        <v>1</v>
      </c>
      <c r="E33" s="11">
        <v>-1</v>
      </c>
      <c r="F33" s="143" t="s">
        <v>2063</v>
      </c>
      <c r="G33" s="144">
        <v>0</v>
      </c>
      <c r="H33" s="143" t="s">
        <v>2042</v>
      </c>
      <c r="I33" s="144">
        <f>1-M33</f>
        <v>0.5</v>
      </c>
      <c r="J33" s="143" t="s">
        <v>2043</v>
      </c>
      <c r="K33" s="144">
        <v>0</v>
      </c>
      <c r="L33" s="143" t="s">
        <v>2064</v>
      </c>
      <c r="M33" s="144">
        <v>0.5</v>
      </c>
      <c r="N33" s="117"/>
      <c r="O33" s="144"/>
      <c r="P33" s="159"/>
      <c r="Q33" s="165" t="str">
        <f t="shared" si="2"/>
        <v>1，正确</v>
      </c>
      <c r="U33" s="166"/>
      <c r="V33" s="1"/>
      <c r="W33" s="1"/>
      <c r="X33" s="1"/>
      <c r="Y33" s="1"/>
      <c r="Z33" s="1"/>
      <c r="AA33" s="1"/>
      <c r="AB33" s="1"/>
      <c r="AC33" s="1"/>
      <c r="AD33" s="1"/>
      <c r="AE33" s="177"/>
    </row>
    <row r="34" spans="1:31" s="86" customFormat="1" x14ac:dyDescent="0.35">
      <c r="A34" s="145">
        <v>4520</v>
      </c>
      <c r="B34" s="146">
        <v>1</v>
      </c>
      <c r="C34" s="146">
        <v>1</v>
      </c>
      <c r="D34" s="146">
        <v>1</v>
      </c>
      <c r="E34" s="147">
        <v>-1</v>
      </c>
      <c r="F34" s="148" t="s">
        <v>2017</v>
      </c>
      <c r="G34" s="149">
        <v>0.4</v>
      </c>
      <c r="H34" s="148"/>
      <c r="I34" s="149"/>
      <c r="J34" s="160"/>
      <c r="K34" s="149"/>
      <c r="L34" s="160"/>
      <c r="M34" s="149"/>
      <c r="N34" s="146"/>
      <c r="O34" s="149"/>
      <c r="P34" s="161"/>
      <c r="Q34" s="165" t="str">
        <f t="shared" si="2"/>
        <v>0.4，正确</v>
      </c>
      <c r="U34" s="166"/>
      <c r="V34" s="1"/>
      <c r="W34" s="1"/>
      <c r="X34" s="1"/>
      <c r="Y34" s="1"/>
      <c r="Z34" s="1"/>
      <c r="AA34" s="1"/>
      <c r="AB34" s="1"/>
      <c r="AC34" s="1"/>
      <c r="AD34" s="1"/>
      <c r="AE34" s="177"/>
    </row>
    <row r="35" spans="1:31" s="86" customFormat="1" ht="16.2" x14ac:dyDescent="0.35">
      <c r="A35" s="86">
        <v>4701</v>
      </c>
      <c r="B35" s="86">
        <v>1</v>
      </c>
      <c r="C35" s="86">
        <v>1</v>
      </c>
      <c r="D35" s="86">
        <v>1</v>
      </c>
      <c r="E35" s="1">
        <v>-1</v>
      </c>
      <c r="F35" s="39" t="s">
        <v>2065</v>
      </c>
      <c r="G35" s="135">
        <v>0.27915000000000001</v>
      </c>
      <c r="H35" s="39" t="s">
        <v>2066</v>
      </c>
      <c r="I35" s="135">
        <v>0.24198250728862999</v>
      </c>
      <c r="J35" s="39" t="s">
        <v>2067</v>
      </c>
      <c r="K35" s="135">
        <v>0.233236151603499</v>
      </c>
      <c r="L35" s="39" t="s">
        <v>2068</v>
      </c>
      <c r="M35" s="135">
        <v>0.233236151603499</v>
      </c>
      <c r="N35" s="39" t="s">
        <v>2069</v>
      </c>
      <c r="O35" s="135">
        <v>1.23951895043732E-2</v>
      </c>
      <c r="P35" s="162" t="s">
        <v>2052</v>
      </c>
      <c r="Q35" s="165" t="str">
        <f t="shared" si="0"/>
        <v>1，正确</v>
      </c>
      <c r="R35" s="162"/>
      <c r="S35" s="166" t="s">
        <v>2070</v>
      </c>
      <c r="U35" s="166"/>
    </row>
    <row r="36" spans="1:31" s="86" customFormat="1" ht="16.2" x14ac:dyDescent="0.35">
      <c r="A36" s="86">
        <v>4702</v>
      </c>
      <c r="B36" s="86">
        <v>1</v>
      </c>
      <c r="C36" s="86">
        <v>1</v>
      </c>
      <c r="D36" s="86">
        <v>1</v>
      </c>
      <c r="E36" s="1">
        <v>-1</v>
      </c>
      <c r="F36" s="39" t="s">
        <v>2071</v>
      </c>
      <c r="G36" s="135">
        <v>0.28279500000000002</v>
      </c>
      <c r="H36" s="39" t="s">
        <v>2072</v>
      </c>
      <c r="I36" s="135">
        <v>0.23623907394283</v>
      </c>
      <c r="J36" s="39" t="s">
        <v>2073</v>
      </c>
      <c r="K36" s="135">
        <v>0.23623907394283</v>
      </c>
      <c r="L36" s="39" t="s">
        <v>2074</v>
      </c>
      <c r="M36" s="135">
        <v>0.23623907394283</v>
      </c>
      <c r="N36" s="39" t="s">
        <v>2075</v>
      </c>
      <c r="O36" s="135">
        <v>8.4877781715096395E-3</v>
      </c>
      <c r="P36" s="162" t="s">
        <v>2054</v>
      </c>
      <c r="Q36" s="165" t="str">
        <f t="shared" si="0"/>
        <v>1，正确</v>
      </c>
      <c r="R36" s="162"/>
      <c r="S36" s="68"/>
      <c r="U36" s="166"/>
    </row>
    <row r="37" spans="1:31" s="86" customFormat="1" ht="16.2" x14ac:dyDescent="0.35">
      <c r="A37" s="86">
        <v>4703</v>
      </c>
      <c r="B37" s="86">
        <v>1</v>
      </c>
      <c r="C37" s="86">
        <v>1</v>
      </c>
      <c r="D37" s="86">
        <v>1</v>
      </c>
      <c r="E37" s="1">
        <v>-1</v>
      </c>
      <c r="F37" s="39" t="s">
        <v>2076</v>
      </c>
      <c r="G37" s="135">
        <v>0.21572</v>
      </c>
      <c r="H37" s="39" t="s">
        <v>2077</v>
      </c>
      <c r="I37" s="135">
        <v>0.23830012576951101</v>
      </c>
      <c r="J37" s="39" t="s">
        <v>2078</v>
      </c>
      <c r="K37" s="135">
        <v>0.26477791752167901</v>
      </c>
      <c r="L37" s="39" t="s">
        <v>2079</v>
      </c>
      <c r="M37" s="135">
        <v>0.26477791752167901</v>
      </c>
      <c r="N37" s="39" t="s">
        <v>2080</v>
      </c>
      <c r="O37" s="135">
        <v>1.6424039187131902E-2</v>
      </c>
      <c r="P37" s="162" t="s">
        <v>2056</v>
      </c>
      <c r="Q37" s="165" t="str">
        <f t="shared" si="0"/>
        <v>1，正确</v>
      </c>
      <c r="R37" s="162"/>
      <c r="S37" s="68"/>
      <c r="U37" s="166"/>
    </row>
    <row r="38" spans="1:31" s="86" customFormat="1" ht="16.2" x14ac:dyDescent="0.35">
      <c r="A38" s="86">
        <v>4704</v>
      </c>
      <c r="B38" s="86">
        <v>1</v>
      </c>
      <c r="C38" s="86">
        <v>1</v>
      </c>
      <c r="D38" s="86">
        <v>1</v>
      </c>
      <c r="E38" s="1">
        <v>-1</v>
      </c>
      <c r="F38" s="39" t="s">
        <v>2081</v>
      </c>
      <c r="G38" s="135">
        <v>0.206459</v>
      </c>
      <c r="H38" s="39" t="s">
        <v>2069</v>
      </c>
      <c r="I38" s="135">
        <v>0.25904260505020998</v>
      </c>
      <c r="J38" s="39" t="s">
        <v>2082</v>
      </c>
      <c r="K38" s="135">
        <v>0.25998505085957602</v>
      </c>
      <c r="L38" s="39" t="s">
        <v>2083</v>
      </c>
      <c r="M38" s="135">
        <v>0.25998505085957602</v>
      </c>
      <c r="N38" s="39" t="s">
        <v>2084</v>
      </c>
      <c r="O38" s="135">
        <v>1.45282932306393E-2</v>
      </c>
      <c r="P38" s="162" t="s">
        <v>2057</v>
      </c>
      <c r="Q38" s="165" t="str">
        <f t="shared" si="0"/>
        <v>1，正确</v>
      </c>
      <c r="R38" s="166" t="s">
        <v>2085</v>
      </c>
      <c r="S38" s="68" t="s">
        <v>2086</v>
      </c>
      <c r="T38" s="86" t="s">
        <v>1413</v>
      </c>
      <c r="U38" s="166"/>
    </row>
    <row r="39" spans="1:31" x14ac:dyDescent="0.35">
      <c r="A39" s="1">
        <v>4601</v>
      </c>
      <c r="B39" s="1">
        <v>3</v>
      </c>
      <c r="C39" s="1">
        <v>1</v>
      </c>
      <c r="D39" s="1">
        <v>1</v>
      </c>
      <c r="E39" s="153">
        <f>$R39/(60*5)/$T$39*50%/RIGHT(F39,1)/3+$R39/(60*5)/$T$39*25%/RIGHT(H39,1)/3+$R39/(60*5)/$T$39*25%/RIGHT(J39,1)/3</f>
        <v>2.3148148148148151E-3</v>
      </c>
      <c r="F39" s="39" t="s">
        <v>2026</v>
      </c>
      <c r="G39" s="135">
        <f>$R39/(60*5)/$T$39*50%/RIGHT(F39,1)/3</f>
        <v>1.1574074074074076E-3</v>
      </c>
      <c r="H39" s="39" t="s">
        <v>2027</v>
      </c>
      <c r="I39" s="135">
        <f>$R39/(60*5)/$T$39*25%/RIGHT(H39,1)/3</f>
        <v>5.7870370370370378E-4</v>
      </c>
      <c r="J39" s="39" t="s">
        <v>2028</v>
      </c>
      <c r="K39" s="135">
        <f>$R39/(60*5)/$T$39*25%/RIGHT(J39,1)/3</f>
        <v>5.7870370370370378E-4</v>
      </c>
      <c r="L39" s="39"/>
      <c r="Q39" s="164" t="str">
        <f t="shared" si="0"/>
        <v>0.00231481481481482，正确</v>
      </c>
      <c r="R39" s="63">
        <f>'鱼属性|FishAttribute'!E5</f>
        <v>2</v>
      </c>
      <c r="S39" s="173">
        <f t="shared" ref="S39:S88" si="3">G39+I39+K39+M39</f>
        <v>2.3148148148148151E-3</v>
      </c>
      <c r="T39" s="174">
        <f>'全局参数|GlobalPar'!B19/10000</f>
        <v>0.96</v>
      </c>
      <c r="V39" s="86"/>
      <c r="W39" s="86"/>
    </row>
    <row r="40" spans="1:31" x14ac:dyDescent="0.35">
      <c r="A40" s="1">
        <v>4602</v>
      </c>
      <c r="B40" s="1">
        <v>3</v>
      </c>
      <c r="C40" s="1">
        <v>1</v>
      </c>
      <c r="D40" s="1">
        <v>1</v>
      </c>
      <c r="E40" s="153">
        <f t="shared" ref="E40:E88" si="4">$R40/(60*5)/$T$39*50%/RIGHT(F40,1)/3+$R40/(60*5)/$T$39*25%/RIGHT(H40,1)/3+$R40/(60*5)/$T$39*25%/RIGHT(J40,1)/3</f>
        <v>2.3148148148148151E-3</v>
      </c>
      <c r="F40" s="39" t="s">
        <v>2026</v>
      </c>
      <c r="G40" s="135">
        <f t="shared" ref="G40:G88" si="5">$R40/(60*5)/$T$39*50%/RIGHT(F40,1)/3</f>
        <v>1.1574074074074076E-3</v>
      </c>
      <c r="H40" s="39" t="s">
        <v>2027</v>
      </c>
      <c r="I40" s="135">
        <f t="shared" ref="I40:I88" si="6">$R40/(60*5)/$T$39*25%/RIGHT(H40,1)/3</f>
        <v>5.7870370370370378E-4</v>
      </c>
      <c r="J40" s="39" t="s">
        <v>2028</v>
      </c>
      <c r="K40" s="135">
        <f t="shared" ref="K40:K88" si="7">$R40/(60*5)/$T$39*25%/RIGHT(J40,1)/3</f>
        <v>5.7870370370370378E-4</v>
      </c>
      <c r="Q40" s="164" t="str">
        <f t="shared" si="0"/>
        <v>0.00231481481481482，正确</v>
      </c>
      <c r="R40" s="63">
        <f>'鱼属性|FishAttribute'!E6</f>
        <v>2</v>
      </c>
      <c r="S40" s="173">
        <f t="shared" si="3"/>
        <v>2.3148148148148151E-3</v>
      </c>
    </row>
    <row r="41" spans="1:31" x14ac:dyDescent="0.35">
      <c r="A41" s="1">
        <v>4603</v>
      </c>
      <c r="B41" s="1">
        <v>3</v>
      </c>
      <c r="C41" s="1">
        <v>1</v>
      </c>
      <c r="D41" s="1">
        <v>1</v>
      </c>
      <c r="E41" s="153">
        <f t="shared" si="4"/>
        <v>3.4722222222222225E-3</v>
      </c>
      <c r="F41" s="39" t="s">
        <v>2026</v>
      </c>
      <c r="G41" s="135">
        <f t="shared" si="5"/>
        <v>1.7361111111111112E-3</v>
      </c>
      <c r="H41" s="39" t="s">
        <v>2027</v>
      </c>
      <c r="I41" s="135">
        <f t="shared" si="6"/>
        <v>8.6805555555555562E-4</v>
      </c>
      <c r="J41" s="39" t="s">
        <v>2028</v>
      </c>
      <c r="K41" s="135">
        <f t="shared" si="7"/>
        <v>8.6805555555555562E-4</v>
      </c>
      <c r="Q41" s="164" t="str">
        <f t="shared" si="0"/>
        <v>0.00347222222222222，正确</v>
      </c>
      <c r="R41" s="63">
        <f>'鱼属性|FishAttribute'!E7</f>
        <v>3</v>
      </c>
      <c r="S41" s="173">
        <f t="shared" si="3"/>
        <v>3.4722222222222225E-3</v>
      </c>
      <c r="V41" s="58"/>
      <c r="W41" s="175"/>
      <c r="X41" s="175"/>
    </row>
    <row r="42" spans="1:31" x14ac:dyDescent="0.35">
      <c r="A42" s="1">
        <v>4604</v>
      </c>
      <c r="B42" s="1">
        <v>3</v>
      </c>
      <c r="C42" s="1">
        <v>1</v>
      </c>
      <c r="D42" s="1">
        <v>1</v>
      </c>
      <c r="E42" s="153">
        <f t="shared" si="4"/>
        <v>4.6296296296296302E-3</v>
      </c>
      <c r="F42" s="39" t="s">
        <v>2026</v>
      </c>
      <c r="G42" s="135">
        <f t="shared" si="5"/>
        <v>2.3148148148148151E-3</v>
      </c>
      <c r="H42" s="39" t="s">
        <v>2027</v>
      </c>
      <c r="I42" s="135">
        <f t="shared" si="6"/>
        <v>1.1574074074074076E-3</v>
      </c>
      <c r="J42" s="39" t="s">
        <v>2028</v>
      </c>
      <c r="K42" s="135">
        <f t="shared" si="7"/>
        <v>1.1574074074074076E-3</v>
      </c>
      <c r="Q42" s="164" t="str">
        <f t="shared" si="0"/>
        <v>0.00462962962962963，正确</v>
      </c>
      <c r="R42" s="63">
        <f>'鱼属性|FishAttribute'!E8</f>
        <v>4</v>
      </c>
      <c r="S42" s="173">
        <f t="shared" si="3"/>
        <v>4.6296296296296302E-3</v>
      </c>
      <c r="W42" s="176"/>
      <c r="X42" s="176"/>
    </row>
    <row r="43" spans="1:31" x14ac:dyDescent="0.35">
      <c r="A43" s="1">
        <v>4605</v>
      </c>
      <c r="B43" s="1">
        <v>3</v>
      </c>
      <c r="C43" s="1">
        <v>1</v>
      </c>
      <c r="D43" s="1">
        <v>1</v>
      </c>
      <c r="E43" s="153">
        <f t="shared" si="4"/>
        <v>5.7870370370370376E-3</v>
      </c>
      <c r="F43" s="39" t="s">
        <v>2026</v>
      </c>
      <c r="G43" s="135">
        <f t="shared" si="5"/>
        <v>2.8935185185185188E-3</v>
      </c>
      <c r="H43" s="39" t="s">
        <v>2027</v>
      </c>
      <c r="I43" s="135">
        <f t="shared" si="6"/>
        <v>1.4467592592592594E-3</v>
      </c>
      <c r="J43" s="39" t="s">
        <v>2028</v>
      </c>
      <c r="K43" s="135">
        <f t="shared" si="7"/>
        <v>1.4467592592592594E-3</v>
      </c>
      <c r="Q43" s="164" t="str">
        <f t="shared" si="0"/>
        <v>0.00578703703703704，正确</v>
      </c>
      <c r="R43" s="63">
        <f>'鱼属性|FishAttribute'!E9</f>
        <v>5</v>
      </c>
      <c r="S43" s="173">
        <f t="shared" si="3"/>
        <v>5.7870370370370376E-3</v>
      </c>
    </row>
    <row r="44" spans="1:31" x14ac:dyDescent="0.35">
      <c r="A44" s="1">
        <v>4606</v>
      </c>
      <c r="B44" s="1">
        <v>3</v>
      </c>
      <c r="C44" s="1">
        <v>1</v>
      </c>
      <c r="D44" s="1">
        <v>1</v>
      </c>
      <c r="E44" s="153">
        <f t="shared" si="4"/>
        <v>5.7870370370370376E-3</v>
      </c>
      <c r="F44" s="39" t="s">
        <v>2026</v>
      </c>
      <c r="G44" s="135">
        <f t="shared" si="5"/>
        <v>2.8935185185185188E-3</v>
      </c>
      <c r="H44" s="39" t="s">
        <v>2027</v>
      </c>
      <c r="I44" s="135">
        <f t="shared" si="6"/>
        <v>1.4467592592592594E-3</v>
      </c>
      <c r="J44" s="39" t="s">
        <v>2028</v>
      </c>
      <c r="K44" s="135">
        <f t="shared" si="7"/>
        <v>1.4467592592592594E-3</v>
      </c>
      <c r="Q44" s="164" t="str">
        <f t="shared" si="0"/>
        <v>0.00578703703703704，正确</v>
      </c>
      <c r="R44" s="63">
        <f>'鱼属性|FishAttribute'!E10</f>
        <v>5</v>
      </c>
      <c r="S44" s="173">
        <f t="shared" si="3"/>
        <v>5.7870370370370376E-3</v>
      </c>
    </row>
    <row r="45" spans="1:31" x14ac:dyDescent="0.35">
      <c r="A45" s="1">
        <v>4607</v>
      </c>
      <c r="B45" s="1">
        <v>3</v>
      </c>
      <c r="C45" s="1">
        <v>1</v>
      </c>
      <c r="D45" s="1">
        <v>1</v>
      </c>
      <c r="E45" s="153">
        <f t="shared" si="4"/>
        <v>6.9444444444444449E-3</v>
      </c>
      <c r="F45" s="39" t="s">
        <v>2026</v>
      </c>
      <c r="G45" s="135">
        <f t="shared" si="5"/>
        <v>3.4722222222222225E-3</v>
      </c>
      <c r="H45" s="39" t="s">
        <v>2027</v>
      </c>
      <c r="I45" s="135">
        <f t="shared" si="6"/>
        <v>1.7361111111111112E-3</v>
      </c>
      <c r="J45" s="39" t="s">
        <v>2028</v>
      </c>
      <c r="K45" s="135">
        <f t="shared" si="7"/>
        <v>1.7361111111111112E-3</v>
      </c>
      <c r="Q45" s="164" t="str">
        <f t="shared" si="0"/>
        <v>0.00694444444444444，正确</v>
      </c>
      <c r="R45" s="63">
        <f>'鱼属性|FishAttribute'!E11</f>
        <v>6</v>
      </c>
      <c r="S45" s="173">
        <f t="shared" si="3"/>
        <v>6.9444444444444449E-3</v>
      </c>
    </row>
    <row r="46" spans="1:31" x14ac:dyDescent="0.35">
      <c r="A46" s="1">
        <v>4608</v>
      </c>
      <c r="B46" s="1">
        <v>3</v>
      </c>
      <c r="C46" s="1">
        <v>1</v>
      </c>
      <c r="D46" s="1">
        <v>1</v>
      </c>
      <c r="E46" s="153">
        <f t="shared" si="4"/>
        <v>8.1018518518518514E-3</v>
      </c>
      <c r="F46" s="39" t="s">
        <v>2026</v>
      </c>
      <c r="G46" s="135">
        <f t="shared" si="5"/>
        <v>4.0509259259259257E-3</v>
      </c>
      <c r="H46" s="39" t="s">
        <v>2027</v>
      </c>
      <c r="I46" s="135">
        <f t="shared" si="6"/>
        <v>2.0254629629629629E-3</v>
      </c>
      <c r="J46" s="39" t="s">
        <v>2028</v>
      </c>
      <c r="K46" s="135">
        <f t="shared" si="7"/>
        <v>2.0254629629629629E-3</v>
      </c>
      <c r="Q46" s="164" t="str">
        <f t="shared" si="0"/>
        <v>0.00810185185185185，正确</v>
      </c>
      <c r="R46" s="63">
        <f>'鱼属性|FishAttribute'!E12</f>
        <v>7</v>
      </c>
      <c r="S46" s="173">
        <f t="shared" si="3"/>
        <v>8.1018518518518514E-3</v>
      </c>
    </row>
    <row r="47" spans="1:31" x14ac:dyDescent="0.35">
      <c r="A47" s="1">
        <v>4609</v>
      </c>
      <c r="B47" s="1">
        <v>3</v>
      </c>
      <c r="C47" s="1">
        <v>1</v>
      </c>
      <c r="D47" s="1">
        <v>1</v>
      </c>
      <c r="E47" s="153">
        <f t="shared" si="4"/>
        <v>4.6296296296296302E-3</v>
      </c>
      <c r="F47" s="39" t="s">
        <v>2026</v>
      </c>
      <c r="G47" s="135">
        <f t="shared" si="5"/>
        <v>2.3148148148148151E-3</v>
      </c>
      <c r="H47" s="39" t="s">
        <v>2027</v>
      </c>
      <c r="I47" s="135">
        <f t="shared" si="6"/>
        <v>1.1574074074074076E-3</v>
      </c>
      <c r="J47" s="39" t="s">
        <v>2028</v>
      </c>
      <c r="K47" s="135">
        <f t="shared" si="7"/>
        <v>1.1574074074074076E-3</v>
      </c>
      <c r="Q47" s="164" t="str">
        <f t="shared" si="0"/>
        <v>0.00462962962962963，正确</v>
      </c>
      <c r="R47" s="63">
        <f>'鱼属性|FishAttribute'!E13</f>
        <v>4</v>
      </c>
      <c r="S47" s="173">
        <f t="shared" si="3"/>
        <v>4.6296296296296302E-3</v>
      </c>
    </row>
    <row r="48" spans="1:31" x14ac:dyDescent="0.35">
      <c r="A48" s="1">
        <v>4610</v>
      </c>
      <c r="B48" s="1">
        <v>3</v>
      </c>
      <c r="C48" s="1">
        <v>1</v>
      </c>
      <c r="D48" s="1">
        <v>1</v>
      </c>
      <c r="E48" s="153">
        <f t="shared" si="4"/>
        <v>9.2592592592592605E-3</v>
      </c>
      <c r="F48" s="39" t="s">
        <v>2026</v>
      </c>
      <c r="G48" s="135">
        <f t="shared" si="5"/>
        <v>4.6296296296296302E-3</v>
      </c>
      <c r="H48" s="39" t="s">
        <v>2027</v>
      </c>
      <c r="I48" s="135">
        <f t="shared" si="6"/>
        <v>2.3148148148148151E-3</v>
      </c>
      <c r="J48" s="39" t="s">
        <v>2028</v>
      </c>
      <c r="K48" s="135">
        <f t="shared" si="7"/>
        <v>2.3148148148148151E-3</v>
      </c>
      <c r="Q48" s="164" t="str">
        <f t="shared" si="0"/>
        <v>0.00925925925925926，正确</v>
      </c>
      <c r="R48" s="63">
        <f>'鱼属性|FishAttribute'!E14</f>
        <v>8</v>
      </c>
      <c r="S48" s="173">
        <f t="shared" si="3"/>
        <v>9.2592592592592605E-3</v>
      </c>
    </row>
    <row r="49" spans="1:19" x14ac:dyDescent="0.35">
      <c r="A49" s="1">
        <v>4611</v>
      </c>
      <c r="B49" s="1">
        <v>3</v>
      </c>
      <c r="C49" s="1">
        <v>1</v>
      </c>
      <c r="D49" s="1">
        <v>1</v>
      </c>
      <c r="E49" s="153">
        <f t="shared" si="4"/>
        <v>1.1574074074074075E-2</v>
      </c>
      <c r="F49" s="39" t="s">
        <v>2026</v>
      </c>
      <c r="G49" s="135">
        <f t="shared" si="5"/>
        <v>5.7870370370370376E-3</v>
      </c>
      <c r="H49" s="39" t="s">
        <v>2027</v>
      </c>
      <c r="I49" s="135">
        <f t="shared" si="6"/>
        <v>2.8935185185185188E-3</v>
      </c>
      <c r="J49" s="39" t="s">
        <v>2028</v>
      </c>
      <c r="K49" s="135">
        <f t="shared" si="7"/>
        <v>2.8935185185185188E-3</v>
      </c>
      <c r="Q49" s="164" t="str">
        <f t="shared" si="0"/>
        <v>0.0115740740740741，正确</v>
      </c>
      <c r="R49" s="63">
        <f>'鱼属性|FishAttribute'!E15</f>
        <v>10</v>
      </c>
      <c r="S49" s="173">
        <f t="shared" si="3"/>
        <v>1.1574074074074075E-2</v>
      </c>
    </row>
    <row r="50" spans="1:19" x14ac:dyDescent="0.35">
      <c r="A50" s="1">
        <v>4612</v>
      </c>
      <c r="B50" s="1">
        <v>3</v>
      </c>
      <c r="C50" s="1">
        <v>1</v>
      </c>
      <c r="D50" s="1">
        <v>1</v>
      </c>
      <c r="E50" s="153">
        <f t="shared" si="4"/>
        <v>1.388888888888889E-2</v>
      </c>
      <c r="F50" s="39" t="s">
        <v>2026</v>
      </c>
      <c r="G50" s="135">
        <f t="shared" si="5"/>
        <v>6.9444444444444449E-3</v>
      </c>
      <c r="H50" s="39" t="s">
        <v>2027</v>
      </c>
      <c r="I50" s="135">
        <f t="shared" si="6"/>
        <v>3.4722222222222225E-3</v>
      </c>
      <c r="J50" s="39" t="s">
        <v>2028</v>
      </c>
      <c r="K50" s="135">
        <f t="shared" si="7"/>
        <v>3.4722222222222225E-3</v>
      </c>
      <c r="Q50" s="164" t="str">
        <f t="shared" si="0"/>
        <v>0.0138888888888889，正确</v>
      </c>
      <c r="R50" s="63">
        <f>'鱼属性|FishAttribute'!E16</f>
        <v>12</v>
      </c>
      <c r="S50" s="173">
        <f t="shared" si="3"/>
        <v>1.388888888888889E-2</v>
      </c>
    </row>
    <row r="51" spans="1:19" x14ac:dyDescent="0.35">
      <c r="A51" s="1">
        <v>4613</v>
      </c>
      <c r="B51" s="1">
        <v>3</v>
      </c>
      <c r="C51" s="1">
        <v>1</v>
      </c>
      <c r="D51" s="1">
        <v>1</v>
      </c>
      <c r="E51" s="153">
        <f t="shared" si="4"/>
        <v>1.388888888888889E-2</v>
      </c>
      <c r="F51" s="39" t="s">
        <v>2026</v>
      </c>
      <c r="G51" s="135">
        <f t="shared" si="5"/>
        <v>6.9444444444444449E-3</v>
      </c>
      <c r="H51" s="39" t="s">
        <v>2027</v>
      </c>
      <c r="I51" s="135">
        <f t="shared" si="6"/>
        <v>3.4722222222222225E-3</v>
      </c>
      <c r="J51" s="39" t="s">
        <v>2028</v>
      </c>
      <c r="K51" s="135">
        <f t="shared" si="7"/>
        <v>3.4722222222222225E-3</v>
      </c>
      <c r="Q51" s="164" t="str">
        <f t="shared" si="0"/>
        <v>0.0138888888888889，正确</v>
      </c>
      <c r="R51" s="63">
        <f>'鱼属性|FishAttribute'!E17</f>
        <v>12</v>
      </c>
      <c r="S51" s="173">
        <f t="shared" si="3"/>
        <v>1.388888888888889E-2</v>
      </c>
    </row>
    <row r="52" spans="1:19" x14ac:dyDescent="0.35">
      <c r="A52" s="1">
        <v>4614</v>
      </c>
      <c r="B52" s="1">
        <v>3</v>
      </c>
      <c r="C52" s="1">
        <v>1</v>
      </c>
      <c r="D52" s="1">
        <v>1</v>
      </c>
      <c r="E52" s="153">
        <f t="shared" si="4"/>
        <v>1.7361111111111112E-2</v>
      </c>
      <c r="F52" s="39" t="s">
        <v>2026</v>
      </c>
      <c r="G52" s="135">
        <f t="shared" si="5"/>
        <v>8.6805555555555559E-3</v>
      </c>
      <c r="H52" s="39" t="s">
        <v>2027</v>
      </c>
      <c r="I52" s="135">
        <f t="shared" si="6"/>
        <v>4.340277777777778E-3</v>
      </c>
      <c r="J52" s="39" t="s">
        <v>2028</v>
      </c>
      <c r="K52" s="135">
        <f t="shared" si="7"/>
        <v>4.340277777777778E-3</v>
      </c>
      <c r="Q52" s="164" t="str">
        <f t="shared" si="0"/>
        <v>0.0173611111111111，正确</v>
      </c>
      <c r="R52" s="63">
        <f>'鱼属性|FishAttribute'!E18</f>
        <v>15</v>
      </c>
      <c r="S52" s="173">
        <f t="shared" si="3"/>
        <v>1.7361111111111112E-2</v>
      </c>
    </row>
    <row r="53" spans="1:19" x14ac:dyDescent="0.35">
      <c r="A53" s="1">
        <v>4615</v>
      </c>
      <c r="B53" s="1">
        <v>3</v>
      </c>
      <c r="C53" s="1">
        <v>1</v>
      </c>
      <c r="D53" s="1">
        <v>1</v>
      </c>
      <c r="E53" s="153">
        <f t="shared" si="4"/>
        <v>1.7361111111111112E-2</v>
      </c>
      <c r="F53" s="39" t="s">
        <v>2026</v>
      </c>
      <c r="G53" s="135">
        <f t="shared" si="5"/>
        <v>8.6805555555555559E-3</v>
      </c>
      <c r="H53" s="39" t="s">
        <v>2027</v>
      </c>
      <c r="I53" s="135">
        <f t="shared" si="6"/>
        <v>4.340277777777778E-3</v>
      </c>
      <c r="J53" s="39" t="s">
        <v>2028</v>
      </c>
      <c r="K53" s="135">
        <f t="shared" si="7"/>
        <v>4.340277777777778E-3</v>
      </c>
      <c r="Q53" s="164" t="str">
        <f t="shared" si="0"/>
        <v>0.0173611111111111，正确</v>
      </c>
      <c r="R53" s="63">
        <f>'鱼属性|FishAttribute'!E19</f>
        <v>15</v>
      </c>
      <c r="S53" s="173">
        <f t="shared" si="3"/>
        <v>1.7361111111111112E-2</v>
      </c>
    </row>
    <row r="54" spans="1:19" x14ac:dyDescent="0.35">
      <c r="A54" s="1">
        <v>4616</v>
      </c>
      <c r="B54" s="1">
        <v>3</v>
      </c>
      <c r="C54" s="1">
        <v>1</v>
      </c>
      <c r="D54" s="1">
        <v>1</v>
      </c>
      <c r="E54" s="153">
        <f t="shared" si="4"/>
        <v>2.0833333333333332E-2</v>
      </c>
      <c r="F54" s="39" t="s">
        <v>2026</v>
      </c>
      <c r="G54" s="135">
        <f t="shared" si="5"/>
        <v>1.0416666666666666E-2</v>
      </c>
      <c r="H54" s="39" t="s">
        <v>2027</v>
      </c>
      <c r="I54" s="135">
        <f t="shared" si="6"/>
        <v>5.208333333333333E-3</v>
      </c>
      <c r="J54" s="39" t="s">
        <v>2028</v>
      </c>
      <c r="K54" s="135">
        <f t="shared" si="7"/>
        <v>5.208333333333333E-3</v>
      </c>
      <c r="Q54" s="164" t="str">
        <f t="shared" si="0"/>
        <v>0.0208333333333333，正确</v>
      </c>
      <c r="R54" s="63">
        <f>'鱼属性|FishAttribute'!E20</f>
        <v>18</v>
      </c>
      <c r="S54" s="173">
        <f t="shared" si="3"/>
        <v>2.0833333333333332E-2</v>
      </c>
    </row>
    <row r="55" spans="1:19" x14ac:dyDescent="0.35">
      <c r="A55" s="1">
        <v>4617</v>
      </c>
      <c r="B55" s="1">
        <v>3</v>
      </c>
      <c r="C55" s="1">
        <v>1</v>
      </c>
      <c r="D55" s="1">
        <v>1</v>
      </c>
      <c r="E55" s="153">
        <f t="shared" si="4"/>
        <v>2.314814814814815E-2</v>
      </c>
      <c r="F55" s="39" t="s">
        <v>2026</v>
      </c>
      <c r="G55" s="135">
        <f t="shared" si="5"/>
        <v>1.1574074074074075E-2</v>
      </c>
      <c r="H55" s="39" t="s">
        <v>2027</v>
      </c>
      <c r="I55" s="135">
        <f t="shared" si="6"/>
        <v>5.7870370370370376E-3</v>
      </c>
      <c r="J55" s="39" t="s">
        <v>2028</v>
      </c>
      <c r="K55" s="135">
        <f t="shared" si="7"/>
        <v>5.7870370370370376E-3</v>
      </c>
      <c r="Q55" s="164" t="str">
        <f t="shared" si="0"/>
        <v>0.0231481481481482，正确</v>
      </c>
      <c r="R55" s="63">
        <f>'鱼属性|FishAttribute'!E21</f>
        <v>20</v>
      </c>
      <c r="S55" s="173">
        <f t="shared" si="3"/>
        <v>2.314814814814815E-2</v>
      </c>
    </row>
    <row r="56" spans="1:19" x14ac:dyDescent="0.35">
      <c r="A56" s="1">
        <v>4618</v>
      </c>
      <c r="B56" s="1">
        <v>3</v>
      </c>
      <c r="C56" s="1">
        <v>1</v>
      </c>
      <c r="D56" s="1">
        <v>1</v>
      </c>
      <c r="E56" s="153">
        <f t="shared" si="4"/>
        <v>2.314814814814815E-2</v>
      </c>
      <c r="F56" s="39" t="s">
        <v>2026</v>
      </c>
      <c r="G56" s="135">
        <f t="shared" si="5"/>
        <v>1.1574074074074075E-2</v>
      </c>
      <c r="H56" s="39" t="s">
        <v>2027</v>
      </c>
      <c r="I56" s="135">
        <f t="shared" si="6"/>
        <v>5.7870370370370376E-3</v>
      </c>
      <c r="J56" s="39" t="s">
        <v>2028</v>
      </c>
      <c r="K56" s="135">
        <f t="shared" si="7"/>
        <v>5.7870370370370376E-3</v>
      </c>
      <c r="Q56" s="164" t="str">
        <f t="shared" si="0"/>
        <v>0.0231481481481482，正确</v>
      </c>
      <c r="R56" s="63">
        <f>'鱼属性|FishAttribute'!E22</f>
        <v>20</v>
      </c>
      <c r="S56" s="173">
        <f t="shared" si="3"/>
        <v>2.314814814814815E-2</v>
      </c>
    </row>
    <row r="57" spans="1:19" x14ac:dyDescent="0.35">
      <c r="A57" s="1">
        <v>4619</v>
      </c>
      <c r="B57" s="1">
        <v>3</v>
      </c>
      <c r="C57" s="1">
        <v>1</v>
      </c>
      <c r="D57" s="1">
        <v>1</v>
      </c>
      <c r="E57" s="153">
        <f t="shared" si="4"/>
        <v>3.4722222222222224E-2</v>
      </c>
      <c r="F57" s="39" t="s">
        <v>2026</v>
      </c>
      <c r="G57" s="135">
        <f t="shared" si="5"/>
        <v>1.7361111111111112E-2</v>
      </c>
      <c r="H57" s="39" t="s">
        <v>2027</v>
      </c>
      <c r="I57" s="135">
        <f t="shared" si="6"/>
        <v>8.6805555555555559E-3</v>
      </c>
      <c r="J57" s="39" t="s">
        <v>2028</v>
      </c>
      <c r="K57" s="135">
        <f t="shared" si="7"/>
        <v>8.6805555555555559E-3</v>
      </c>
      <c r="Q57" s="164" t="str">
        <f t="shared" si="0"/>
        <v>0.0347222222222222，正确</v>
      </c>
      <c r="R57" s="63">
        <f>'鱼属性|FishAttribute'!E23</f>
        <v>30</v>
      </c>
      <c r="S57" s="173">
        <f t="shared" si="3"/>
        <v>3.4722222222222224E-2</v>
      </c>
    </row>
    <row r="58" spans="1:19" x14ac:dyDescent="0.35">
      <c r="A58" s="1">
        <v>4620</v>
      </c>
      <c r="B58" s="1">
        <v>3</v>
      </c>
      <c r="C58" s="1">
        <v>1</v>
      </c>
      <c r="D58" s="1">
        <v>1</v>
      </c>
      <c r="E58" s="153">
        <f t="shared" si="4"/>
        <v>2.314814814814815E-2</v>
      </c>
      <c r="F58" s="39" t="s">
        <v>2026</v>
      </c>
      <c r="G58" s="135">
        <f t="shared" si="5"/>
        <v>1.1574074074074075E-2</v>
      </c>
      <c r="H58" s="39" t="s">
        <v>2027</v>
      </c>
      <c r="I58" s="135">
        <f t="shared" si="6"/>
        <v>5.7870370370370376E-3</v>
      </c>
      <c r="J58" s="39" t="s">
        <v>2028</v>
      </c>
      <c r="K58" s="135">
        <f t="shared" si="7"/>
        <v>5.7870370370370376E-3</v>
      </c>
      <c r="Q58" s="164" t="str">
        <f t="shared" si="0"/>
        <v>0.0231481481481482，正确</v>
      </c>
      <c r="R58" s="63">
        <f>'鱼属性|FishAttribute'!E24</f>
        <v>20</v>
      </c>
      <c r="S58" s="173">
        <f t="shared" si="3"/>
        <v>2.314814814814815E-2</v>
      </c>
    </row>
    <row r="59" spans="1:19" x14ac:dyDescent="0.35">
      <c r="A59" s="1">
        <v>4621</v>
      </c>
      <c r="B59" s="1">
        <v>3</v>
      </c>
      <c r="C59" s="1">
        <v>1</v>
      </c>
      <c r="D59" s="1">
        <v>1</v>
      </c>
      <c r="E59" s="153">
        <f t="shared" si="4"/>
        <v>2.8935185185185185E-2</v>
      </c>
      <c r="F59" s="39" t="s">
        <v>2026</v>
      </c>
      <c r="G59" s="135">
        <f t="shared" si="5"/>
        <v>1.4467592592592593E-2</v>
      </c>
      <c r="H59" s="39" t="s">
        <v>2027</v>
      </c>
      <c r="I59" s="135">
        <f t="shared" si="6"/>
        <v>7.2337962962962963E-3</v>
      </c>
      <c r="J59" s="39" t="s">
        <v>2028</v>
      </c>
      <c r="K59" s="135">
        <f t="shared" si="7"/>
        <v>7.2337962962962963E-3</v>
      </c>
      <c r="Q59" s="164" t="str">
        <f t="shared" si="0"/>
        <v>0.0289351851851852，正确</v>
      </c>
      <c r="R59" s="63">
        <f>'鱼属性|FishAttribute'!E25</f>
        <v>25</v>
      </c>
      <c r="S59" s="173">
        <f t="shared" si="3"/>
        <v>2.8935185185185185E-2</v>
      </c>
    </row>
    <row r="60" spans="1:19" x14ac:dyDescent="0.35">
      <c r="A60" s="1">
        <v>4622</v>
      </c>
      <c r="B60" s="1">
        <v>3</v>
      </c>
      <c r="C60" s="1">
        <v>1</v>
      </c>
      <c r="D60" s="1">
        <v>1</v>
      </c>
      <c r="E60" s="153">
        <f t="shared" si="4"/>
        <v>4.6296296296296302E-3</v>
      </c>
      <c r="F60" s="39" t="s">
        <v>2026</v>
      </c>
      <c r="G60" s="135">
        <f t="shared" si="5"/>
        <v>2.3148148148148151E-3</v>
      </c>
      <c r="H60" s="39" t="s">
        <v>2027</v>
      </c>
      <c r="I60" s="135">
        <f t="shared" si="6"/>
        <v>1.1574074074074076E-3</v>
      </c>
      <c r="J60" s="39" t="s">
        <v>2028</v>
      </c>
      <c r="K60" s="135">
        <f t="shared" si="7"/>
        <v>1.1574074074074076E-3</v>
      </c>
      <c r="Q60" s="164" t="str">
        <f t="shared" si="0"/>
        <v>0.00462962962962963，正确</v>
      </c>
      <c r="R60" s="63">
        <f>'鱼属性|FishAttribute'!E27</f>
        <v>4</v>
      </c>
      <c r="S60" s="173">
        <f t="shared" si="3"/>
        <v>4.6296296296296302E-3</v>
      </c>
    </row>
    <row r="61" spans="1:19" x14ac:dyDescent="0.35">
      <c r="A61" s="1">
        <v>4623</v>
      </c>
      <c r="B61" s="1">
        <v>3</v>
      </c>
      <c r="C61" s="1">
        <v>1</v>
      </c>
      <c r="D61" s="1">
        <v>1</v>
      </c>
      <c r="E61" s="153">
        <f t="shared" si="4"/>
        <v>3.4722222222222224E-2</v>
      </c>
      <c r="F61" s="39" t="s">
        <v>2026</v>
      </c>
      <c r="G61" s="135">
        <f t="shared" si="5"/>
        <v>1.7361111111111112E-2</v>
      </c>
      <c r="H61" s="39" t="s">
        <v>2027</v>
      </c>
      <c r="I61" s="135">
        <f t="shared" si="6"/>
        <v>8.6805555555555559E-3</v>
      </c>
      <c r="J61" s="39" t="s">
        <v>2028</v>
      </c>
      <c r="K61" s="135">
        <f t="shared" si="7"/>
        <v>8.6805555555555559E-3</v>
      </c>
      <c r="Q61" s="164" t="str">
        <f t="shared" si="0"/>
        <v>0.0347222222222222，正确</v>
      </c>
      <c r="R61" s="63">
        <f>'鱼属性|FishAttribute'!E28</f>
        <v>30</v>
      </c>
      <c r="S61" s="173">
        <f t="shared" si="3"/>
        <v>3.4722222222222224E-2</v>
      </c>
    </row>
    <row r="62" spans="1:19" x14ac:dyDescent="0.35">
      <c r="A62" s="1">
        <v>4624</v>
      </c>
      <c r="B62" s="1">
        <v>3</v>
      </c>
      <c r="C62" s="1">
        <v>1</v>
      </c>
      <c r="D62" s="1">
        <v>1</v>
      </c>
      <c r="E62" s="153">
        <f t="shared" si="4"/>
        <v>4.0509259259259266E-2</v>
      </c>
      <c r="F62" s="39" t="s">
        <v>2026</v>
      </c>
      <c r="G62" s="135">
        <f t="shared" si="5"/>
        <v>2.0254629629629633E-2</v>
      </c>
      <c r="H62" s="39" t="s">
        <v>2027</v>
      </c>
      <c r="I62" s="135">
        <f t="shared" si="6"/>
        <v>1.0127314814814816E-2</v>
      </c>
      <c r="J62" s="39" t="s">
        <v>2028</v>
      </c>
      <c r="K62" s="135">
        <f t="shared" si="7"/>
        <v>1.0127314814814816E-2</v>
      </c>
      <c r="Q62" s="164" t="str">
        <f t="shared" si="0"/>
        <v>0.0405092592592593，正确</v>
      </c>
      <c r="R62" s="63">
        <f>'鱼属性|FishAttribute'!E30</f>
        <v>35</v>
      </c>
      <c r="S62" s="173">
        <f t="shared" si="3"/>
        <v>4.0509259259259266E-2</v>
      </c>
    </row>
    <row r="63" spans="1:19" x14ac:dyDescent="0.35">
      <c r="A63" s="1">
        <v>4625</v>
      </c>
      <c r="B63" s="1">
        <v>3</v>
      </c>
      <c r="C63" s="1">
        <v>1</v>
      </c>
      <c r="D63" s="1">
        <v>1</v>
      </c>
      <c r="E63" s="153">
        <f t="shared" si="4"/>
        <v>5.2083333333333336E-2</v>
      </c>
      <c r="F63" s="39" t="s">
        <v>2026</v>
      </c>
      <c r="G63" s="135">
        <f t="shared" si="5"/>
        <v>2.6041666666666668E-2</v>
      </c>
      <c r="H63" s="39" t="s">
        <v>2027</v>
      </c>
      <c r="I63" s="135">
        <f t="shared" si="6"/>
        <v>1.3020833333333334E-2</v>
      </c>
      <c r="J63" s="39" t="s">
        <v>2028</v>
      </c>
      <c r="K63" s="135">
        <f t="shared" si="7"/>
        <v>1.3020833333333334E-2</v>
      </c>
      <c r="Q63" s="164" t="str">
        <f t="shared" si="0"/>
        <v>0.0520833333333333，正确</v>
      </c>
      <c r="R63" s="63">
        <f>'鱼属性|FishAttribute'!E31</f>
        <v>45</v>
      </c>
      <c r="S63" s="173">
        <f t="shared" si="3"/>
        <v>5.2083333333333336E-2</v>
      </c>
    </row>
    <row r="64" spans="1:19" x14ac:dyDescent="0.35">
      <c r="A64" s="1">
        <v>4626</v>
      </c>
      <c r="B64" s="1">
        <v>3</v>
      </c>
      <c r="C64" s="1">
        <v>1</v>
      </c>
      <c r="D64" s="1">
        <v>1</v>
      </c>
      <c r="E64" s="153">
        <f t="shared" si="4"/>
        <v>8.1018518518518531E-2</v>
      </c>
      <c r="F64" s="39" t="s">
        <v>2026</v>
      </c>
      <c r="G64" s="135">
        <f t="shared" si="5"/>
        <v>4.0509259259259266E-2</v>
      </c>
      <c r="H64" s="39" t="s">
        <v>2027</v>
      </c>
      <c r="I64" s="135">
        <f t="shared" si="6"/>
        <v>2.0254629629629633E-2</v>
      </c>
      <c r="J64" s="39" t="s">
        <v>2028</v>
      </c>
      <c r="K64" s="135">
        <f t="shared" si="7"/>
        <v>2.0254629629629633E-2</v>
      </c>
      <c r="Q64" s="164" t="str">
        <f t="shared" si="0"/>
        <v>0.0810185185185185，正确</v>
      </c>
      <c r="R64" s="63">
        <f>'鱼属性|FishAttribute'!E32</f>
        <v>70</v>
      </c>
      <c r="S64" s="173">
        <f t="shared" si="3"/>
        <v>8.1018518518518531E-2</v>
      </c>
    </row>
    <row r="65" spans="1:19" x14ac:dyDescent="0.35">
      <c r="A65" s="1">
        <v>4627</v>
      </c>
      <c r="B65" s="1">
        <v>3</v>
      </c>
      <c r="C65" s="1">
        <v>1</v>
      </c>
      <c r="D65" s="1">
        <v>1</v>
      </c>
      <c r="E65" s="153">
        <f t="shared" si="4"/>
        <v>9.2592592592592601E-2</v>
      </c>
      <c r="F65" s="39" t="s">
        <v>2026</v>
      </c>
      <c r="G65" s="135">
        <f t="shared" si="5"/>
        <v>4.6296296296296301E-2</v>
      </c>
      <c r="H65" s="39" t="s">
        <v>2027</v>
      </c>
      <c r="I65" s="135">
        <f t="shared" si="6"/>
        <v>2.314814814814815E-2</v>
      </c>
      <c r="J65" s="39" t="s">
        <v>2028</v>
      </c>
      <c r="K65" s="135">
        <f t="shared" si="7"/>
        <v>2.314814814814815E-2</v>
      </c>
      <c r="Q65" s="164" t="str">
        <f t="shared" si="0"/>
        <v>0.0925925925925926，正确</v>
      </c>
      <c r="R65" s="63">
        <f>'鱼属性|FishAttribute'!E33</f>
        <v>80</v>
      </c>
      <c r="S65" s="173">
        <f t="shared" si="3"/>
        <v>9.2592592592592601E-2</v>
      </c>
    </row>
    <row r="66" spans="1:19" x14ac:dyDescent="0.35">
      <c r="A66" s="1">
        <v>4628</v>
      </c>
      <c r="B66" s="1">
        <v>3</v>
      </c>
      <c r="C66" s="1">
        <v>1</v>
      </c>
      <c r="D66" s="1">
        <v>1</v>
      </c>
      <c r="E66" s="153">
        <f t="shared" si="4"/>
        <v>0.10416666666666667</v>
      </c>
      <c r="F66" s="39" t="s">
        <v>2026</v>
      </c>
      <c r="G66" s="135">
        <f t="shared" si="5"/>
        <v>5.2083333333333336E-2</v>
      </c>
      <c r="H66" s="39" t="s">
        <v>2027</v>
      </c>
      <c r="I66" s="135">
        <f t="shared" si="6"/>
        <v>2.6041666666666668E-2</v>
      </c>
      <c r="J66" s="39" t="s">
        <v>2028</v>
      </c>
      <c r="K66" s="135">
        <f t="shared" si="7"/>
        <v>2.6041666666666668E-2</v>
      </c>
      <c r="Q66" s="164" t="str">
        <f t="shared" si="0"/>
        <v>0.104166666666667，正确</v>
      </c>
      <c r="R66" s="63">
        <f>'鱼属性|FishAttribute'!E34</f>
        <v>90</v>
      </c>
      <c r="S66" s="173">
        <f t="shared" si="3"/>
        <v>0.10416666666666667</v>
      </c>
    </row>
    <row r="67" spans="1:19" x14ac:dyDescent="0.35">
      <c r="A67" s="1">
        <v>4629</v>
      </c>
      <c r="B67" s="1">
        <v>3</v>
      </c>
      <c r="C67" s="1">
        <v>1</v>
      </c>
      <c r="D67" s="1">
        <v>1</v>
      </c>
      <c r="E67" s="153">
        <f t="shared" si="4"/>
        <v>7.8125E-2</v>
      </c>
      <c r="F67" s="178" t="s">
        <v>2021</v>
      </c>
      <c r="G67" s="135">
        <f t="shared" si="5"/>
        <v>2.6041666666666668E-2</v>
      </c>
      <c r="H67" s="39" t="s">
        <v>2027</v>
      </c>
      <c r="I67" s="135">
        <f t="shared" si="6"/>
        <v>2.6041666666666668E-2</v>
      </c>
      <c r="J67" s="39" t="s">
        <v>2028</v>
      </c>
      <c r="K67" s="135">
        <f t="shared" si="7"/>
        <v>2.6041666666666668E-2</v>
      </c>
      <c r="Q67" s="164" t="str">
        <f t="shared" si="0"/>
        <v>0.078125，正确</v>
      </c>
      <c r="R67" s="63">
        <f>'鱼属性|FishAttribute'!E35</f>
        <v>90</v>
      </c>
      <c r="S67" s="173">
        <f t="shared" si="3"/>
        <v>7.8125E-2</v>
      </c>
    </row>
    <row r="68" spans="1:19" x14ac:dyDescent="0.35">
      <c r="A68" s="1">
        <v>4630</v>
      </c>
      <c r="B68" s="1">
        <v>3</v>
      </c>
      <c r="C68" s="1">
        <v>1</v>
      </c>
      <c r="D68" s="1">
        <v>1</v>
      </c>
      <c r="E68" s="153">
        <f t="shared" si="4"/>
        <v>9.5486111111111105E-2</v>
      </c>
      <c r="F68" s="178" t="s">
        <v>2021</v>
      </c>
      <c r="G68" s="135">
        <f t="shared" si="5"/>
        <v>3.1828703703703699E-2</v>
      </c>
      <c r="H68" s="39" t="s">
        <v>2027</v>
      </c>
      <c r="I68" s="135">
        <f t="shared" si="6"/>
        <v>3.1828703703703699E-2</v>
      </c>
      <c r="J68" s="39" t="s">
        <v>2028</v>
      </c>
      <c r="K68" s="135">
        <f t="shared" si="7"/>
        <v>3.1828703703703699E-2</v>
      </c>
      <c r="Q68" s="164" t="str">
        <f t="shared" si="0"/>
        <v>0.0954861111111111，正确</v>
      </c>
      <c r="R68" s="63">
        <f>'鱼属性|FishAttribute'!E36</f>
        <v>110</v>
      </c>
      <c r="S68" s="173">
        <f t="shared" si="3"/>
        <v>9.5486111111111105E-2</v>
      </c>
    </row>
    <row r="69" spans="1:19" x14ac:dyDescent="0.35">
      <c r="A69" s="1">
        <v>4631</v>
      </c>
      <c r="B69" s="1">
        <v>3</v>
      </c>
      <c r="C69" s="1">
        <v>1</v>
      </c>
      <c r="D69" s="1">
        <v>1</v>
      </c>
      <c r="E69" s="153">
        <f t="shared" si="4"/>
        <v>0.11284722222222222</v>
      </c>
      <c r="F69" s="178" t="s">
        <v>2021</v>
      </c>
      <c r="G69" s="135">
        <f t="shared" si="5"/>
        <v>3.7615740740740741E-2</v>
      </c>
      <c r="H69" s="39" t="s">
        <v>2027</v>
      </c>
      <c r="I69" s="135">
        <f t="shared" si="6"/>
        <v>3.7615740740740741E-2</v>
      </c>
      <c r="J69" s="39" t="s">
        <v>2028</v>
      </c>
      <c r="K69" s="135">
        <f t="shared" si="7"/>
        <v>3.7615740740740741E-2</v>
      </c>
      <c r="Q69" s="164" t="str">
        <f t="shared" si="0"/>
        <v>0.112847222222222，正确</v>
      </c>
      <c r="R69" s="63">
        <f>'鱼属性|FishAttribute'!E37</f>
        <v>130</v>
      </c>
      <c r="S69" s="173">
        <f t="shared" si="3"/>
        <v>0.11284722222222222</v>
      </c>
    </row>
    <row r="70" spans="1:19" x14ac:dyDescent="0.35">
      <c r="A70" s="1">
        <v>4632</v>
      </c>
      <c r="B70" s="1">
        <v>3</v>
      </c>
      <c r="C70" s="1">
        <v>1</v>
      </c>
      <c r="D70" s="1">
        <v>1</v>
      </c>
      <c r="E70" s="153">
        <f t="shared" si="4"/>
        <v>0.10489004629629629</v>
      </c>
      <c r="F70" s="178" t="s">
        <v>2021</v>
      </c>
      <c r="G70" s="135">
        <f t="shared" si="5"/>
        <v>4.1956018518518517E-2</v>
      </c>
      <c r="H70" s="39" t="s">
        <v>2027</v>
      </c>
      <c r="I70" s="135">
        <f t="shared" si="6"/>
        <v>4.1956018518518517E-2</v>
      </c>
      <c r="J70" s="179" t="s">
        <v>2023</v>
      </c>
      <c r="K70" s="135">
        <f t="shared" si="7"/>
        <v>2.0978009259259259E-2</v>
      </c>
      <c r="Q70" s="164" t="str">
        <f t="shared" si="0"/>
        <v>0.104890046296296，正确</v>
      </c>
      <c r="R70" s="63">
        <f>'鱼属性|FishAttribute'!E38</f>
        <v>145</v>
      </c>
      <c r="S70" s="173">
        <f t="shared" si="3"/>
        <v>0.10489004629629629</v>
      </c>
    </row>
    <row r="71" spans="1:19" x14ac:dyDescent="0.35">
      <c r="A71" s="1">
        <v>4633</v>
      </c>
      <c r="B71" s="1">
        <v>3</v>
      </c>
      <c r="C71" s="1">
        <v>1</v>
      </c>
      <c r="D71" s="1">
        <v>1</v>
      </c>
      <c r="E71" s="153">
        <f t="shared" si="4"/>
        <v>0.10850694444444446</v>
      </c>
      <c r="F71" s="178" t="s">
        <v>2021</v>
      </c>
      <c r="G71" s="135">
        <f t="shared" si="5"/>
        <v>4.3402777777777783E-2</v>
      </c>
      <c r="H71" s="39" t="s">
        <v>2027</v>
      </c>
      <c r="I71" s="135">
        <f t="shared" si="6"/>
        <v>4.3402777777777783E-2</v>
      </c>
      <c r="J71" s="179" t="s">
        <v>2023</v>
      </c>
      <c r="K71" s="135">
        <f t="shared" si="7"/>
        <v>2.1701388888888892E-2</v>
      </c>
      <c r="Q71" s="164" t="str">
        <f t="shared" si="0"/>
        <v>0.108506944444444，正确</v>
      </c>
      <c r="R71" s="63">
        <f>'鱼属性|FishAttribute'!E39</f>
        <v>150</v>
      </c>
      <c r="S71" s="173">
        <f t="shared" si="3"/>
        <v>0.10850694444444446</v>
      </c>
    </row>
    <row r="72" spans="1:19" x14ac:dyDescent="0.35">
      <c r="A72" s="1">
        <v>4634</v>
      </c>
      <c r="B72" s="1">
        <v>3</v>
      </c>
      <c r="C72" s="1">
        <v>1</v>
      </c>
      <c r="D72" s="1">
        <v>1</v>
      </c>
      <c r="E72" s="153">
        <f t="shared" si="4"/>
        <v>0.1121238425925926</v>
      </c>
      <c r="F72" s="178" t="s">
        <v>2021</v>
      </c>
      <c r="G72" s="135">
        <f t="shared" si="5"/>
        <v>4.4849537037037042E-2</v>
      </c>
      <c r="H72" s="39" t="s">
        <v>2027</v>
      </c>
      <c r="I72" s="135">
        <f t="shared" si="6"/>
        <v>4.4849537037037042E-2</v>
      </c>
      <c r="J72" s="179" t="s">
        <v>2023</v>
      </c>
      <c r="K72" s="135">
        <f t="shared" si="7"/>
        <v>2.2424768518518521E-2</v>
      </c>
      <c r="Q72" s="164" t="str">
        <f t="shared" si="0"/>
        <v>0.112123842592593，正确</v>
      </c>
      <c r="R72" s="63">
        <f>'鱼属性|FishAttribute'!E40</f>
        <v>155</v>
      </c>
      <c r="S72" s="173">
        <f t="shared" si="3"/>
        <v>0.1121238425925926</v>
      </c>
    </row>
    <row r="73" spans="1:19" x14ac:dyDescent="0.35">
      <c r="A73" s="1">
        <v>4635</v>
      </c>
      <c r="B73" s="1">
        <v>3</v>
      </c>
      <c r="C73" s="1">
        <v>1</v>
      </c>
      <c r="D73" s="1">
        <v>1</v>
      </c>
      <c r="E73" s="153">
        <f t="shared" si="4"/>
        <v>0.1736111111111111</v>
      </c>
      <c r="F73" s="178" t="s">
        <v>2021</v>
      </c>
      <c r="G73" s="135">
        <f t="shared" si="5"/>
        <v>6.9444444444444448E-2</v>
      </c>
      <c r="H73" s="39" t="s">
        <v>2027</v>
      </c>
      <c r="I73" s="135">
        <f t="shared" si="6"/>
        <v>6.9444444444444448E-2</v>
      </c>
      <c r="J73" s="179" t="s">
        <v>2023</v>
      </c>
      <c r="K73" s="135">
        <f t="shared" si="7"/>
        <v>3.4722222222222224E-2</v>
      </c>
      <c r="Q73" s="164" t="str">
        <f t="shared" si="0"/>
        <v>0.173611111111111，正确</v>
      </c>
      <c r="R73" s="63">
        <f>'鱼属性|FishAttribute'!E41</f>
        <v>240</v>
      </c>
      <c r="S73" s="173">
        <f t="shared" si="3"/>
        <v>0.1736111111111111</v>
      </c>
    </row>
    <row r="74" spans="1:19" x14ac:dyDescent="0.35">
      <c r="A74" s="1">
        <v>4636</v>
      </c>
      <c r="B74" s="1">
        <v>3</v>
      </c>
      <c r="C74" s="1">
        <v>1</v>
      </c>
      <c r="D74" s="1">
        <v>1</v>
      </c>
      <c r="E74" s="153">
        <f t="shared" si="4"/>
        <v>0.1736111111111111</v>
      </c>
      <c r="F74" s="178" t="s">
        <v>2021</v>
      </c>
      <c r="G74" s="135">
        <f t="shared" si="5"/>
        <v>6.9444444444444448E-2</v>
      </c>
      <c r="H74" s="39" t="s">
        <v>2027</v>
      </c>
      <c r="I74" s="135">
        <f t="shared" si="6"/>
        <v>6.9444444444444448E-2</v>
      </c>
      <c r="J74" s="179" t="s">
        <v>2023</v>
      </c>
      <c r="K74" s="135">
        <f t="shared" si="7"/>
        <v>3.4722222222222224E-2</v>
      </c>
      <c r="Q74" s="164" t="str">
        <f t="shared" si="0"/>
        <v>0.173611111111111，正确</v>
      </c>
      <c r="R74" s="63">
        <f>'鱼属性|FishAttribute'!E42</f>
        <v>240</v>
      </c>
      <c r="S74" s="173">
        <f t="shared" si="3"/>
        <v>0.1736111111111111</v>
      </c>
    </row>
    <row r="75" spans="1:19" x14ac:dyDescent="0.35">
      <c r="A75" s="1">
        <v>4637</v>
      </c>
      <c r="B75" s="1">
        <v>3</v>
      </c>
      <c r="C75" s="1">
        <v>1</v>
      </c>
      <c r="D75" s="1">
        <v>1</v>
      </c>
      <c r="E75" s="153">
        <f t="shared" si="4"/>
        <v>0.37615740740740738</v>
      </c>
      <c r="F75" s="178" t="s">
        <v>2021</v>
      </c>
      <c r="G75" s="135">
        <f t="shared" si="5"/>
        <v>0.18807870370370369</v>
      </c>
      <c r="H75" s="178" t="s">
        <v>2022</v>
      </c>
      <c r="I75" s="135">
        <f t="shared" si="6"/>
        <v>9.4039351851851846E-2</v>
      </c>
      <c r="J75" s="179" t="s">
        <v>2023</v>
      </c>
      <c r="K75" s="135">
        <f t="shared" si="7"/>
        <v>9.4039351851851846E-2</v>
      </c>
      <c r="Q75" s="164" t="str">
        <f t="shared" si="0"/>
        <v>0.376157407407407，正确</v>
      </c>
      <c r="R75" s="63">
        <f>'鱼属性|FishAttribute'!E43</f>
        <v>650</v>
      </c>
      <c r="S75" s="173">
        <f t="shared" si="3"/>
        <v>0.37615740740740738</v>
      </c>
    </row>
    <row r="76" spans="1:19" x14ac:dyDescent="0.35">
      <c r="A76" s="1">
        <v>4638</v>
      </c>
      <c r="B76" s="1">
        <v>3</v>
      </c>
      <c r="C76" s="1">
        <v>1</v>
      </c>
      <c r="D76" s="1">
        <v>1</v>
      </c>
      <c r="E76" s="153">
        <f t="shared" si="4"/>
        <v>0.11574074074074076</v>
      </c>
      <c r="F76" s="179" t="s">
        <v>2087</v>
      </c>
      <c r="G76" s="135">
        <f t="shared" si="5"/>
        <v>5.7870370370370378E-2</v>
      </c>
      <c r="H76" s="179" t="s">
        <v>2061</v>
      </c>
      <c r="I76" s="135">
        <f t="shared" si="6"/>
        <v>2.8935185185185189E-2</v>
      </c>
      <c r="J76" s="178" t="s">
        <v>2088</v>
      </c>
      <c r="K76" s="135">
        <f t="shared" si="7"/>
        <v>2.8935185185185189E-2</v>
      </c>
      <c r="Q76" s="164" t="str">
        <f t="shared" si="0"/>
        <v>0.115740740740741，正确</v>
      </c>
      <c r="R76" s="63">
        <f>'鱼属性|FishAttribute'!E44</f>
        <v>300</v>
      </c>
      <c r="S76" s="173">
        <f t="shared" si="3"/>
        <v>0.11574074074074076</v>
      </c>
    </row>
    <row r="77" spans="1:19" x14ac:dyDescent="0.35">
      <c r="A77" s="1">
        <v>4639</v>
      </c>
      <c r="B77" s="1">
        <v>3</v>
      </c>
      <c r="C77" s="1">
        <v>1</v>
      </c>
      <c r="D77" s="1">
        <v>1</v>
      </c>
      <c r="E77" s="153">
        <f t="shared" si="4"/>
        <v>0.18084490740740741</v>
      </c>
      <c r="F77" s="179" t="s">
        <v>2087</v>
      </c>
      <c r="G77" s="135">
        <f t="shared" si="5"/>
        <v>9.6450617283950615E-2</v>
      </c>
      <c r="H77" s="179" t="s">
        <v>2061</v>
      </c>
      <c r="I77" s="135">
        <f t="shared" si="6"/>
        <v>4.8225308641975308E-2</v>
      </c>
      <c r="J77" s="179" t="s">
        <v>2033</v>
      </c>
      <c r="K77" s="135">
        <f t="shared" si="7"/>
        <v>3.6168981481481483E-2</v>
      </c>
      <c r="Q77" s="164" t="str">
        <f t="shared" si="0"/>
        <v>0.180844907407407，正确</v>
      </c>
      <c r="R77" s="63">
        <f>'鱼属性|FishAttribute'!E45</f>
        <v>500</v>
      </c>
      <c r="S77" s="173">
        <f t="shared" si="3"/>
        <v>0.18084490740740741</v>
      </c>
    </row>
    <row r="78" spans="1:19" x14ac:dyDescent="0.35">
      <c r="A78" s="1">
        <v>4640</v>
      </c>
      <c r="B78" s="1">
        <v>3</v>
      </c>
      <c r="C78" s="1">
        <v>1</v>
      </c>
      <c r="D78" s="1">
        <v>1</v>
      </c>
      <c r="E78" s="153">
        <f t="shared" si="4"/>
        <v>0.1253858024691358</v>
      </c>
      <c r="F78" s="39" t="s">
        <v>2031</v>
      </c>
      <c r="G78" s="135">
        <f t="shared" si="5"/>
        <v>5.7870370370370371E-2</v>
      </c>
      <c r="H78" s="179" t="s">
        <v>2061</v>
      </c>
      <c r="I78" s="135">
        <f t="shared" si="6"/>
        <v>3.8580246913580245E-2</v>
      </c>
      <c r="J78" s="179" t="s">
        <v>2033</v>
      </c>
      <c r="K78" s="135">
        <f t="shared" si="7"/>
        <v>2.8935185185185185E-2</v>
      </c>
      <c r="Q78" s="164" t="str">
        <f t="shared" si="0"/>
        <v>0.125385802469136，正确</v>
      </c>
      <c r="R78" s="63">
        <f>'鱼属性|FishAttribute'!E46</f>
        <v>400</v>
      </c>
      <c r="S78" s="173">
        <f t="shared" si="3"/>
        <v>0.1253858024691358</v>
      </c>
    </row>
    <row r="79" spans="1:19" x14ac:dyDescent="0.35">
      <c r="A79" s="1">
        <v>4641</v>
      </c>
      <c r="B79" s="1">
        <v>3</v>
      </c>
      <c r="C79" s="1">
        <v>1</v>
      </c>
      <c r="D79" s="1">
        <v>1</v>
      </c>
      <c r="E79" s="153">
        <f t="shared" si="4"/>
        <v>0.25077160493827161</v>
      </c>
      <c r="F79" s="39" t="s">
        <v>2031</v>
      </c>
      <c r="G79" s="135">
        <f t="shared" si="5"/>
        <v>0.11574074074074074</v>
      </c>
      <c r="H79" s="179" t="s">
        <v>2061</v>
      </c>
      <c r="I79" s="135">
        <f t="shared" si="6"/>
        <v>7.716049382716049E-2</v>
      </c>
      <c r="J79" s="179" t="s">
        <v>2033</v>
      </c>
      <c r="K79" s="135">
        <f t="shared" si="7"/>
        <v>5.7870370370370371E-2</v>
      </c>
      <c r="Q79" s="164" t="str">
        <f t="shared" si="0"/>
        <v>0.250771604938272，正确</v>
      </c>
      <c r="R79" s="63">
        <f>'鱼属性|FishAttribute'!E47</f>
        <v>800</v>
      </c>
      <c r="S79" s="173">
        <f t="shared" si="3"/>
        <v>0.25077160493827161</v>
      </c>
    </row>
    <row r="80" spans="1:19" x14ac:dyDescent="0.35">
      <c r="A80" s="1">
        <v>4642</v>
      </c>
      <c r="B80" s="1">
        <v>3</v>
      </c>
      <c r="C80" s="1">
        <v>1</v>
      </c>
      <c r="D80" s="1">
        <v>1</v>
      </c>
      <c r="E80" s="153">
        <f t="shared" si="4"/>
        <v>0.18229166666666669</v>
      </c>
      <c r="F80" s="179" t="s">
        <v>2048</v>
      </c>
      <c r="G80" s="135">
        <f t="shared" si="5"/>
        <v>8.1018518518518531E-2</v>
      </c>
      <c r="H80" s="178" t="s">
        <v>2089</v>
      </c>
      <c r="I80" s="135">
        <f t="shared" si="6"/>
        <v>5.0636574074074077E-2</v>
      </c>
      <c r="J80" s="179" t="s">
        <v>2033</v>
      </c>
      <c r="K80" s="135">
        <f t="shared" si="7"/>
        <v>5.0636574074074077E-2</v>
      </c>
      <c r="Q80" s="164" t="str">
        <f t="shared" si="0"/>
        <v>0.182291666666667，正确</v>
      </c>
      <c r="R80" s="63">
        <f>'鱼属性|FishAttribute'!E48</f>
        <v>700</v>
      </c>
      <c r="S80" s="173">
        <f t="shared" si="3"/>
        <v>0.18229166666666669</v>
      </c>
    </row>
    <row r="81" spans="1:20" x14ac:dyDescent="0.35">
      <c r="A81" s="1">
        <v>4643</v>
      </c>
      <c r="B81" s="1">
        <v>3</v>
      </c>
      <c r="C81" s="1">
        <v>1</v>
      </c>
      <c r="D81" s="1">
        <v>1</v>
      </c>
      <c r="E81" s="153">
        <f t="shared" si="4"/>
        <v>0.26041666666666669</v>
      </c>
      <c r="F81" s="179" t="s">
        <v>2048</v>
      </c>
      <c r="G81" s="135">
        <f t="shared" si="5"/>
        <v>0.11574074074074074</v>
      </c>
      <c r="H81" s="178" t="s">
        <v>2089</v>
      </c>
      <c r="I81" s="135">
        <f t="shared" si="6"/>
        <v>7.2337962962962965E-2</v>
      </c>
      <c r="J81" s="179" t="s">
        <v>2033</v>
      </c>
      <c r="K81" s="135">
        <f t="shared" si="7"/>
        <v>7.2337962962962965E-2</v>
      </c>
      <c r="Q81" s="164" t="str">
        <f t="shared" si="0"/>
        <v>0.260416666666667，正确</v>
      </c>
      <c r="R81" s="63">
        <f>'鱼属性|FishAttribute'!E49</f>
        <v>1000</v>
      </c>
      <c r="S81" s="173">
        <f t="shared" si="3"/>
        <v>0.26041666666666669</v>
      </c>
    </row>
    <row r="82" spans="1:20" x14ac:dyDescent="0.35">
      <c r="A82" s="1">
        <v>4644</v>
      </c>
      <c r="B82" s="1">
        <v>3</v>
      </c>
      <c r="C82" s="1">
        <v>1</v>
      </c>
      <c r="D82" s="1">
        <v>1</v>
      </c>
      <c r="E82" s="153">
        <f t="shared" si="4"/>
        <v>0.11574074074074074</v>
      </c>
      <c r="F82" s="39" t="s">
        <v>2021</v>
      </c>
      <c r="G82" s="135">
        <f t="shared" si="5"/>
        <v>5.7870370370370371E-2</v>
      </c>
      <c r="H82" s="179" t="s">
        <v>2022</v>
      </c>
      <c r="I82" s="135">
        <f t="shared" si="6"/>
        <v>2.8935185185185185E-2</v>
      </c>
      <c r="J82" s="178" t="s">
        <v>2023</v>
      </c>
      <c r="K82" s="135">
        <f t="shared" si="7"/>
        <v>2.8935185185185185E-2</v>
      </c>
      <c r="Q82" s="164" t="str">
        <f t="shared" si="0"/>
        <v>0.115740740740741，正确</v>
      </c>
      <c r="R82" s="63">
        <f>'鱼属性|FishAttribute'!E50</f>
        <v>200</v>
      </c>
      <c r="S82" s="173">
        <f t="shared" si="3"/>
        <v>0.11574074074074074</v>
      </c>
    </row>
    <row r="83" spans="1:20" x14ac:dyDescent="0.35">
      <c r="A83" s="1">
        <v>4645</v>
      </c>
      <c r="B83" s="1">
        <v>3</v>
      </c>
      <c r="C83" s="1">
        <v>1</v>
      </c>
      <c r="D83" s="1">
        <v>1</v>
      </c>
      <c r="E83" s="153">
        <f t="shared" si="4"/>
        <v>0.11574074074074074</v>
      </c>
      <c r="F83" s="39" t="s">
        <v>2021</v>
      </c>
      <c r="G83" s="135">
        <f t="shared" si="5"/>
        <v>5.7870370370370371E-2</v>
      </c>
      <c r="H83" s="179" t="s">
        <v>2022</v>
      </c>
      <c r="I83" s="135">
        <f t="shared" si="6"/>
        <v>2.8935185185185185E-2</v>
      </c>
      <c r="J83" s="178" t="s">
        <v>2023</v>
      </c>
      <c r="K83" s="135">
        <f t="shared" si="7"/>
        <v>2.8935185185185185E-2</v>
      </c>
      <c r="Q83" s="164" t="str">
        <f t="shared" si="0"/>
        <v>0.115740740740741，正确</v>
      </c>
      <c r="R83" s="63">
        <f>'鱼属性|FishAttribute'!E51</f>
        <v>200</v>
      </c>
      <c r="S83" s="173">
        <f t="shared" si="3"/>
        <v>0.11574074074074074</v>
      </c>
    </row>
    <row r="84" spans="1:20" x14ac:dyDescent="0.35">
      <c r="A84" s="1">
        <v>4646</v>
      </c>
      <c r="B84" s="1">
        <v>3</v>
      </c>
      <c r="C84" s="1">
        <v>1</v>
      </c>
      <c r="D84" s="1">
        <v>1</v>
      </c>
      <c r="E84" s="153">
        <f t="shared" si="4"/>
        <v>0.17361111111111113</v>
      </c>
      <c r="F84" s="39" t="s">
        <v>2021</v>
      </c>
      <c r="G84" s="135">
        <f t="shared" si="5"/>
        <v>8.6805555555555566E-2</v>
      </c>
      <c r="H84" s="179" t="s">
        <v>2022</v>
      </c>
      <c r="I84" s="135">
        <f t="shared" si="6"/>
        <v>4.3402777777777783E-2</v>
      </c>
      <c r="J84" s="178" t="s">
        <v>2023</v>
      </c>
      <c r="K84" s="135">
        <f t="shared" si="7"/>
        <v>4.3402777777777783E-2</v>
      </c>
      <c r="Q84" s="164" t="str">
        <f t="shared" si="0"/>
        <v>0.173611111111111，正确</v>
      </c>
      <c r="R84" s="63">
        <f>'鱼属性|FishAttribute'!E52</f>
        <v>300</v>
      </c>
      <c r="S84" s="173">
        <f t="shared" si="3"/>
        <v>0.17361111111111113</v>
      </c>
    </row>
    <row r="85" spans="1:20" x14ac:dyDescent="0.35">
      <c r="A85" s="1">
        <v>4647</v>
      </c>
      <c r="B85" s="1">
        <v>3</v>
      </c>
      <c r="C85" s="1">
        <v>1</v>
      </c>
      <c r="D85" s="1">
        <v>1</v>
      </c>
      <c r="E85" s="153">
        <f t="shared" si="4"/>
        <v>0.17361111111111113</v>
      </c>
      <c r="F85" s="39" t="s">
        <v>2021</v>
      </c>
      <c r="G85" s="135">
        <f t="shared" si="5"/>
        <v>8.6805555555555566E-2</v>
      </c>
      <c r="H85" s="179" t="s">
        <v>2022</v>
      </c>
      <c r="I85" s="135">
        <f t="shared" si="6"/>
        <v>4.3402777777777783E-2</v>
      </c>
      <c r="J85" s="178" t="s">
        <v>2023</v>
      </c>
      <c r="K85" s="135">
        <f t="shared" si="7"/>
        <v>4.3402777777777783E-2</v>
      </c>
      <c r="Q85" s="164" t="str">
        <f t="shared" si="0"/>
        <v>0.173611111111111，正确</v>
      </c>
      <c r="R85" s="63">
        <f>'鱼属性|FishAttribute'!E53</f>
        <v>300</v>
      </c>
      <c r="S85" s="173">
        <f t="shared" si="3"/>
        <v>0.17361111111111113</v>
      </c>
    </row>
    <row r="86" spans="1:20" x14ac:dyDescent="0.35">
      <c r="A86" s="1">
        <v>4648</v>
      </c>
      <c r="B86" s="1">
        <v>3</v>
      </c>
      <c r="C86" s="1">
        <v>1</v>
      </c>
      <c r="D86" s="1">
        <v>1</v>
      </c>
      <c r="E86" s="153">
        <f t="shared" si="4"/>
        <v>0.23148148148148148</v>
      </c>
      <c r="F86" s="179" t="s">
        <v>2026</v>
      </c>
      <c r="G86" s="135">
        <f t="shared" si="5"/>
        <v>0.11574074074074074</v>
      </c>
      <c r="H86" s="39" t="s">
        <v>2027</v>
      </c>
      <c r="I86" s="135">
        <f t="shared" si="6"/>
        <v>5.7870370370370371E-2</v>
      </c>
      <c r="J86" s="39" t="s">
        <v>2028</v>
      </c>
      <c r="K86" s="135">
        <f t="shared" si="7"/>
        <v>5.7870370370370371E-2</v>
      </c>
      <c r="Q86" s="164" t="str">
        <f t="shared" si="0"/>
        <v>0.231481481481481，正确</v>
      </c>
      <c r="R86" s="63">
        <f>'鱼属性|FishAttribute'!E54</f>
        <v>200</v>
      </c>
      <c r="S86" s="173">
        <f t="shared" si="3"/>
        <v>0.23148148148148148</v>
      </c>
    </row>
    <row r="87" spans="1:20" x14ac:dyDescent="0.35">
      <c r="A87" s="1">
        <v>4649</v>
      </c>
      <c r="B87" s="1">
        <v>3</v>
      </c>
      <c r="C87" s="1">
        <v>1</v>
      </c>
      <c r="D87" s="1">
        <v>1</v>
      </c>
      <c r="E87" s="153">
        <f t="shared" si="4"/>
        <v>0.17361111111111113</v>
      </c>
      <c r="F87" s="179" t="s">
        <v>2026</v>
      </c>
      <c r="G87" s="135">
        <f t="shared" si="5"/>
        <v>8.6805555555555566E-2</v>
      </c>
      <c r="H87" s="39" t="s">
        <v>2027</v>
      </c>
      <c r="I87" s="135">
        <f t="shared" si="6"/>
        <v>4.3402777777777783E-2</v>
      </c>
      <c r="J87" s="39" t="s">
        <v>2028</v>
      </c>
      <c r="K87" s="135">
        <f t="shared" si="7"/>
        <v>4.3402777777777783E-2</v>
      </c>
      <c r="Q87" s="164" t="str">
        <f t="shared" si="0"/>
        <v>0.173611111111111，正确</v>
      </c>
      <c r="R87" s="63">
        <f>'鱼属性|FishAttribute'!E55</f>
        <v>150</v>
      </c>
      <c r="S87" s="173">
        <f t="shared" si="3"/>
        <v>0.17361111111111113</v>
      </c>
    </row>
    <row r="88" spans="1:20" x14ac:dyDescent="0.35">
      <c r="A88" s="1">
        <v>4650</v>
      </c>
      <c r="B88" s="1">
        <v>3</v>
      </c>
      <c r="C88" s="1">
        <v>1</v>
      </c>
      <c r="D88" s="1">
        <v>1</v>
      </c>
      <c r="E88" s="153">
        <f t="shared" si="4"/>
        <v>0.17361111111111113</v>
      </c>
      <c r="F88" s="39" t="s">
        <v>2021</v>
      </c>
      <c r="G88" s="135">
        <f t="shared" si="5"/>
        <v>8.6805555555555566E-2</v>
      </c>
      <c r="H88" s="39" t="s">
        <v>2022</v>
      </c>
      <c r="I88" s="135">
        <f t="shared" si="6"/>
        <v>4.3402777777777783E-2</v>
      </c>
      <c r="J88" s="39" t="s">
        <v>2023</v>
      </c>
      <c r="K88" s="135">
        <f t="shared" si="7"/>
        <v>4.3402777777777783E-2</v>
      </c>
      <c r="Q88" s="164" t="str">
        <f t="shared" si="0"/>
        <v>0.173611111111111，正确</v>
      </c>
      <c r="R88" s="63">
        <f>'鱼属性|FishAttribute'!E56</f>
        <v>300</v>
      </c>
      <c r="S88" s="173">
        <f t="shared" si="3"/>
        <v>0.17361111111111113</v>
      </c>
    </row>
    <row r="89" spans="1:20" ht="15.6" customHeight="1" x14ac:dyDescent="0.25">
      <c r="A89" s="1">
        <v>4801</v>
      </c>
      <c r="B89" s="1">
        <v>1</v>
      </c>
      <c r="C89" s="1">
        <v>1</v>
      </c>
      <c r="D89" s="1">
        <v>1</v>
      </c>
      <c r="E89" s="1">
        <v>-1</v>
      </c>
      <c r="F89" s="1" t="s">
        <v>2062</v>
      </c>
      <c r="G89" s="75">
        <v>0.15</v>
      </c>
      <c r="H89" s="1" t="s">
        <v>2090</v>
      </c>
      <c r="I89" s="75">
        <v>0.05</v>
      </c>
      <c r="J89" s="1" t="s">
        <v>2064</v>
      </c>
      <c r="K89" s="75">
        <v>0.3</v>
      </c>
      <c r="L89" s="1" t="s">
        <v>2091</v>
      </c>
      <c r="M89" s="75">
        <v>0.1</v>
      </c>
      <c r="T89" s="180" t="s">
        <v>2092</v>
      </c>
    </row>
    <row r="90" spans="1:20" x14ac:dyDescent="0.25">
      <c r="T90" s="180"/>
    </row>
    <row r="91" spans="1:20" x14ac:dyDescent="0.25">
      <c r="T91" s="180"/>
    </row>
    <row r="92" spans="1:20" x14ac:dyDescent="0.25">
      <c r="T92" s="180"/>
    </row>
  </sheetData>
  <phoneticPr fontId="64" type="noConversion"/>
  <conditionalFormatting sqref="K14">
    <cfRule type="containsText" dxfId="770" priority="503" operator="containsText" text=" ">
      <formula>NOT(ISERROR(SEARCH(" ",K14)))</formula>
    </cfRule>
  </conditionalFormatting>
  <conditionalFormatting sqref="M14">
    <cfRule type="containsText" dxfId="769" priority="502" operator="containsText" text=" ">
      <formula>NOT(ISERROR(SEARCH(" ",M14)))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M16">
    <cfRule type="cellIs" dxfId="768" priority="441" operator="equal">
      <formula>0</formula>
    </cfRule>
  </conditionalFormatting>
  <conditionalFormatting sqref="H1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ntainsText" dxfId="767" priority="448" operator="containsText" text=" ">
      <formula>NOT(ISERROR(SEARCH(" ",I16)))</formula>
    </cfRule>
  </conditionalFormatting>
  <conditionalFormatting sqref="K16">
    <cfRule type="containsText" dxfId="766" priority="447" operator="containsText" text=" ">
      <formula>NOT(ISERROR(SEARCH(" ",K16)))</formula>
    </cfRule>
  </conditionalFormatting>
  <conditionalFormatting sqref="M16">
    <cfRule type="containsText" dxfId="765" priority="446" operator="containsText" text=" ">
      <formula>NOT(ISERROR(SEARCH(" ",M16)))</formula>
    </cfRule>
  </conditionalFormatting>
  <conditionalFormatting sqref="O16">
    <cfRule type="containsText" dxfId="764" priority="453" operator="containsText" text=" ">
      <formula>NOT(ISERROR(SEARCH(" ",O16)))</formula>
    </cfRule>
  </conditionalFormatting>
  <conditionalFormatting sqref="Q16">
    <cfRule type="containsText" dxfId="763" priority="450" operator="containsText" text="正确">
      <formula>NOT(ISERROR(SEARCH("正确",Q16)))</formula>
    </cfRule>
    <cfRule type="cellIs" dxfId="762" priority="451" operator="equal">
      <formula>"正确"</formula>
    </cfRule>
    <cfRule type="containsText" dxfId="761" priority="452" operator="containsText" text="错误">
      <formula>NOT(ISERROR(SEARCH("错误",Q16)))</formula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">
    <cfRule type="containsText" dxfId="760" priority="176" operator="containsText" text=" ">
      <formula>NOT(ISERROR(SEARCH(" ",O20)))</formula>
    </cfRule>
  </conditionalFormatting>
  <conditionalFormatting sqref="F21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M21">
    <cfRule type="cellIs" dxfId="759" priority="145" operator="equal">
      <formula>0</formula>
    </cfRule>
  </conditionalFormatting>
  <conditionalFormatting sqref="H2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ntainsText" dxfId="758" priority="152" operator="containsText" text=" ">
      <formula>NOT(ISERROR(SEARCH(" ",I21)))</formula>
    </cfRule>
  </conditionalFormatting>
  <conditionalFormatting sqref="K21">
    <cfRule type="containsText" dxfId="757" priority="151" operator="containsText" text=" ">
      <formula>NOT(ISERROR(SEARCH(" ",K21)))</formula>
    </cfRule>
  </conditionalFormatting>
  <conditionalFormatting sqref="M21">
    <cfRule type="containsText" dxfId="756" priority="150" operator="containsText" text=" ">
      <formula>NOT(ISERROR(SEARCH(" ",M21)))</formula>
    </cfRule>
  </conditionalFormatting>
  <conditionalFormatting sqref="O21">
    <cfRule type="containsText" dxfId="755" priority="157" operator="containsText" text=" ">
      <formula>NOT(ISERROR(SEARCH(" ",O21)))</formula>
    </cfRule>
  </conditionalFormatting>
  <conditionalFormatting sqref="Q21">
    <cfRule type="containsText" dxfId="754" priority="154" operator="containsText" text="正确">
      <formula>NOT(ISERROR(SEARCH("正确",Q21)))</formula>
    </cfRule>
    <cfRule type="cellIs" dxfId="753" priority="155" operator="equal">
      <formula>"正确"</formula>
    </cfRule>
    <cfRule type="containsText" dxfId="752" priority="156" operator="containsText" text="错误">
      <formula>NOT(ISERROR(SEARCH("错误",Q21)))</formula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">
    <cfRule type="containsText" dxfId="751" priority="179" operator="containsText" text=" ">
      <formula>NOT(ISERROR(SEARCH(" ",I24)))</formula>
    </cfRule>
  </conditionalFormatting>
  <conditionalFormatting sqref="K24">
    <cfRule type="containsText" dxfId="750" priority="178" operator="containsText" text=" ">
      <formula>NOT(ISERROR(SEARCH(" ",K24)))</formula>
    </cfRule>
  </conditionalFormatting>
  <conditionalFormatting sqref="M24">
    <cfRule type="containsText" dxfId="749" priority="177" operator="containsText" text=" ">
      <formula>NOT(ISERROR(SEARCH(" ",M24)))</formula>
    </cfRule>
  </conditionalFormatting>
  <conditionalFormatting sqref="F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ellIs" dxfId="748" priority="9" operator="equal">
      <formula>0</formula>
    </cfRule>
    <cfRule type="containsText" dxfId="747" priority="10" operator="containsText" text=" ">
      <formula>NOT(ISERROR(SEARCH(" ",G25)))</formula>
    </cfRule>
  </conditionalFormatting>
  <conditionalFormatting sqref="O25">
    <cfRule type="containsText" dxfId="746" priority="132" operator="containsText" text=" ">
      <formula>NOT(ISERROR(SEARCH(" ",O25)))</formula>
    </cfRule>
  </conditionalFormatting>
  <conditionalFormatting sqref="F26">
    <cfRule type="cellIs" dxfId="745" priority="41" operator="equal">
      <formula>0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44" priority="44" operator="containsText" text=" ">
      <formula>NOT(ISERROR(SEARCH(" ",F26)))</formula>
    </cfRule>
  </conditionalFormatting>
  <conditionalFormatting sqref="G26:M26">
    <cfRule type="cellIs" dxfId="743" priority="101" operator="equal">
      <formula>0</formula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ntainsText" dxfId="742" priority="108" operator="containsText" text=" ">
      <formula>NOT(ISERROR(SEARCH(" ",I26)))</formula>
    </cfRule>
  </conditionalFormatting>
  <conditionalFormatting sqref="K26">
    <cfRule type="containsText" dxfId="741" priority="107" operator="containsText" text=" ">
      <formula>NOT(ISERROR(SEARCH(" ",K26)))</formula>
    </cfRule>
  </conditionalFormatting>
  <conditionalFormatting sqref="M26">
    <cfRule type="containsText" dxfId="740" priority="106" operator="containsText" text=" ">
      <formula>NOT(ISERROR(SEARCH(" ",M26)))</formula>
    </cfRule>
  </conditionalFormatting>
  <conditionalFormatting sqref="O26">
    <cfRule type="containsText" dxfId="739" priority="113" operator="containsText" text=" ">
      <formula>NOT(ISERROR(SEARCH(" ",O26)))</formula>
    </cfRule>
  </conditionalFormatting>
  <conditionalFormatting sqref="Q26">
    <cfRule type="containsText" dxfId="738" priority="110" operator="containsText" text="正确">
      <formula>NOT(ISERROR(SEARCH("正确",Q26)))</formula>
    </cfRule>
    <cfRule type="cellIs" dxfId="737" priority="111" operator="equal">
      <formula>"正确"</formula>
    </cfRule>
    <cfRule type="containsText" dxfId="736" priority="112" operator="containsText" text="错误">
      <formula>NOT(ISERROR(SEARCH("错误",Q26)))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5" priority="31" operator="equal">
      <formula>0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34" priority="34" operator="containsText" text=" ">
      <formula>NOT(ISERROR(SEARCH(" ",F27)))</formula>
    </cfRule>
  </conditionalFormatting>
  <conditionalFormatting sqref="F2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3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32" priority="28" operator="containsText" text=" ">
      <formula>NOT(ISERROR(SEARCH(" ",F28)))</formula>
    </cfRule>
  </conditionalFormatting>
  <conditionalFormatting sqref="F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ntainsText" dxfId="731" priority="135" operator="containsText" text=" ">
      <formula>NOT(ISERROR(SEARCH(" ",I29)))</formula>
    </cfRule>
  </conditionalFormatting>
  <conditionalFormatting sqref="K29">
    <cfRule type="containsText" dxfId="730" priority="134" operator="containsText" text=" ">
      <formula>NOT(ISERROR(SEARCH(" ",K29)))</formula>
    </cfRule>
  </conditionalFormatting>
  <conditionalFormatting sqref="M29">
    <cfRule type="containsText" dxfId="729" priority="133" operator="containsText" text=" ">
      <formula>NOT(ISERROR(SEARCH(" ",M29)))</formula>
    </cfRule>
  </conditionalFormatting>
  <conditionalFormatting sqref="F30">
    <cfRule type="cellIs" dxfId="728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27" priority="6" operator="containsText" text=" ">
      <formula>NOT(ISERROR(SEARCH(" ",F30)))</formula>
    </cfRule>
  </conditionalFormatting>
  <conditionalFormatting sqref="G30">
    <cfRule type="cellIs" dxfId="726" priority="7" operator="equal">
      <formula>0</formula>
    </cfRule>
    <cfRule type="containsText" dxfId="725" priority="8" operator="containsText" text=" ">
      <formula>NOT(ISERROR(SEARCH(" ",G30)))</formula>
    </cfRule>
  </conditionalFormatting>
  <conditionalFormatting sqref="O30">
    <cfRule type="containsText" dxfId="724" priority="88" operator="containsText" text=" ">
      <formula>NOT(ISERROR(SEARCH(" ",O30)))</formula>
    </cfRule>
  </conditionalFormatting>
  <conditionalFormatting sqref="F31">
    <cfRule type="cellIs" dxfId="723" priority="37" operator="equal">
      <formula>0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22" priority="40" operator="containsText" text=" ">
      <formula>NOT(ISERROR(SEARCH(" ",F31)))</formula>
    </cfRule>
  </conditionalFormatting>
  <conditionalFormatting sqref="G31:M31">
    <cfRule type="cellIs" dxfId="721" priority="57" operator="equal">
      <formula>0</formula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ntainsText" dxfId="720" priority="64" operator="containsText" text=" ">
      <formula>NOT(ISERROR(SEARCH(" ",I31)))</formula>
    </cfRule>
  </conditionalFormatting>
  <conditionalFormatting sqref="K31">
    <cfRule type="containsText" dxfId="719" priority="63" operator="containsText" text=" ">
      <formula>NOT(ISERROR(SEARCH(" ",K31)))</formula>
    </cfRule>
  </conditionalFormatting>
  <conditionalFormatting sqref="M31">
    <cfRule type="containsText" dxfId="718" priority="62" operator="containsText" text=" ">
      <formula>NOT(ISERROR(SEARCH(" ",M31)))</formula>
    </cfRule>
  </conditionalFormatting>
  <conditionalFormatting sqref="O31">
    <cfRule type="containsText" dxfId="717" priority="69" operator="containsText" text=" ">
      <formula>NOT(ISERROR(SEARCH(" ",O31)))</formula>
    </cfRule>
  </conditionalFormatting>
  <conditionalFormatting sqref="Q31">
    <cfRule type="containsText" dxfId="716" priority="66" operator="containsText" text="正确">
      <formula>NOT(ISERROR(SEARCH("正确",Q31)))</formula>
    </cfRule>
    <cfRule type="cellIs" dxfId="715" priority="67" operator="equal">
      <formula>"正确"</formula>
    </cfRule>
    <cfRule type="containsText" dxfId="714" priority="68" operator="containsText" text="错误">
      <formula>NOT(ISERROR(SEARCH("错误",Q31)))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3" priority="19" operator="equal">
      <formula>0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12" priority="22" operator="containsText" text=" ">
      <formula>NOT(ISERROR(SEARCH(" ",F32)))</formula>
    </cfRule>
  </conditionalFormatting>
  <conditionalFormatting sqref="F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1" priority="13" operator="equal">
      <formula>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10" priority="16" operator="containsText" text=" ">
      <formula>NOT(ISERROR(SEARCH(" ",F33)))</formula>
    </cfRule>
  </conditionalFormatting>
  <conditionalFormatting sqref="F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ntainsText" dxfId="709" priority="91" operator="containsText" text=" ">
      <formula>NOT(ISERROR(SEARCH(" ",I34)))</formula>
    </cfRule>
  </conditionalFormatting>
  <conditionalFormatting sqref="K34">
    <cfRule type="containsText" dxfId="708" priority="90" operator="containsText" text=" ">
      <formula>NOT(ISERROR(SEARCH(" ",K34)))</formula>
    </cfRule>
  </conditionalFormatting>
  <conditionalFormatting sqref="M34">
    <cfRule type="containsText" dxfId="707" priority="89" operator="containsText" text=" ">
      <formula>NOT(ISERROR(SEARCH(" ",M34)))</formula>
    </cfRule>
  </conditionalFormatting>
  <conditionalFormatting sqref="B35:D35">
    <cfRule type="containsText" dxfId="706" priority="432" operator="containsText" text=" ">
      <formula>NOT(ISERROR(SEARCH(" ",B35)))</formula>
    </cfRule>
  </conditionalFormatting>
  <conditionalFormatting sqref="F35">
    <cfRule type="containsText" dxfId="705" priority="288" operator="containsText" text=" ">
      <formula>NOT(ISERROR(SEARCH(" ",F35)))</formula>
    </cfRule>
  </conditionalFormatting>
  <conditionalFormatting sqref="H35">
    <cfRule type="containsText" dxfId="704" priority="287" operator="containsText" text=" ">
      <formula>NOT(ISERROR(SEARCH(" ",H35)))</formula>
    </cfRule>
  </conditionalFormatting>
  <conditionalFormatting sqref="J35">
    <cfRule type="containsText" dxfId="703" priority="305" operator="containsText" text=" ">
      <formula>NOT(ISERROR(SEARCH(" ",J35)))</formula>
    </cfRule>
  </conditionalFormatting>
  <conditionalFormatting sqref="L35">
    <cfRule type="containsText" dxfId="702" priority="329" operator="containsText" text=" ">
      <formula>NOT(ISERROR(SEARCH(" ",L35)))</formula>
    </cfRule>
  </conditionalFormatting>
  <conditionalFormatting sqref="N35">
    <cfRule type="containsText" dxfId="701" priority="307" operator="containsText" text=" ">
      <formula>NOT(ISERROR(SEARCH(" ",N35)))</formula>
    </cfRule>
  </conditionalFormatting>
  <conditionalFormatting sqref="B36:D36">
    <cfRule type="containsText" dxfId="700" priority="416" operator="containsText" text=" ">
      <formula>NOT(ISERROR(SEARCH(" ",B36)))</formula>
    </cfRule>
  </conditionalFormatting>
  <conditionalFormatting sqref="F36">
    <cfRule type="containsText" dxfId="699" priority="325" operator="containsText" text=" ">
      <formula>NOT(ISERROR(SEARCH(" ",F36)))</formula>
    </cfRule>
  </conditionalFormatting>
  <conditionalFormatting sqref="H36">
    <cfRule type="containsText" dxfId="698" priority="289" operator="containsText" text=" ">
      <formula>NOT(ISERROR(SEARCH(" ",H36)))</formula>
    </cfRule>
  </conditionalFormatting>
  <conditionalFormatting sqref="J36">
    <cfRule type="containsText" dxfId="697" priority="290" operator="containsText" text=" ">
      <formula>NOT(ISERROR(SEARCH(" ",J36)))</formula>
    </cfRule>
  </conditionalFormatting>
  <conditionalFormatting sqref="L36">
    <cfRule type="containsText" dxfId="696" priority="285" operator="containsText" text=" ">
      <formula>NOT(ISERROR(SEARCH(" ",L36)))</formula>
    </cfRule>
  </conditionalFormatting>
  <conditionalFormatting sqref="N36">
    <cfRule type="containsText" dxfId="695" priority="286" operator="containsText" text=" ">
      <formula>NOT(ISERROR(SEARCH(" ",N36)))</formula>
    </cfRule>
  </conditionalFormatting>
  <conditionalFormatting sqref="B37:D37">
    <cfRule type="containsText" dxfId="694" priority="400" operator="containsText" text=" ">
      <formula>NOT(ISERROR(SEARCH(" ",B37)))</formula>
    </cfRule>
  </conditionalFormatting>
  <conditionalFormatting sqref="F37">
    <cfRule type="containsText" dxfId="693" priority="293" operator="containsText" text=" ">
      <formula>NOT(ISERROR(SEARCH(" ",F37)))</formula>
    </cfRule>
    <cfRule type="containsText" dxfId="692" priority="347" operator="containsText" text=" ">
      <formula>NOT(ISERROR(SEARCH(" ",F37)))</formula>
    </cfRule>
  </conditionalFormatting>
  <conditionalFormatting sqref="H37">
    <cfRule type="containsText" dxfId="691" priority="295" operator="containsText" text=" ">
      <formula>NOT(ISERROR(SEARCH(" ",H37)))</formula>
    </cfRule>
    <cfRule type="containsText" dxfId="690" priority="335" operator="containsText" text=" ">
      <formula>NOT(ISERROR(SEARCH(" ",H37)))</formula>
    </cfRule>
  </conditionalFormatting>
  <conditionalFormatting sqref="J37">
    <cfRule type="containsText" dxfId="689" priority="298" operator="containsText" text=" ">
      <formula>NOT(ISERROR(SEARCH(" ",J37)))</formula>
    </cfRule>
    <cfRule type="containsText" dxfId="688" priority="331" operator="containsText" text=" ">
      <formula>NOT(ISERROR(SEARCH(" ",J37)))</formula>
    </cfRule>
  </conditionalFormatting>
  <conditionalFormatting sqref="L37">
    <cfRule type="containsText" dxfId="687" priority="300" operator="containsText" text=" ">
      <formula>NOT(ISERROR(SEARCH(" ",L37)))</formula>
    </cfRule>
    <cfRule type="containsText" dxfId="686" priority="327" operator="containsText" text=" ">
      <formula>NOT(ISERROR(SEARCH(" ",L37)))</formula>
    </cfRule>
  </conditionalFormatting>
  <conditionalFormatting sqref="N37">
    <cfRule type="containsText" dxfId="685" priority="301" operator="containsText" text=" ">
      <formula>NOT(ISERROR(SEARCH(" ",N37)))</formula>
    </cfRule>
    <cfRule type="containsText" dxfId="684" priority="319" operator="containsText" text=" ">
      <formula>NOT(ISERROR(SEARCH(" ",N37)))</formula>
    </cfRule>
  </conditionalFormatting>
  <conditionalFormatting sqref="B38:D38">
    <cfRule type="containsText" dxfId="683" priority="368" operator="containsText" text=" ">
      <formula>NOT(ISERROR(SEARCH(" ",B38)))</formula>
    </cfRule>
  </conditionalFormatting>
  <conditionalFormatting sqref="F38">
    <cfRule type="containsText" dxfId="682" priority="294" operator="containsText" text=" ">
      <formula>NOT(ISERROR(SEARCH(" ",F38)))</formula>
    </cfRule>
    <cfRule type="containsText" dxfId="681" priority="346" operator="containsText" text=" ">
      <formula>NOT(ISERROR(SEARCH(" ",F38)))</formula>
    </cfRule>
  </conditionalFormatting>
  <conditionalFormatting sqref="H38">
    <cfRule type="containsText" dxfId="680" priority="296" operator="containsText" text=" ">
      <formula>NOT(ISERROR(SEARCH(" ",H38)))</formula>
    </cfRule>
    <cfRule type="containsText" dxfId="679" priority="334" operator="containsText" text=" ">
      <formula>NOT(ISERROR(SEARCH(" ",H38)))</formula>
    </cfRule>
  </conditionalFormatting>
  <conditionalFormatting sqref="J38">
    <cfRule type="containsText" dxfId="678" priority="297" operator="containsText" text=" ">
      <formula>NOT(ISERROR(SEARCH(" ",J38)))</formula>
    </cfRule>
    <cfRule type="containsText" dxfId="677" priority="330" operator="containsText" text=" ">
      <formula>NOT(ISERROR(SEARCH(" ",J38)))</formula>
    </cfRule>
  </conditionalFormatting>
  <conditionalFormatting sqref="L38">
    <cfRule type="containsText" dxfId="676" priority="299" operator="containsText" text=" ">
      <formula>NOT(ISERROR(SEARCH(" ",L38)))</formula>
    </cfRule>
    <cfRule type="containsText" dxfId="675" priority="326" operator="containsText" text=" ">
      <formula>NOT(ISERROR(SEARCH(" ",L38)))</formula>
    </cfRule>
  </conditionalFormatting>
  <conditionalFormatting sqref="N38">
    <cfRule type="containsText" dxfId="674" priority="302" operator="containsText" text=" ">
      <formula>NOT(ISERROR(SEARCH(" ",N38)))</formula>
    </cfRule>
    <cfRule type="containsText" dxfId="673" priority="318" operator="containsText" text=" ">
      <formula>NOT(ISERROR(SEARCH(" ",N38)))</formula>
    </cfRule>
  </conditionalFormatting>
  <conditionalFormatting sqref="F78">
    <cfRule type="containsText" dxfId="672" priority="493" operator="containsText" text=" ">
      <formula>NOT(ISERROR(SEARCH(" ",F78)))</formula>
    </cfRule>
  </conditionalFormatting>
  <conditionalFormatting sqref="F79">
    <cfRule type="containsText" dxfId="671" priority="495" operator="containsText" text=" ">
      <formula>NOT(ISERROR(SEARCH(" ",F79)))</formula>
    </cfRule>
  </conditionalFormatting>
  <conditionalFormatting sqref="F80">
    <cfRule type="containsText" dxfId="670" priority="479" operator="containsText" text=" ">
      <formula>NOT(ISERROR(SEARCH(" ",F80)))</formula>
    </cfRule>
  </conditionalFormatting>
  <conditionalFormatting sqref="F81">
    <cfRule type="containsText" dxfId="669" priority="480" operator="containsText" text=" ">
      <formula>NOT(ISERROR(SEARCH(" ",F81)))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8">
    <cfRule type="cellIs" dxfId="668" priority="423" operator="equal">
      <formula>0</formula>
    </cfRule>
    <cfRule type="containsText" dxfId="667" priority="431" operator="containsText" text=" ">
      <formula>NOT(ISERROR(SEARCH(" ",G35)))</formula>
    </cfRule>
  </conditionalFormatting>
  <conditionalFormatting sqref="G39:G88">
    <cfRule type="containsText" dxfId="666" priority="496" operator="containsText" text=" ">
      <formula>NOT(ISERROR(SEARCH(" ",G39)))</formula>
    </cfRule>
  </conditionalFormatting>
  <conditionalFormatting sqref="I35:I38">
    <cfRule type="cellIs" dxfId="665" priority="316" operator="equal">
      <formula>0</formula>
    </cfRule>
    <cfRule type="containsText" dxfId="664" priority="317" operator="containsText" text=" ">
      <formula>NOT(ISERROR(SEARCH(" ",I35)))</formula>
    </cfRule>
  </conditionalFormatting>
  <conditionalFormatting sqref="I39:I88">
    <cfRule type="containsText" dxfId="663" priority="473" operator="containsText" text=" ">
      <formula>NOT(ISERROR(SEARCH(" ",I39)))</formula>
    </cfRule>
  </conditionalFormatting>
  <conditionalFormatting sqref="K35:K38">
    <cfRule type="cellIs" dxfId="662" priority="314" operator="equal">
      <formula>0</formula>
    </cfRule>
    <cfRule type="containsText" dxfId="661" priority="315" operator="containsText" text=" ">
      <formula>NOT(ISERROR(SEARCH(" ",K35)))</formula>
    </cfRule>
  </conditionalFormatting>
  <conditionalFormatting sqref="K39:K88">
    <cfRule type="containsText" dxfId="660" priority="472" operator="containsText" text=" ">
      <formula>NOT(ISERROR(SEARCH(" ",K39)))</formula>
    </cfRule>
  </conditionalFormatting>
  <conditionalFormatting sqref="M35:M38">
    <cfRule type="cellIs" dxfId="659" priority="340" operator="equal">
      <formula>0</formula>
    </cfRule>
    <cfRule type="containsText" dxfId="658" priority="341" operator="containsText" text=" ">
      <formula>NOT(ISERROR(SEARCH(" ",M35)))</formula>
    </cfRule>
  </conditionalFormatting>
  <conditionalFormatting sqref="O5:O15">
    <cfRule type="containsText" dxfId="657" priority="504" operator="containsText" text=" ">
      <formula>NOT(ISERROR(SEARCH(" ",O5)))</formula>
    </cfRule>
  </conditionalFormatting>
  <conditionalFormatting sqref="O35:O38">
    <cfRule type="cellIs" dxfId="656" priority="312" operator="equal">
      <formula>0</formula>
    </cfRule>
    <cfRule type="containsText" dxfId="655" priority="313" operator="containsText" text=" ">
      <formula>NOT(ISERROR(SEARCH(" ",O35)))</formula>
    </cfRule>
  </conditionalFormatting>
  <conditionalFormatting sqref="R39:R88">
    <cfRule type="containsText" dxfId="654" priority="508" operator="containsText" text=" ">
      <formula>NOT(ISERROR(SEARCH(" ",R39)))</formula>
    </cfRule>
    <cfRule type="containsText" dxfId="653" priority="509" operator="containsText" text=" ">
      <formula>NOT(ISERROR(SEARCH(" ",R39)))</formula>
    </cfRule>
  </conditionalFormatting>
  <conditionalFormatting sqref="R7:R8 R10 R12 R14:R15 A5:H5 L5:L14 N5:N15 H14 S5:Y15 R89:XFD89 T48:XFD88 H86:H87 H39:H79 J86:J87 J5:J14 J19 L19 U39 P1:Q15 B17:D18 S17:Y18 P17:P19 A17 A19:D19 J39:J79 R1:XFD4 AF17:XFD18 AF39:XFD47 AF5:XFD15 Z5:AE19 F19:H19 F86:F87 F39:F77 F14 A6:D15 F6:H13 E6:E19 A39:D88 E35:E88 A22 A27 A32 A34 A20 A24:A25 A29:A30 R93:XFD1048576 R90:S92 U90:XFD92 J91:P91 L39:P88 L90:P90 N89:P89">
    <cfRule type="containsText" dxfId="652" priority="510" operator="containsText" text=" ">
      <formula>NOT(ISERROR(SEARCH(" ",A1)))</formula>
    </cfRule>
  </conditionalFormatting>
  <conditionalFormatting sqref="Q1:Q15 Q17:Q19 Q35:Q1048576">
    <cfRule type="containsText" dxfId="651" priority="498" operator="containsText" text="正确">
      <formula>NOT(ISERROR(SEARCH("正确",Q1)))</formula>
    </cfRule>
  </conditionalFormatting>
  <conditionalFormatting sqref="I5:I14 I19">
    <cfRule type="containsText" dxfId="650" priority="507" operator="containsText" text=" ">
      <formula>NOT(ISERROR(SEARCH(" ",I5)))</formula>
    </cfRule>
  </conditionalFormatting>
  <conditionalFormatting sqref="K5 K19 K7:K9 K11 K13">
    <cfRule type="containsText" dxfId="649" priority="506" operator="containsText" text=" ">
      <formula>NOT(ISERROR(SEARCH(" ",K5)))</formula>
    </cfRule>
  </conditionalFormatting>
  <conditionalFormatting sqref="M19 M5:M13">
    <cfRule type="containsText" dxfId="648" priority="505" operator="containsText" text=" ">
      <formula>NOT(ISERROR(SEARCH(" ",M5)))</formula>
    </cfRule>
  </conditionalFormatting>
  <conditionalFormatting sqref="Q5:Q15 Q17:Q19 Q35:Q88">
    <cfRule type="cellIs" dxfId="647" priority="499" operator="equal">
      <formula>"正确"</formula>
    </cfRule>
    <cfRule type="containsText" dxfId="646" priority="500" operator="containsText" text="错误">
      <formula>NOT(ISERROR(SEARCH("错误",Q5)))</formula>
    </cfRule>
  </conditionalFormatting>
  <conditionalFormatting sqref="K6 R17:R18 S35:T35 P36:P38 R36:T38 N17:O19 U19:U38 AF19:XFD38 A35:A38 Y19 Q17:Q19 Q35:Q1048576 V33:Y34 V24:X32">
    <cfRule type="containsText" dxfId="645" priority="471" operator="containsText" text=" ">
      <formula>NOT(ISERROR(SEARCH(" ",A6)))</formula>
    </cfRule>
  </conditionalFormatting>
  <conditionalFormatting sqref="K10 T40:X47 Y25:Y32 Z20:AE32 Y33:AE34 Y20:Y23">
    <cfRule type="containsText" dxfId="644" priority="470" operator="containsText" text=" ">
      <formula>NOT(ISERROR(SEARCH(" ",K10)))</formula>
    </cfRule>
  </conditionalFormatting>
  <conditionalFormatting sqref="K12 H92:P92 A89:M89 A94:P1048576 A93:D93 F93:P93 A90:E92">
    <cfRule type="containsText" dxfId="643" priority="469" operator="containsText" text=" ">
      <formula>NOT(ISERROR(SEARCH(" ",A12)))</formula>
    </cfRule>
  </conditionalFormatting>
  <conditionalFormatting sqref="G14 V39:W39">
    <cfRule type="containsText" dxfId="642" priority="501" operator="containsText" text=" ">
      <formula>NOT(ISERROR(SEARCH(" ",G14)))</formula>
    </cfRule>
  </conditionalFormatting>
  <conditionalFormatting sqref="J15 F15:H15 L15 L17:L18 J17:J18 F17:H18">
    <cfRule type="containsText" dxfId="641" priority="464" operator="containsText" text=" ">
      <formula>NOT(ISERROR(SEARCH(" ",F15)))</formula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M15 F17:M18">
    <cfRule type="cellIs" dxfId="640" priority="455" operator="equal">
      <formula>0</formula>
    </cfRule>
  </conditionalFormatting>
  <conditionalFormatting sqref="H17:H18 H15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 I17:I18">
    <cfRule type="containsText" dxfId="639" priority="463" operator="containsText" text=" ">
      <formula>NOT(ISERROR(SEARCH(" ",I15)))</formula>
    </cfRule>
  </conditionalFormatting>
  <conditionalFormatting sqref="K15 K17:K18">
    <cfRule type="containsText" dxfId="638" priority="462" operator="containsText" text=" ">
      <formula>NOT(ISERROR(SEARCH(" ",K15)))</formula>
    </cfRule>
  </conditionalFormatting>
  <conditionalFormatting sqref="M15 M17:M18">
    <cfRule type="containsText" dxfId="637" priority="461" operator="containsText" text=" ">
      <formula>NOT(ISERROR(SEARCH(" ",M15)))</formula>
    </cfRule>
  </conditionalFormatting>
  <conditionalFormatting sqref="A16:D16 N16 P16:Y16 A18 AF16:XFD16 A21 A26 A31 A23 A28 A33">
    <cfRule type="containsText" dxfId="636" priority="454" operator="containsText" text=" ">
      <formula>NOT(ISERROR(SEARCH(" ",A16)))</formula>
    </cfRule>
  </conditionalFormatting>
  <conditionalFormatting sqref="L16 F16:H16 J16">
    <cfRule type="containsText" dxfId="635" priority="449" operator="containsText" text=" ">
      <formula>NOT(ISERROR(SEARCH(" ",F16)))</formula>
    </cfRule>
  </conditionalFormatting>
  <conditionalFormatting sqref="W20:X23 W19 W24:W34">
    <cfRule type="containsText" dxfId="634" priority="350" operator="containsText" text=" ">
      <formula>NOT(ISERROR(SEARCH(" ",W19)))</formula>
    </cfRule>
    <cfRule type="containsText" dxfId="633" priority="351" operator="containsText" text=" ">
      <formula>NOT(ISERROR(SEARCH(" ",W19)))</formula>
    </cfRule>
  </conditionalFormatting>
  <conditionalFormatting sqref="N20 J24 L24 P20:Q20 P22:P24 B22:D24 F24:H24 B20:D20 E20:E24">
    <cfRule type="containsText" dxfId="632" priority="180" operator="containsText" text=" ">
      <formula>NOT(ISERROR(SEARCH(" ",B20)))</formula>
    </cfRule>
  </conditionalFormatting>
  <conditionalFormatting sqref="J20 F20:H20 L20 L22:L23 F22:H23 J22:J23">
    <cfRule type="containsText" dxfId="631" priority="167" operator="containsText" text=" ">
      <formula>NOT(ISERROR(SEARCH(" ",F20)))</formula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M20 F22:M23">
    <cfRule type="cellIs" dxfId="630" priority="159" operator="equal">
      <formula>0</formula>
    </cfRule>
  </conditionalFormatting>
  <conditionalFormatting sqref="H22:H23 H2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 I22:I23">
    <cfRule type="containsText" dxfId="629" priority="166" operator="containsText" text=" ">
      <formula>NOT(ISERROR(SEARCH(" ",I20)))</formula>
    </cfRule>
  </conditionalFormatting>
  <conditionalFormatting sqref="K20 K22:K23">
    <cfRule type="containsText" dxfId="628" priority="165" operator="containsText" text=" ">
      <formula>NOT(ISERROR(SEARCH(" ",K20)))</formula>
    </cfRule>
  </conditionalFormatting>
  <conditionalFormatting sqref="M20 M22:M23">
    <cfRule type="containsText" dxfId="627" priority="164" operator="containsText" text=" ">
      <formula>NOT(ISERROR(SEARCH(" ",M20)))</formula>
    </cfRule>
  </conditionalFormatting>
  <conditionalFormatting sqref="Q20 Q22:Q24">
    <cfRule type="containsText" dxfId="626" priority="173" operator="containsText" text="正确">
      <formula>NOT(ISERROR(SEARCH("正确",Q20)))</formula>
    </cfRule>
    <cfRule type="cellIs" dxfId="625" priority="174" operator="equal">
      <formula>"正确"</formula>
    </cfRule>
    <cfRule type="containsText" dxfId="624" priority="175" operator="containsText" text="错误">
      <formula>NOT(ISERROR(SEARCH("错误",Q20)))</formula>
    </cfRule>
  </conditionalFormatting>
  <conditionalFormatting sqref="B21:D21 N21 P21:Q21">
    <cfRule type="containsText" dxfId="623" priority="158" operator="containsText" text=" ">
      <formula>NOT(ISERROR(SEARCH(" ",B21)))</formula>
    </cfRule>
  </conditionalFormatting>
  <conditionalFormatting sqref="L21 F21:H21 J21">
    <cfRule type="containsText" dxfId="622" priority="153" operator="containsText" text=" ">
      <formula>NOT(ISERROR(SEARCH(" ",F21)))</formula>
    </cfRule>
  </conditionalFormatting>
  <conditionalFormatting sqref="N22:O24 Q22:Q24">
    <cfRule type="containsText" dxfId="621" priority="172" operator="containsText" text=" ">
      <formula>NOT(ISERROR(SEARCH(" ",N22)))</formula>
    </cfRule>
  </conditionalFormatting>
  <conditionalFormatting sqref="N25 J29 L29 P25:Q25 P27:P29 B27:D29 F29:H29 B25:D25 E25:E29">
    <cfRule type="containsText" dxfId="620" priority="136" operator="containsText" text=" ">
      <formula>NOT(ISERROR(SEARCH(" ",B25)))</formula>
    </cfRule>
  </conditionalFormatting>
  <conditionalFormatting sqref="J25 F25 L25 L27:L28 J27:J28 G27:H28 H25">
    <cfRule type="containsText" dxfId="619" priority="123" operator="containsText" text=" ">
      <formula>NOT(ISERROR(SEARCH(" ",F25)))</formula>
    </cfRule>
  </conditionalFormatting>
  <conditionalFormatting sqref="F25 G27:M28 H25:M25">
    <cfRule type="cellIs" dxfId="618" priority="115" operator="equal">
      <formula>0</formula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 I27:I28">
    <cfRule type="containsText" dxfId="617" priority="122" operator="containsText" text=" ">
      <formula>NOT(ISERROR(SEARCH(" ",I25)))</formula>
    </cfRule>
  </conditionalFormatting>
  <conditionalFormatting sqref="K25 K27:K28">
    <cfRule type="containsText" dxfId="616" priority="121" operator="containsText" text=" ">
      <formula>NOT(ISERROR(SEARCH(" ",K25)))</formula>
    </cfRule>
  </conditionalFormatting>
  <conditionalFormatting sqref="M25 M27:M28">
    <cfRule type="containsText" dxfId="615" priority="120" operator="containsText" text=" ">
      <formula>NOT(ISERROR(SEARCH(" ",M25)))</formula>
    </cfRule>
  </conditionalFormatting>
  <conditionalFormatting sqref="Q25 Q27:Q29">
    <cfRule type="containsText" dxfId="614" priority="129" operator="containsText" text="正确">
      <formula>NOT(ISERROR(SEARCH("正确",Q25)))</formula>
    </cfRule>
    <cfRule type="cellIs" dxfId="613" priority="130" operator="equal">
      <formula>"正确"</formula>
    </cfRule>
    <cfRule type="containsText" dxfId="612" priority="131" operator="containsText" text="错误">
      <formula>NOT(ISERROR(SEARCH("错误",Q25)))</formula>
    </cfRule>
  </conditionalFormatting>
  <conditionalFormatting sqref="B26:D26 N26 P26:Q26">
    <cfRule type="containsText" dxfId="611" priority="114" operator="containsText" text=" ">
      <formula>NOT(ISERROR(SEARCH(" ",B26)))</formula>
    </cfRule>
  </conditionalFormatting>
  <conditionalFormatting sqref="L26 G26:H26 J26">
    <cfRule type="containsText" dxfId="610" priority="109" operator="containsText" text=" ">
      <formula>NOT(ISERROR(SEARCH(" ",G26)))</formula>
    </cfRule>
  </conditionalFormatting>
  <conditionalFormatting sqref="N27:O29 Q27:Q29">
    <cfRule type="containsText" dxfId="609" priority="128" operator="containsText" text=" ">
      <formula>NOT(ISERROR(SEARCH(" ",N27)))</formula>
    </cfRule>
  </conditionalFormatting>
  <conditionalFormatting sqref="N30 J34 L34 P30:Q30 P32:P34 B32:D34 F34:H34 B30:D30 E30:E34">
    <cfRule type="containsText" dxfId="608" priority="92" operator="containsText" text=" ">
      <formula>NOT(ISERROR(SEARCH(" ",B30)))</formula>
    </cfRule>
  </conditionalFormatting>
  <conditionalFormatting sqref="J30 L30 L32:L33 J32:J33 G32:H33 H30">
    <cfRule type="containsText" dxfId="607" priority="79" operator="containsText" text=" ">
      <formula>NOT(ISERROR(SEARCH(" ",G30)))</formula>
    </cfRule>
  </conditionalFormatting>
  <conditionalFormatting sqref="G32:M33 H30:M30">
    <cfRule type="cellIs" dxfId="606" priority="71" operator="equal">
      <formula>0</formula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 I32:I33">
    <cfRule type="containsText" dxfId="605" priority="78" operator="containsText" text=" ">
      <formula>NOT(ISERROR(SEARCH(" ",I30)))</formula>
    </cfRule>
  </conditionalFormatting>
  <conditionalFormatting sqref="K30 K32:K33">
    <cfRule type="containsText" dxfId="604" priority="77" operator="containsText" text=" ">
      <formula>NOT(ISERROR(SEARCH(" ",K30)))</formula>
    </cfRule>
  </conditionalFormatting>
  <conditionalFormatting sqref="M30 M32:M33">
    <cfRule type="containsText" dxfId="603" priority="76" operator="containsText" text=" ">
      <formula>NOT(ISERROR(SEARCH(" ",M30)))</formula>
    </cfRule>
  </conditionalFormatting>
  <conditionalFormatting sqref="Q30 Q32:Q34">
    <cfRule type="containsText" dxfId="602" priority="85" operator="containsText" text="正确">
      <formula>NOT(ISERROR(SEARCH("正确",Q30)))</formula>
    </cfRule>
    <cfRule type="cellIs" dxfId="601" priority="86" operator="equal">
      <formula>"正确"</formula>
    </cfRule>
    <cfRule type="containsText" dxfId="600" priority="87" operator="containsText" text="错误">
      <formula>NOT(ISERROR(SEARCH("错误",Q30)))</formula>
    </cfRule>
  </conditionalFormatting>
  <conditionalFormatting sqref="B31:D31 N31 P31:Q31">
    <cfRule type="containsText" dxfId="599" priority="70" operator="containsText" text=" ">
      <formula>NOT(ISERROR(SEARCH(" ",B31)))</formula>
    </cfRule>
  </conditionalFormatting>
  <conditionalFormatting sqref="L31 G31:H31 J31">
    <cfRule type="containsText" dxfId="598" priority="65" operator="containsText" text=" ">
      <formula>NOT(ISERROR(SEARCH(" ",G31)))</formula>
    </cfRule>
  </conditionalFormatting>
  <conditionalFormatting sqref="N32:O34 Q32:Q34">
    <cfRule type="containsText" dxfId="597" priority="84" operator="containsText" text=" ">
      <formula>NOT(ISERROR(SEARCH(" ",N32)))</formula>
    </cfRule>
  </conditionalFormatting>
  <conditionalFormatting sqref="S40:S88 S39:T39">
    <cfRule type="containsText" dxfId="596" priority="497" operator="containsText" text=" ">
      <formula>NOT(ISERROR(SEARCH(" ",S39)))</formula>
    </cfRule>
  </conditionalFormatting>
  <conditionalFormatting sqref="H80:H81 J80:J81">
    <cfRule type="containsText" dxfId="595" priority="481" operator="containsText" text=" ">
      <formula>NOT(ISERROR(SEARCH(" ",H80)))</formula>
    </cfRule>
  </conditionalFormatting>
  <conditionalFormatting sqref="F82 H82 J82">
    <cfRule type="containsText" dxfId="594" priority="491" operator="containsText" text=" ">
      <formula>NOT(ISERROR(SEARCH(" ",F82)))</formula>
    </cfRule>
  </conditionalFormatting>
  <conditionalFormatting sqref="F83 H83 J83">
    <cfRule type="containsText" dxfId="593" priority="489" operator="containsText" text=" ">
      <formula>NOT(ISERROR(SEARCH(" ",F83)))</formula>
    </cfRule>
  </conditionalFormatting>
  <conditionalFormatting sqref="F84 H84 J84">
    <cfRule type="containsText" dxfId="592" priority="487" operator="containsText" text=" ">
      <formula>NOT(ISERROR(SEARCH(" ",F84)))</formula>
    </cfRule>
  </conditionalFormatting>
  <conditionalFormatting sqref="F85 H85 J85">
    <cfRule type="containsText" dxfId="591" priority="485" operator="containsText" text=" ">
      <formula>NOT(ISERROR(SEARCH(" ",F85)))</formula>
    </cfRule>
  </conditionalFormatting>
  <conditionalFormatting sqref="F88 H88 J88">
    <cfRule type="containsText" dxfId="590" priority="483" operator="containsText" text=" ">
      <formula>NOT(ISERROR(SEARCH(" ",F88)))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M57"/>
  <sheetViews>
    <sheetView topLeftCell="I13" workbookViewId="0">
      <selection activeCell="K21" sqref="K21:K28"/>
    </sheetView>
  </sheetViews>
  <sheetFormatPr defaultColWidth="9" defaultRowHeight="15.6" x14ac:dyDescent="0.25"/>
  <cols>
    <col min="1" max="1" width="9" style="1"/>
    <col min="2" max="2" width="15.109375" style="1" customWidth="1"/>
    <col min="3" max="3" width="21.33203125" style="1" customWidth="1"/>
    <col min="4" max="4" width="9.88671875" style="1" customWidth="1"/>
    <col min="5" max="5" width="21.33203125" style="1" customWidth="1"/>
    <col min="6" max="6" width="17.44140625" style="1" customWidth="1"/>
    <col min="7" max="9" width="9.6640625" style="1" customWidth="1"/>
    <col min="10" max="10" width="12.44140625" style="1" customWidth="1"/>
    <col min="11" max="11" width="12" style="1" customWidth="1"/>
    <col min="12" max="12" width="10.21875" style="1" customWidth="1"/>
    <col min="13" max="13" width="7.88671875" style="1" customWidth="1"/>
    <col min="14" max="14" width="9" style="1"/>
    <col min="15" max="15" width="13.88671875" style="86" customWidth="1"/>
    <col min="16" max="16" width="8" style="86" customWidth="1"/>
    <col min="17" max="17" width="7.6640625" style="86" customWidth="1"/>
    <col min="18" max="18" width="10.77734375" style="86" customWidth="1"/>
    <col min="19" max="19" width="11.88671875" style="86" customWidth="1"/>
    <col min="20" max="20" width="9" style="86"/>
    <col min="21" max="21" width="9" style="1"/>
    <col min="22" max="22" width="10.33203125" style="1" customWidth="1"/>
    <col min="23" max="23" width="13.44140625" style="1" customWidth="1"/>
    <col min="24" max="16384" width="9" style="1"/>
  </cols>
  <sheetData>
    <row r="1" spans="1:39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976</v>
      </c>
      <c r="H1" s="2" t="s">
        <v>976</v>
      </c>
      <c r="I1" s="2" t="s">
        <v>0</v>
      </c>
      <c r="J1" s="2" t="s">
        <v>976</v>
      </c>
      <c r="V1" s="12" t="s">
        <v>1812</v>
      </c>
      <c r="W1" s="56"/>
      <c r="X1" s="56"/>
      <c r="Y1" s="56"/>
      <c r="Z1" s="56"/>
      <c r="AA1" s="56"/>
      <c r="AB1" s="56"/>
    </row>
    <row r="2" spans="1:39" x14ac:dyDescent="0.35">
      <c r="A2" s="2" t="s">
        <v>11</v>
      </c>
      <c r="B2" s="2" t="s">
        <v>11</v>
      </c>
      <c r="C2" s="2" t="s">
        <v>14</v>
      </c>
      <c r="D2" s="2" t="s">
        <v>11</v>
      </c>
      <c r="E2" s="2" t="s">
        <v>11</v>
      </c>
      <c r="F2" s="2" t="s">
        <v>14</v>
      </c>
      <c r="G2" s="2" t="s">
        <v>11</v>
      </c>
      <c r="H2" s="2" t="s">
        <v>11</v>
      </c>
      <c r="I2" s="2" t="s">
        <v>11</v>
      </c>
      <c r="J2" s="2" t="s">
        <v>11</v>
      </c>
      <c r="K2" s="12"/>
      <c r="V2" s="126" t="s">
        <v>2093</v>
      </c>
      <c r="W2" s="56"/>
      <c r="X2" s="56"/>
      <c r="Y2" s="56"/>
      <c r="Z2" s="56"/>
      <c r="AB2" s="56"/>
    </row>
    <row r="3" spans="1:39" ht="16.2" x14ac:dyDescent="0.35">
      <c r="A3" s="2" t="s">
        <v>113</v>
      </c>
      <c r="B3" s="2" t="s">
        <v>2094</v>
      </c>
      <c r="C3" s="2" t="s">
        <v>2095</v>
      </c>
      <c r="D3" s="2" t="s">
        <v>2096</v>
      </c>
      <c r="E3" s="2" t="s">
        <v>2097</v>
      </c>
      <c r="F3" s="2" t="s">
        <v>2098</v>
      </c>
      <c r="G3" s="2" t="s">
        <v>2099</v>
      </c>
      <c r="H3" s="119" t="s">
        <v>2100</v>
      </c>
      <c r="I3" s="119" t="s">
        <v>2101</v>
      </c>
      <c r="J3" s="119" t="s">
        <v>2102</v>
      </c>
      <c r="O3" s="120" t="s">
        <v>2103</v>
      </c>
      <c r="V3" s="126" t="s">
        <v>1911</v>
      </c>
    </row>
    <row r="4" spans="1:39" ht="79.2" x14ac:dyDescent="0.25">
      <c r="A4" s="4" t="s">
        <v>2104</v>
      </c>
      <c r="B4" s="4" t="s">
        <v>2105</v>
      </c>
      <c r="C4" s="4" t="s">
        <v>2106</v>
      </c>
      <c r="D4" s="4" t="s">
        <v>2107</v>
      </c>
      <c r="E4" s="4" t="s">
        <v>2108</v>
      </c>
      <c r="F4" s="4" t="s">
        <v>2109</v>
      </c>
      <c r="G4" s="4" t="s">
        <v>2110</v>
      </c>
      <c r="H4" s="4" t="s">
        <v>2111</v>
      </c>
      <c r="I4" s="4" t="s">
        <v>2112</v>
      </c>
      <c r="J4" s="4" t="s">
        <v>2113</v>
      </c>
      <c r="K4" s="121" t="s">
        <v>2114</v>
      </c>
      <c r="L4" s="56" t="s">
        <v>2115</v>
      </c>
      <c r="M4" s="56"/>
      <c r="O4" s="36" t="s">
        <v>1949</v>
      </c>
      <c r="P4" s="37" t="s">
        <v>1396</v>
      </c>
      <c r="Q4" s="37" t="s">
        <v>1397</v>
      </c>
      <c r="R4" s="38" t="s">
        <v>114</v>
      </c>
      <c r="S4" s="110" t="s">
        <v>1958</v>
      </c>
      <c r="U4" s="121"/>
      <c r="V4" s="47">
        <f>'抽奖|MoonBless'!DN4</f>
        <v>0</v>
      </c>
      <c r="W4" s="48" t="str">
        <f>'抽奖|MoonBless'!DO4</f>
        <v>人民币价值</v>
      </c>
      <c r="X4" s="49" t="str">
        <f>'抽奖|MoonBless'!DP4</f>
        <v>价值
钻石价值</v>
      </c>
      <c r="Y4" s="48" t="str">
        <f>'抽奖|MoonBless'!DQ4</f>
        <v>物品类型</v>
      </c>
      <c r="Z4" s="50" t="str">
        <f>'抽奖|MoonBless'!DR4</f>
        <v>id</v>
      </c>
      <c r="AA4" s="56" t="s">
        <v>2116</v>
      </c>
      <c r="AJ4" s="56" t="s">
        <v>1959</v>
      </c>
      <c r="AK4" s="1" t="s">
        <v>1396</v>
      </c>
      <c r="AL4" s="1" t="s">
        <v>113</v>
      </c>
      <c r="AM4" s="1" t="s">
        <v>1958</v>
      </c>
    </row>
    <row r="5" spans="1:39" x14ac:dyDescent="0.25">
      <c r="A5" s="1">
        <v>1</v>
      </c>
      <c r="B5" s="1">
        <v>1</v>
      </c>
      <c r="C5" s="1" t="str">
        <f>P5&amp;"|"&amp;Q5&amp;"|"&amp;R5</f>
        <v>2|1008|1</v>
      </c>
      <c r="D5" s="1">
        <v>1</v>
      </c>
      <c r="E5" s="1">
        <v>1</v>
      </c>
      <c r="F5" s="1" t="str">
        <f t="shared" ref="F5:F28" si="0">"2|1204|"&amp;K5</f>
        <v>2|1204|66000</v>
      </c>
      <c r="G5" s="1">
        <v>0</v>
      </c>
      <c r="H5" s="1">
        <v>1</v>
      </c>
      <c r="K5" s="59">
        <v>66000</v>
      </c>
      <c r="L5" s="86">
        <f t="shared" ref="L5:L28" si="1">ROUND(S5/$W$12,0)</f>
        <v>66667</v>
      </c>
      <c r="O5" s="40" t="s">
        <v>1370</v>
      </c>
      <c r="P5" s="11">
        <f t="shared" ref="P5:P43" si="2">VLOOKUP(O5,V:Z,4,0)</f>
        <v>2</v>
      </c>
      <c r="Q5" s="11">
        <f t="shared" ref="Q5:Q43" si="3">VLOOKUP(O5,V:Z,5,0)</f>
        <v>1008</v>
      </c>
      <c r="R5" s="41">
        <v>1</v>
      </c>
      <c r="S5" s="19">
        <f t="shared" ref="S5:S43" si="4">VLOOKUP(O5,V:Z,2,0)*R5</f>
        <v>66.666666666666671</v>
      </c>
      <c r="V5" s="127" t="str">
        <f>'抽奖|MoonBless'!DN5</f>
        <v>人民币</v>
      </c>
      <c r="W5" s="128">
        <f>'抽奖|MoonBless'!DO5</f>
        <v>1</v>
      </c>
      <c r="X5" s="128">
        <f>'抽奖|MoonBless'!DP5</f>
        <v>20</v>
      </c>
      <c r="Y5" s="11">
        <f>'抽奖|MoonBless'!DQ5</f>
        <v>1</v>
      </c>
      <c r="Z5" s="19">
        <f>'抽奖|MoonBless'!DR5</f>
        <v>0</v>
      </c>
      <c r="AA5" s="130">
        <v>1</v>
      </c>
      <c r="AI5" s="1" t="s">
        <v>1963</v>
      </c>
      <c r="AJ5" s="1">
        <v>0.1</v>
      </c>
      <c r="AK5" s="1">
        <v>1</v>
      </c>
      <c r="AM5" s="1">
        <v>1</v>
      </c>
    </row>
    <row r="6" spans="1:39" x14ac:dyDescent="0.25">
      <c r="A6" s="1">
        <v>2</v>
      </c>
      <c r="B6" s="1">
        <v>1</v>
      </c>
      <c r="C6" s="1" t="str">
        <f>P6&amp;"|"&amp;Q6&amp;"|"&amp;R6</f>
        <v>2|1007|1</v>
      </c>
      <c r="D6" s="1">
        <v>1</v>
      </c>
      <c r="E6" s="1">
        <v>1</v>
      </c>
      <c r="F6" s="1" t="str">
        <f t="shared" si="0"/>
        <v>2|1204|33000</v>
      </c>
      <c r="G6" s="1">
        <v>0</v>
      </c>
      <c r="H6" s="1">
        <v>2</v>
      </c>
      <c r="K6" s="59">
        <v>33000</v>
      </c>
      <c r="L6" s="86">
        <f t="shared" si="1"/>
        <v>33333</v>
      </c>
      <c r="O6" s="40" t="s">
        <v>1381</v>
      </c>
      <c r="P6" s="11">
        <f t="shared" si="2"/>
        <v>2</v>
      </c>
      <c r="Q6" s="11">
        <f t="shared" si="3"/>
        <v>1007</v>
      </c>
      <c r="R6" s="41">
        <v>1</v>
      </c>
      <c r="S6" s="19">
        <f t="shared" si="4"/>
        <v>33.333333333333336</v>
      </c>
      <c r="V6" s="10" t="str">
        <f>'抽奖|MoonBless'!DN6</f>
        <v>钻石</v>
      </c>
      <c r="W6" s="41">
        <f>'抽奖|MoonBless'!DO6</f>
        <v>0.1</v>
      </c>
      <c r="X6" s="41">
        <f>'抽奖|MoonBless'!DP6</f>
        <v>2</v>
      </c>
      <c r="Y6" s="11">
        <f>'抽奖|MoonBless'!DQ6</f>
        <v>1</v>
      </c>
      <c r="Z6" s="19">
        <f>'抽奖|MoonBless'!DR6</f>
        <v>1</v>
      </c>
      <c r="AA6" s="130">
        <v>1</v>
      </c>
      <c r="AI6" s="1" t="s">
        <v>1369</v>
      </c>
      <c r="AJ6" s="1">
        <v>1</v>
      </c>
      <c r="AK6" s="1">
        <v>1</v>
      </c>
      <c r="AL6" s="1">
        <v>1</v>
      </c>
      <c r="AM6" s="1">
        <f>AJ6/10</f>
        <v>0.1</v>
      </c>
    </row>
    <row r="7" spans="1:39" x14ac:dyDescent="0.25">
      <c r="A7" s="1">
        <v>3</v>
      </c>
      <c r="B7" s="1">
        <v>1</v>
      </c>
      <c r="C7" s="1" t="str">
        <f>P7&amp;"|"&amp;Q7&amp;"|"&amp;R7</f>
        <v>2|1006|1</v>
      </c>
      <c r="D7" s="1">
        <v>1</v>
      </c>
      <c r="E7" s="1">
        <v>1</v>
      </c>
      <c r="F7" s="1" t="str">
        <f t="shared" si="0"/>
        <v>2|1204|13300</v>
      </c>
      <c r="G7" s="1">
        <v>0</v>
      </c>
      <c r="H7" s="1">
        <v>100</v>
      </c>
      <c r="K7" s="59">
        <v>13300</v>
      </c>
      <c r="L7" s="86">
        <f t="shared" si="1"/>
        <v>13333</v>
      </c>
      <c r="O7" s="40" t="s">
        <v>1371</v>
      </c>
      <c r="P7" s="11">
        <f t="shared" si="2"/>
        <v>2</v>
      </c>
      <c r="Q7" s="11">
        <f t="shared" si="3"/>
        <v>1006</v>
      </c>
      <c r="R7" s="41">
        <v>1</v>
      </c>
      <c r="S7" s="19">
        <f t="shared" si="4"/>
        <v>13.333333333333336</v>
      </c>
      <c r="V7" s="10" t="str">
        <f>'抽奖|MoonBless'!DN7</f>
        <v>金币</v>
      </c>
      <c r="W7" s="11">
        <f>W12*(1000/150000)</f>
        <v>6.6666666666666675E-6</v>
      </c>
      <c r="X7" s="11">
        <f>W7*10</f>
        <v>6.666666666666667E-5</v>
      </c>
      <c r="Y7" s="11">
        <f>'抽奖|MoonBless'!DQ7</f>
        <v>1</v>
      </c>
      <c r="Z7" s="19">
        <f>'抽奖|MoonBless'!DR7</f>
        <v>2</v>
      </c>
      <c r="AA7" s="130">
        <v>1</v>
      </c>
      <c r="AI7" s="1" t="s">
        <v>177</v>
      </c>
      <c r="AJ7" s="1">
        <f>1/500</f>
        <v>2E-3</v>
      </c>
      <c r="AK7" s="1">
        <v>1</v>
      </c>
      <c r="AL7" s="1">
        <v>2</v>
      </c>
      <c r="AM7" s="1">
        <f t="shared" ref="AM7:AM24" si="5">AJ7/10</f>
        <v>2.0000000000000001E-4</v>
      </c>
    </row>
    <row r="8" spans="1:39" x14ac:dyDescent="0.25">
      <c r="A8" s="1">
        <v>4</v>
      </c>
      <c r="B8" s="1">
        <v>1</v>
      </c>
      <c r="C8" s="1" t="str">
        <f>P8&amp;"|"&amp;Q8&amp;"|"&amp;R8</f>
        <v>2|1005|1</v>
      </c>
      <c r="D8" s="1">
        <v>1</v>
      </c>
      <c r="E8" s="1">
        <v>1</v>
      </c>
      <c r="F8" s="1" t="str">
        <f t="shared" si="0"/>
        <v>2|1204|6650</v>
      </c>
      <c r="G8" s="1">
        <v>0</v>
      </c>
      <c r="H8" s="1">
        <v>100</v>
      </c>
      <c r="K8" s="86">
        <v>6650</v>
      </c>
      <c r="L8" s="86">
        <f t="shared" si="1"/>
        <v>6667</v>
      </c>
      <c r="M8" s="1">
        <f>K8*5/2</f>
        <v>16625</v>
      </c>
      <c r="O8" s="40" t="s">
        <v>1974</v>
      </c>
      <c r="P8" s="11">
        <f t="shared" si="2"/>
        <v>2</v>
      </c>
      <c r="Q8" s="11">
        <f t="shared" si="3"/>
        <v>1005</v>
      </c>
      <c r="R8" s="41">
        <v>1</v>
      </c>
      <c r="S8" s="19">
        <f t="shared" si="4"/>
        <v>6.6666666666666679</v>
      </c>
      <c r="V8" s="10" t="str">
        <f>'抽奖|MoonBless'!DN8</f>
        <v>锁定</v>
      </c>
      <c r="W8" s="11">
        <f>'抽奖|MoonBless'!DO8*2</f>
        <v>0.2</v>
      </c>
      <c r="X8" s="11">
        <f>'抽奖|MoonBless'!DP8/AA8</f>
        <v>2</v>
      </c>
      <c r="Y8" s="11">
        <f>'抽奖|MoonBless'!DQ8</f>
        <v>2</v>
      </c>
      <c r="Z8" s="19">
        <f>'抽奖|MoonBless'!DR8</f>
        <v>1001</v>
      </c>
      <c r="AA8" s="130">
        <v>1</v>
      </c>
      <c r="AI8" s="1" t="s">
        <v>1401</v>
      </c>
      <c r="AJ8" s="1">
        <v>2</v>
      </c>
      <c r="AK8" s="1">
        <v>2</v>
      </c>
      <c r="AL8" s="1">
        <v>1001</v>
      </c>
      <c r="AM8" s="1">
        <f t="shared" si="5"/>
        <v>0.2</v>
      </c>
    </row>
    <row r="9" spans="1:39" x14ac:dyDescent="0.25">
      <c r="A9" s="1">
        <v>5</v>
      </c>
      <c r="B9" s="1">
        <v>1</v>
      </c>
      <c r="C9" s="1" t="str">
        <f t="shared" ref="C9:C43" si="6">P9&amp;"|"&amp;Q9&amp;"|"&amp;R9</f>
        <v>2|1018|5</v>
      </c>
      <c r="D9" s="1">
        <v>1</v>
      </c>
      <c r="E9" s="1">
        <v>1</v>
      </c>
      <c r="F9" s="1" t="str">
        <f t="shared" si="0"/>
        <v>2|1204|16600</v>
      </c>
      <c r="G9" s="1">
        <v>0</v>
      </c>
      <c r="H9" s="1">
        <v>100</v>
      </c>
      <c r="K9" s="86">
        <v>16600</v>
      </c>
      <c r="L9" s="86">
        <f t="shared" si="1"/>
        <v>16667</v>
      </c>
      <c r="O9" s="40" t="s">
        <v>1992</v>
      </c>
      <c r="P9" s="11">
        <f t="shared" si="2"/>
        <v>2</v>
      </c>
      <c r="Q9" s="11">
        <f t="shared" si="3"/>
        <v>1018</v>
      </c>
      <c r="R9" s="41">
        <v>5</v>
      </c>
      <c r="S9" s="19">
        <f t="shared" si="4"/>
        <v>16.666666666666668</v>
      </c>
      <c r="V9" s="10" t="str">
        <f>'抽奖|MoonBless'!DN9</f>
        <v>冰冻</v>
      </c>
      <c r="W9" s="11">
        <f>'抽奖|MoonBless'!DO9*2</f>
        <v>0.5</v>
      </c>
      <c r="X9" s="11">
        <f>'抽奖|MoonBless'!DP9</f>
        <v>5</v>
      </c>
      <c r="Y9" s="11">
        <f>'抽奖|MoonBless'!DQ9</f>
        <v>2</v>
      </c>
      <c r="Z9" s="19">
        <f>'抽奖|MoonBless'!DR9</f>
        <v>1002</v>
      </c>
      <c r="AA9" s="130">
        <v>1</v>
      </c>
      <c r="AI9" s="1" t="s">
        <v>1402</v>
      </c>
      <c r="AJ9" s="1">
        <v>5</v>
      </c>
      <c r="AK9" s="1">
        <v>2</v>
      </c>
      <c r="AL9" s="1">
        <v>1002</v>
      </c>
      <c r="AM9" s="1">
        <f t="shared" si="5"/>
        <v>0.5</v>
      </c>
    </row>
    <row r="10" spans="1:39" x14ac:dyDescent="0.25">
      <c r="A10" s="1">
        <v>6</v>
      </c>
      <c r="B10" s="1">
        <v>1</v>
      </c>
      <c r="C10" s="1" t="str">
        <f t="shared" si="6"/>
        <v>2|1017|5</v>
      </c>
      <c r="D10" s="1">
        <v>1</v>
      </c>
      <c r="E10" s="1">
        <v>1</v>
      </c>
      <c r="F10" s="1" t="str">
        <f t="shared" si="0"/>
        <v>2|1204|8300</v>
      </c>
      <c r="G10" s="1">
        <v>0</v>
      </c>
      <c r="H10" s="1">
        <v>100</v>
      </c>
      <c r="K10" s="86">
        <v>8300</v>
      </c>
      <c r="L10" s="86">
        <f t="shared" si="1"/>
        <v>8333</v>
      </c>
      <c r="O10" s="40" t="s">
        <v>1991</v>
      </c>
      <c r="P10" s="11">
        <f t="shared" si="2"/>
        <v>2</v>
      </c>
      <c r="Q10" s="11">
        <f t="shared" si="3"/>
        <v>1017</v>
      </c>
      <c r="R10" s="41">
        <v>5</v>
      </c>
      <c r="S10" s="19">
        <f t="shared" si="4"/>
        <v>8.3333333333333339</v>
      </c>
      <c r="V10" s="10" t="str">
        <f>'抽奖|MoonBless'!DN10</f>
        <v>狂暴</v>
      </c>
      <c r="W10" s="11">
        <f>'抽奖|MoonBless'!DO10*2</f>
        <v>1</v>
      </c>
      <c r="X10" s="41">
        <f>'抽奖|MoonBless'!DP10</f>
        <v>10</v>
      </c>
      <c r="Y10" s="11">
        <f>'抽奖|MoonBless'!DQ10</f>
        <v>2</v>
      </c>
      <c r="Z10" s="19">
        <f>'抽奖|MoonBless'!DR10</f>
        <v>1003</v>
      </c>
      <c r="AA10" s="130">
        <v>1</v>
      </c>
      <c r="AI10" s="1" t="s">
        <v>1406</v>
      </c>
      <c r="AJ10" s="1">
        <v>20</v>
      </c>
      <c r="AK10" s="1">
        <v>2</v>
      </c>
      <c r="AL10" s="1">
        <v>1003</v>
      </c>
      <c r="AM10" s="1">
        <f t="shared" si="5"/>
        <v>2</v>
      </c>
    </row>
    <row r="11" spans="1:39" x14ac:dyDescent="0.25">
      <c r="A11" s="1">
        <v>7</v>
      </c>
      <c r="B11" s="1">
        <v>1</v>
      </c>
      <c r="C11" s="1" t="str">
        <f t="shared" si="6"/>
        <v>2|1016|5</v>
      </c>
      <c r="D11" s="1">
        <v>1</v>
      </c>
      <c r="E11" s="1">
        <v>1</v>
      </c>
      <c r="F11" s="1" t="str">
        <f t="shared" si="0"/>
        <v>2|1204|3350</v>
      </c>
      <c r="G11" s="1">
        <v>0</v>
      </c>
      <c r="H11" s="1">
        <v>100</v>
      </c>
      <c r="K11" s="86">
        <v>3350</v>
      </c>
      <c r="L11" s="86">
        <f t="shared" si="1"/>
        <v>3333</v>
      </c>
      <c r="O11" s="40" t="s">
        <v>1990</v>
      </c>
      <c r="P11" s="11">
        <f t="shared" si="2"/>
        <v>2</v>
      </c>
      <c r="Q11" s="11">
        <f t="shared" si="3"/>
        <v>1016</v>
      </c>
      <c r="R11" s="41">
        <v>5</v>
      </c>
      <c r="S11" s="19">
        <f t="shared" si="4"/>
        <v>3.3333333333333339</v>
      </c>
      <c r="V11" s="10" t="str">
        <f>'抽奖|MoonBless'!DN11</f>
        <v>召唤</v>
      </c>
      <c r="W11" s="11">
        <f>'抽奖|MoonBless'!DO11*2</f>
        <v>0.2</v>
      </c>
      <c r="X11" s="11">
        <f>'抽奖|MoonBless'!DP11</f>
        <v>2</v>
      </c>
      <c r="Y11" s="11">
        <f>'抽奖|MoonBless'!DQ11</f>
        <v>2</v>
      </c>
      <c r="Z11" s="19">
        <f>'抽奖|MoonBless'!DR11</f>
        <v>1004</v>
      </c>
      <c r="AA11" s="130">
        <v>1</v>
      </c>
      <c r="AI11" s="1" t="s">
        <v>1405</v>
      </c>
      <c r="AJ11" s="1">
        <v>2</v>
      </c>
      <c r="AK11" s="1">
        <v>2</v>
      </c>
      <c r="AL11" s="1">
        <v>1004</v>
      </c>
      <c r="AM11" s="1">
        <f t="shared" si="5"/>
        <v>0.2</v>
      </c>
    </row>
    <row r="12" spans="1:39" x14ac:dyDescent="0.25">
      <c r="A12" s="1">
        <v>8</v>
      </c>
      <c r="B12" s="1">
        <v>1</v>
      </c>
      <c r="C12" s="1" t="str">
        <f t="shared" si="6"/>
        <v>2|1015|5</v>
      </c>
      <c r="D12" s="1">
        <v>1</v>
      </c>
      <c r="E12" s="1">
        <v>1</v>
      </c>
      <c r="F12" s="1" t="str">
        <f t="shared" si="0"/>
        <v>2|1204|1700</v>
      </c>
      <c r="G12" s="1">
        <v>0</v>
      </c>
      <c r="H12" s="1">
        <v>100</v>
      </c>
      <c r="K12" s="86">
        <v>1700</v>
      </c>
      <c r="L12" s="86">
        <f t="shared" si="1"/>
        <v>1667</v>
      </c>
      <c r="O12" s="40" t="s">
        <v>1989</v>
      </c>
      <c r="P12" s="14">
        <f t="shared" si="2"/>
        <v>2</v>
      </c>
      <c r="Q12" s="14">
        <f t="shared" si="3"/>
        <v>1015</v>
      </c>
      <c r="R12" s="45">
        <v>5</v>
      </c>
      <c r="S12" s="21">
        <f t="shared" si="4"/>
        <v>1.666666666666667</v>
      </c>
      <c r="V12" s="10" t="str">
        <f>'抽奖|MoonBless'!DN12</f>
        <v>福卡</v>
      </c>
      <c r="W12" s="11">
        <f>W5/1000</f>
        <v>1E-3</v>
      </c>
      <c r="X12" s="11">
        <f>X5/1000</f>
        <v>0.02</v>
      </c>
      <c r="Y12" s="11">
        <f>'抽奖|MoonBless'!DQ12</f>
        <v>2</v>
      </c>
      <c r="Z12" s="19">
        <f>'抽奖|MoonBless'!DR12</f>
        <v>1204</v>
      </c>
      <c r="AA12" s="130">
        <v>1</v>
      </c>
      <c r="AI12" s="1" t="s">
        <v>1372</v>
      </c>
      <c r="AJ12" s="1">
        <f>1000*AJ7</f>
        <v>2</v>
      </c>
      <c r="AK12" s="1">
        <v>2</v>
      </c>
      <c r="AL12" s="1">
        <v>1204</v>
      </c>
      <c r="AM12" s="1">
        <f t="shared" si="5"/>
        <v>0.2</v>
      </c>
    </row>
    <row r="13" spans="1:39" x14ac:dyDescent="0.25">
      <c r="A13" s="1">
        <v>9</v>
      </c>
      <c r="B13" s="1">
        <v>1</v>
      </c>
      <c r="C13" s="1" t="str">
        <f t="shared" si="6"/>
        <v>2|1210|1</v>
      </c>
      <c r="D13" s="1">
        <v>1</v>
      </c>
      <c r="E13" s="1">
        <v>2</v>
      </c>
      <c r="F13" s="1" t="str">
        <f t="shared" si="0"/>
        <v>2|1204|49800</v>
      </c>
      <c r="G13" s="1">
        <v>0</v>
      </c>
      <c r="H13" s="1">
        <v>1</v>
      </c>
      <c r="K13" s="59">
        <v>49800</v>
      </c>
      <c r="L13" s="86">
        <f t="shared" si="1"/>
        <v>50000</v>
      </c>
      <c r="O13" s="40" t="s">
        <v>1979</v>
      </c>
      <c r="P13" s="11">
        <f t="shared" si="2"/>
        <v>2</v>
      </c>
      <c r="Q13" s="11">
        <f t="shared" si="3"/>
        <v>1210</v>
      </c>
      <c r="R13" s="41">
        <v>1</v>
      </c>
      <c r="S13" s="19">
        <f t="shared" si="4"/>
        <v>50</v>
      </c>
      <c r="V13" s="10" t="str">
        <f>'抽奖|MoonBless'!DN13</f>
        <v>超级武器1</v>
      </c>
      <c r="W13" s="11">
        <f>W7*1000000</f>
        <v>6.6666666666666679</v>
      </c>
      <c r="X13" s="11">
        <f>W13*10</f>
        <v>66.666666666666686</v>
      </c>
      <c r="Y13" s="11">
        <f>'抽奖|MoonBless'!DQ13</f>
        <v>2</v>
      </c>
      <c r="Z13" s="19">
        <f>'抽奖|MoonBless'!DR13</f>
        <v>1005</v>
      </c>
      <c r="AA13" s="130">
        <v>1</v>
      </c>
    </row>
    <row r="14" spans="1:39" x14ac:dyDescent="0.25">
      <c r="A14" s="1">
        <v>10</v>
      </c>
      <c r="B14" s="1">
        <v>1</v>
      </c>
      <c r="C14" s="1" t="str">
        <f t="shared" si="6"/>
        <v>2|1209|1</v>
      </c>
      <c r="D14" s="1">
        <v>1</v>
      </c>
      <c r="E14" s="1">
        <v>2</v>
      </c>
      <c r="F14" s="1" t="str">
        <f t="shared" si="0"/>
        <v>2|1204|30000</v>
      </c>
      <c r="G14" s="1">
        <v>0</v>
      </c>
      <c r="H14" s="1">
        <v>2</v>
      </c>
      <c r="K14" s="59">
        <v>30000</v>
      </c>
      <c r="L14" s="86">
        <f t="shared" si="1"/>
        <v>30000</v>
      </c>
      <c r="O14" s="40" t="s">
        <v>1978</v>
      </c>
      <c r="P14" s="11">
        <f t="shared" si="2"/>
        <v>2</v>
      </c>
      <c r="Q14" s="11">
        <f t="shared" si="3"/>
        <v>1209</v>
      </c>
      <c r="R14" s="41">
        <v>1</v>
      </c>
      <c r="S14" s="19">
        <f t="shared" si="4"/>
        <v>30</v>
      </c>
      <c r="V14" s="10" t="str">
        <f>'抽奖|MoonBless'!DN14</f>
        <v>超级武器2</v>
      </c>
      <c r="W14" s="11">
        <f>W7*2000000</f>
        <v>13.333333333333336</v>
      </c>
      <c r="X14" s="11">
        <f t="shared" ref="X14:X16" si="7">W14*10</f>
        <v>133.33333333333337</v>
      </c>
      <c r="Y14" s="11">
        <f>'抽奖|MoonBless'!DQ14</f>
        <v>2</v>
      </c>
      <c r="Z14" s="19">
        <f>'抽奖|MoonBless'!DR14</f>
        <v>1006</v>
      </c>
      <c r="AA14" s="130">
        <v>1</v>
      </c>
    </row>
    <row r="15" spans="1:39" x14ac:dyDescent="0.25">
      <c r="A15" s="1">
        <v>11</v>
      </c>
      <c r="B15" s="1">
        <v>1</v>
      </c>
      <c r="C15" s="1" t="str">
        <f t="shared" si="6"/>
        <v>2|1007|1</v>
      </c>
      <c r="D15" s="1">
        <v>1</v>
      </c>
      <c r="E15" s="1">
        <v>2</v>
      </c>
      <c r="F15" s="1" t="str">
        <f t="shared" si="0"/>
        <v>2|1204|33000</v>
      </c>
      <c r="G15" s="1">
        <v>0</v>
      </c>
      <c r="H15" s="1">
        <v>100</v>
      </c>
      <c r="K15" s="59">
        <v>33000</v>
      </c>
      <c r="L15" s="86">
        <f t="shared" si="1"/>
        <v>33333</v>
      </c>
      <c r="O15" s="40" t="s">
        <v>1381</v>
      </c>
      <c r="P15" s="11">
        <f t="shared" si="2"/>
        <v>2</v>
      </c>
      <c r="Q15" s="11">
        <f t="shared" si="3"/>
        <v>1007</v>
      </c>
      <c r="R15" s="41">
        <v>1</v>
      </c>
      <c r="S15" s="19">
        <f t="shared" si="4"/>
        <v>33.333333333333336</v>
      </c>
      <c r="V15" s="10" t="str">
        <f>'抽奖|MoonBless'!DN15</f>
        <v>超级武器3</v>
      </c>
      <c r="W15" s="11">
        <f>W7*5000000</f>
        <v>33.333333333333336</v>
      </c>
      <c r="X15" s="11">
        <f t="shared" si="7"/>
        <v>333.33333333333337</v>
      </c>
      <c r="Y15" s="11">
        <f>'抽奖|MoonBless'!DQ15</f>
        <v>2</v>
      </c>
      <c r="Z15" s="19">
        <f>'抽奖|MoonBless'!DR15</f>
        <v>1007</v>
      </c>
      <c r="AA15" s="130">
        <v>1</v>
      </c>
    </row>
    <row r="16" spans="1:39" x14ac:dyDescent="0.25">
      <c r="A16" s="1">
        <v>12</v>
      </c>
      <c r="B16" s="1">
        <v>1</v>
      </c>
      <c r="C16" s="1" t="str">
        <f t="shared" si="6"/>
        <v>1|1|100</v>
      </c>
      <c r="D16" s="1">
        <v>1</v>
      </c>
      <c r="E16" s="1">
        <v>2</v>
      </c>
      <c r="F16" s="1" t="str">
        <f t="shared" si="0"/>
        <v>2|1204|10000</v>
      </c>
      <c r="G16" s="1">
        <v>0</v>
      </c>
      <c r="H16" s="1">
        <v>100</v>
      </c>
      <c r="K16" s="86">
        <f t="shared" ref="K16:K20" si="8">L16</f>
        <v>10000</v>
      </c>
      <c r="L16" s="86">
        <f t="shared" si="1"/>
        <v>10000</v>
      </c>
      <c r="M16" s="1">
        <f>K16*5/2</f>
        <v>25000</v>
      </c>
      <c r="O16" s="40" t="s">
        <v>1369</v>
      </c>
      <c r="P16" s="11">
        <f t="shared" si="2"/>
        <v>1</v>
      </c>
      <c r="Q16" s="11">
        <f t="shared" si="3"/>
        <v>1</v>
      </c>
      <c r="R16" s="41">
        <v>100</v>
      </c>
      <c r="S16" s="19">
        <f t="shared" si="4"/>
        <v>10</v>
      </c>
      <c r="V16" s="10" t="str">
        <f>'抽奖|MoonBless'!DN16</f>
        <v>超级武器4</v>
      </c>
      <c r="W16" s="11">
        <f>W7*10000000</f>
        <v>66.666666666666671</v>
      </c>
      <c r="X16" s="11">
        <f t="shared" si="7"/>
        <v>666.66666666666674</v>
      </c>
      <c r="Y16" s="11">
        <f>'抽奖|MoonBless'!DQ16</f>
        <v>2</v>
      </c>
      <c r="Z16" s="19">
        <f>'抽奖|MoonBless'!DR16</f>
        <v>1008</v>
      </c>
      <c r="AA16" s="130">
        <v>1</v>
      </c>
    </row>
    <row r="17" spans="1:39" x14ac:dyDescent="0.25">
      <c r="A17" s="1">
        <v>13</v>
      </c>
      <c r="B17" s="1">
        <v>1</v>
      </c>
      <c r="C17" s="1" t="str">
        <f t="shared" si="6"/>
        <v>2|1003|20</v>
      </c>
      <c r="D17" s="1">
        <v>1</v>
      </c>
      <c r="E17" s="1">
        <v>2</v>
      </c>
      <c r="F17" s="1" t="str">
        <f t="shared" si="0"/>
        <v>2|1204|20000</v>
      </c>
      <c r="G17" s="1">
        <v>0</v>
      </c>
      <c r="H17" s="1">
        <v>100</v>
      </c>
      <c r="K17" s="86">
        <f t="shared" si="8"/>
        <v>20000</v>
      </c>
      <c r="L17" s="86">
        <f t="shared" si="1"/>
        <v>20000</v>
      </c>
      <c r="O17" s="40" t="s">
        <v>1406</v>
      </c>
      <c r="P17" s="11">
        <f t="shared" si="2"/>
        <v>2</v>
      </c>
      <c r="Q17" s="11">
        <f t="shared" si="3"/>
        <v>1003</v>
      </c>
      <c r="R17" s="41">
        <v>20</v>
      </c>
      <c r="S17" s="19">
        <f t="shared" si="4"/>
        <v>20</v>
      </c>
      <c r="V17" s="10" t="str">
        <f>'抽奖|MoonBless'!DN17</f>
        <v>5元话费卡</v>
      </c>
      <c r="W17" s="11">
        <f>'抽奖|MoonBless'!DO17</f>
        <v>5</v>
      </c>
      <c r="X17" s="11">
        <f>'抽奖|MoonBless'!DP17</f>
        <v>100</v>
      </c>
      <c r="Y17" s="11">
        <f>'抽奖|MoonBless'!DQ17</f>
        <v>2</v>
      </c>
      <c r="Z17" s="19">
        <f>'抽奖|MoonBless'!DR17</f>
        <v>1206</v>
      </c>
      <c r="AA17" s="130">
        <v>1</v>
      </c>
    </row>
    <row r="18" spans="1:39" x14ac:dyDescent="0.25">
      <c r="A18" s="1">
        <v>14</v>
      </c>
      <c r="B18" s="1">
        <v>1</v>
      </c>
      <c r="C18" s="1" t="str">
        <f t="shared" si="6"/>
        <v>2|1003|10</v>
      </c>
      <c r="D18" s="1">
        <v>1</v>
      </c>
      <c r="E18" s="1">
        <v>2</v>
      </c>
      <c r="F18" s="1" t="str">
        <f t="shared" si="0"/>
        <v>2|1204|10000</v>
      </c>
      <c r="G18" s="1">
        <v>0</v>
      </c>
      <c r="H18" s="1">
        <v>100</v>
      </c>
      <c r="K18" s="86">
        <f t="shared" si="8"/>
        <v>10000</v>
      </c>
      <c r="L18" s="86">
        <f t="shared" si="1"/>
        <v>10000</v>
      </c>
      <c r="O18" s="40" t="s">
        <v>1406</v>
      </c>
      <c r="P18" s="11">
        <f t="shared" si="2"/>
        <v>2</v>
      </c>
      <c r="Q18" s="11">
        <f t="shared" si="3"/>
        <v>1003</v>
      </c>
      <c r="R18" s="41">
        <v>10</v>
      </c>
      <c r="S18" s="19">
        <f t="shared" si="4"/>
        <v>10</v>
      </c>
      <c r="V18" s="10" t="str">
        <f>'抽奖|MoonBless'!DN18</f>
        <v>2元话费卡</v>
      </c>
      <c r="W18" s="11">
        <f>'抽奖|MoonBless'!DO18</f>
        <v>2</v>
      </c>
      <c r="X18" s="11">
        <f>'抽奖|MoonBless'!DP18</f>
        <v>40</v>
      </c>
      <c r="Y18" s="11">
        <f>'抽奖|MoonBless'!DQ18</f>
        <v>2</v>
      </c>
      <c r="Z18" s="19">
        <f>'抽奖|MoonBless'!DR18</f>
        <v>1205</v>
      </c>
      <c r="AA18" s="130">
        <v>1</v>
      </c>
    </row>
    <row r="19" spans="1:39" x14ac:dyDescent="0.25">
      <c r="A19" s="1">
        <v>15</v>
      </c>
      <c r="B19" s="1">
        <v>1</v>
      </c>
      <c r="C19" s="1" t="str">
        <f t="shared" si="6"/>
        <v>1|2|3000000</v>
      </c>
      <c r="D19" s="1">
        <v>1</v>
      </c>
      <c r="E19" s="1">
        <v>2</v>
      </c>
      <c r="F19" s="1" t="str">
        <f t="shared" si="0"/>
        <v>2|1204|20000</v>
      </c>
      <c r="G19" s="1">
        <v>0</v>
      </c>
      <c r="H19" s="1">
        <v>100</v>
      </c>
      <c r="K19" s="86">
        <f t="shared" si="8"/>
        <v>20000</v>
      </c>
      <c r="L19" s="86">
        <f t="shared" si="1"/>
        <v>20000</v>
      </c>
      <c r="O19" s="40" t="s">
        <v>177</v>
      </c>
      <c r="P19" s="11">
        <f t="shared" si="2"/>
        <v>1</v>
      </c>
      <c r="Q19" s="11">
        <f t="shared" si="3"/>
        <v>2</v>
      </c>
      <c r="R19" s="41">
        <v>3000000</v>
      </c>
      <c r="S19" s="19">
        <f t="shared" si="4"/>
        <v>20.000000000000004</v>
      </c>
      <c r="V19" s="13" t="str">
        <f>'抽奖|MoonBless'!DN19</f>
        <v>高压锅</v>
      </c>
      <c r="W19" s="14">
        <f>'抽奖|MoonBless'!DO19</f>
        <v>200</v>
      </c>
      <c r="X19" s="14">
        <f>'抽奖|MoonBless'!DP19</f>
        <v>4000</v>
      </c>
      <c r="Y19" s="14">
        <f>'抽奖|MoonBless'!DQ19</f>
        <v>2</v>
      </c>
      <c r="Z19" s="21">
        <f>'抽奖|MoonBless'!DR19</f>
        <v>1208</v>
      </c>
      <c r="AA19" s="130">
        <v>1</v>
      </c>
    </row>
    <row r="20" spans="1:39" x14ac:dyDescent="0.25">
      <c r="A20" s="1">
        <v>16</v>
      </c>
      <c r="B20" s="1">
        <v>1</v>
      </c>
      <c r="C20" s="1" t="str">
        <f t="shared" si="6"/>
        <v>1|2|1500000</v>
      </c>
      <c r="D20" s="1">
        <v>1</v>
      </c>
      <c r="E20" s="1">
        <v>2</v>
      </c>
      <c r="F20" s="1" t="str">
        <f t="shared" si="0"/>
        <v>2|1204|10000</v>
      </c>
      <c r="G20" s="1">
        <v>0</v>
      </c>
      <c r="H20" s="1">
        <v>100</v>
      </c>
      <c r="K20" s="86">
        <f t="shared" si="8"/>
        <v>10000</v>
      </c>
      <c r="L20" s="86">
        <f t="shared" si="1"/>
        <v>10000</v>
      </c>
      <c r="O20" s="122" t="s">
        <v>177</v>
      </c>
      <c r="P20" s="14">
        <f t="shared" si="2"/>
        <v>1</v>
      </c>
      <c r="Q20" s="14">
        <f t="shared" si="3"/>
        <v>2</v>
      </c>
      <c r="R20" s="45">
        <v>1500000</v>
      </c>
      <c r="S20" s="21">
        <f t="shared" si="4"/>
        <v>10.000000000000002</v>
      </c>
      <c r="V20" s="1" t="str">
        <f>'抽奖|MoonBless'!DN20</f>
        <v>30元话费卡</v>
      </c>
      <c r="W20" s="1">
        <f>'抽奖|MoonBless'!DO20</f>
        <v>30</v>
      </c>
      <c r="X20" s="1">
        <f>'抽奖|MoonBless'!DP20</f>
        <v>600</v>
      </c>
      <c r="Y20" s="1">
        <f>'抽奖|MoonBless'!DQ20</f>
        <v>2</v>
      </c>
      <c r="Z20" s="1">
        <f>'抽奖|MoonBless'!DR20</f>
        <v>1209</v>
      </c>
      <c r="AA20" s="130">
        <v>1</v>
      </c>
    </row>
    <row r="21" spans="1:39" x14ac:dyDescent="0.25">
      <c r="A21" s="1">
        <v>17</v>
      </c>
      <c r="B21" s="1">
        <v>2</v>
      </c>
      <c r="C21" s="1" t="str">
        <f t="shared" si="6"/>
        <v>2|1008|1</v>
      </c>
      <c r="D21" s="1">
        <v>1</v>
      </c>
      <c r="E21" s="1">
        <v>3</v>
      </c>
      <c r="F21" s="1" t="str">
        <f t="shared" si="0"/>
        <v>2|1204|66000</v>
      </c>
      <c r="G21" s="1">
        <v>0</v>
      </c>
      <c r="H21" s="1">
        <v>100</v>
      </c>
      <c r="K21" s="59">
        <v>66000</v>
      </c>
      <c r="L21" s="86">
        <f t="shared" si="1"/>
        <v>66667</v>
      </c>
      <c r="O21" s="40" t="s">
        <v>1370</v>
      </c>
      <c r="P21" s="11">
        <f t="shared" si="2"/>
        <v>2</v>
      </c>
      <c r="Q21" s="11">
        <f t="shared" si="3"/>
        <v>1008</v>
      </c>
      <c r="R21" s="41">
        <v>1</v>
      </c>
      <c r="S21" s="19">
        <f t="shared" si="4"/>
        <v>66.666666666666671</v>
      </c>
      <c r="V21" s="1" t="str">
        <f>'抽奖|MoonBless'!DN21</f>
        <v>50元话费卡</v>
      </c>
      <c r="W21" s="1">
        <f>'抽奖|MoonBless'!DO21</f>
        <v>50</v>
      </c>
      <c r="X21" s="1">
        <f>'抽奖|MoonBless'!DP21</f>
        <v>1000</v>
      </c>
      <c r="Y21" s="1">
        <f>'抽奖|MoonBless'!DQ21</f>
        <v>2</v>
      </c>
      <c r="Z21" s="1">
        <f>'抽奖|MoonBless'!DR21</f>
        <v>1210</v>
      </c>
      <c r="AA21" s="130">
        <v>1</v>
      </c>
      <c r="AI21" s="1" t="s">
        <v>1974</v>
      </c>
      <c r="AJ21" s="1">
        <f>AJ7*75000</f>
        <v>150</v>
      </c>
      <c r="AK21" s="1">
        <v>2</v>
      </c>
      <c r="AL21" s="1">
        <v>1005</v>
      </c>
      <c r="AM21" s="1">
        <f t="shared" si="5"/>
        <v>15</v>
      </c>
    </row>
    <row r="22" spans="1:39" x14ac:dyDescent="0.25">
      <c r="A22" s="1">
        <v>18</v>
      </c>
      <c r="B22" s="1">
        <v>2</v>
      </c>
      <c r="C22" s="1" t="str">
        <f t="shared" si="6"/>
        <v>2|1007|1</v>
      </c>
      <c r="D22" s="1">
        <v>1</v>
      </c>
      <c r="E22" s="1">
        <v>3</v>
      </c>
      <c r="F22" s="1" t="str">
        <f t="shared" si="0"/>
        <v>2|1204|33000</v>
      </c>
      <c r="G22" s="1">
        <v>0</v>
      </c>
      <c r="H22" s="1">
        <v>100</v>
      </c>
      <c r="K22" s="59">
        <v>33000</v>
      </c>
      <c r="L22" s="86">
        <f t="shared" si="1"/>
        <v>33333</v>
      </c>
      <c r="O22" s="40" t="s">
        <v>1381</v>
      </c>
      <c r="P22" s="11">
        <f t="shared" si="2"/>
        <v>2</v>
      </c>
      <c r="Q22" s="11">
        <f t="shared" si="3"/>
        <v>1007</v>
      </c>
      <c r="R22" s="41">
        <v>1</v>
      </c>
      <c r="S22" s="19">
        <f t="shared" si="4"/>
        <v>33.333333333333336</v>
      </c>
      <c r="V22" s="1" t="str">
        <f>'抽奖|MoonBless'!DN22</f>
        <v>活跃度</v>
      </c>
      <c r="W22" s="1">
        <f>'抽奖|MoonBless'!DO22</f>
        <v>1</v>
      </c>
      <c r="X22" s="1">
        <f>'抽奖|MoonBless'!DP22</f>
        <v>20</v>
      </c>
      <c r="Y22" s="1">
        <f>'抽奖|MoonBless'!DQ22</f>
        <v>1</v>
      </c>
      <c r="Z22" s="1">
        <f>'抽奖|MoonBless'!DR22</f>
        <v>6</v>
      </c>
      <c r="AA22" s="130">
        <v>1</v>
      </c>
      <c r="AI22" s="1" t="s">
        <v>1371</v>
      </c>
      <c r="AJ22" s="1">
        <f>AJ7*125000</f>
        <v>250</v>
      </c>
      <c r="AK22" s="1">
        <v>2</v>
      </c>
      <c r="AL22" s="1">
        <v>1006</v>
      </c>
      <c r="AM22" s="1">
        <f t="shared" si="5"/>
        <v>25</v>
      </c>
    </row>
    <row r="23" spans="1:39" x14ac:dyDescent="0.25">
      <c r="A23" s="1">
        <v>19</v>
      </c>
      <c r="B23" s="1">
        <v>2</v>
      </c>
      <c r="C23" s="1" t="str">
        <f t="shared" si="6"/>
        <v>2|1006|1</v>
      </c>
      <c r="D23" s="1">
        <v>1</v>
      </c>
      <c r="E23" s="1">
        <v>3</v>
      </c>
      <c r="F23" s="1" t="str">
        <f t="shared" si="0"/>
        <v>2|1204|13300</v>
      </c>
      <c r="G23" s="1">
        <v>0</v>
      </c>
      <c r="H23" s="1">
        <v>100</v>
      </c>
      <c r="K23" s="59">
        <v>13300</v>
      </c>
      <c r="L23" s="86">
        <f t="shared" si="1"/>
        <v>13333</v>
      </c>
      <c r="O23" s="40" t="s">
        <v>1371</v>
      </c>
      <c r="P23" s="11">
        <f t="shared" si="2"/>
        <v>2</v>
      </c>
      <c r="Q23" s="11">
        <f t="shared" si="3"/>
        <v>1006</v>
      </c>
      <c r="R23" s="41">
        <v>1</v>
      </c>
      <c r="S23" s="19">
        <f t="shared" si="4"/>
        <v>13.333333333333336</v>
      </c>
      <c r="V23" s="1" t="str">
        <f>'抽奖|MoonBless'!DN23</f>
        <v>红包【恭】</v>
      </c>
      <c r="W23" s="1">
        <f>'抽奖|MoonBless'!DO23</f>
        <v>1</v>
      </c>
      <c r="X23" s="1">
        <f>'抽奖|MoonBless'!DP23</f>
        <v>20</v>
      </c>
      <c r="Y23" s="1">
        <f>'抽奖|MoonBless'!DQ23</f>
        <v>2</v>
      </c>
      <c r="Z23" s="1">
        <f>'抽奖|MoonBless'!DR23</f>
        <v>1301</v>
      </c>
      <c r="AA23" s="130">
        <v>1</v>
      </c>
      <c r="AI23" s="1" t="s">
        <v>1381</v>
      </c>
      <c r="AJ23" s="1">
        <f>AJ7*250000</f>
        <v>500</v>
      </c>
      <c r="AK23" s="1">
        <v>2</v>
      </c>
      <c r="AL23" s="1">
        <v>1007</v>
      </c>
      <c r="AM23" s="1">
        <f t="shared" si="5"/>
        <v>50</v>
      </c>
    </row>
    <row r="24" spans="1:39" x14ac:dyDescent="0.25">
      <c r="A24" s="1">
        <v>20</v>
      </c>
      <c r="B24" s="1">
        <v>2</v>
      </c>
      <c r="C24" s="1" t="str">
        <f t="shared" si="6"/>
        <v>2|1005|1</v>
      </c>
      <c r="D24" s="1">
        <v>1</v>
      </c>
      <c r="E24" s="1">
        <v>3</v>
      </c>
      <c r="F24" s="1" t="str">
        <f t="shared" si="0"/>
        <v>2|1204|6650</v>
      </c>
      <c r="G24" s="1">
        <v>0</v>
      </c>
      <c r="H24" s="1">
        <v>100</v>
      </c>
      <c r="K24" s="86">
        <v>6650</v>
      </c>
      <c r="L24" s="86">
        <f t="shared" si="1"/>
        <v>6667</v>
      </c>
      <c r="O24" s="40" t="s">
        <v>1974</v>
      </c>
      <c r="P24" s="11">
        <f t="shared" si="2"/>
        <v>2</v>
      </c>
      <c r="Q24" s="11">
        <f t="shared" si="3"/>
        <v>1005</v>
      </c>
      <c r="R24" s="41">
        <v>1</v>
      </c>
      <c r="S24" s="19">
        <f t="shared" si="4"/>
        <v>6.6666666666666679</v>
      </c>
      <c r="V24" s="1" t="str">
        <f>'抽奖|MoonBless'!DN24</f>
        <v>红包【喜】</v>
      </c>
      <c r="W24" s="1">
        <f>'抽奖|MoonBless'!DO24</f>
        <v>1</v>
      </c>
      <c r="X24" s="1">
        <f>'抽奖|MoonBless'!DP24</f>
        <v>20</v>
      </c>
      <c r="Y24" s="1">
        <f>'抽奖|MoonBless'!DQ24</f>
        <v>2</v>
      </c>
      <c r="Z24" s="1">
        <f>'抽奖|MoonBless'!DR24</f>
        <v>1302</v>
      </c>
      <c r="AA24" s="130">
        <v>1</v>
      </c>
      <c r="AI24" s="1" t="s">
        <v>1370</v>
      </c>
      <c r="AJ24" s="1">
        <f>AJ7*500000</f>
        <v>1000</v>
      </c>
      <c r="AK24" s="1">
        <v>2</v>
      </c>
      <c r="AL24" s="1">
        <v>1008</v>
      </c>
      <c r="AM24" s="1">
        <f t="shared" si="5"/>
        <v>100</v>
      </c>
    </row>
    <row r="25" spans="1:39" x14ac:dyDescent="0.25">
      <c r="A25" s="1">
        <v>21</v>
      </c>
      <c r="B25" s="1">
        <v>2</v>
      </c>
      <c r="C25" s="1" t="str">
        <f t="shared" si="6"/>
        <v>2|1018|5</v>
      </c>
      <c r="D25" s="1">
        <v>1</v>
      </c>
      <c r="E25" s="1">
        <v>3</v>
      </c>
      <c r="F25" s="1" t="str">
        <f t="shared" si="0"/>
        <v>2|1204|16600</v>
      </c>
      <c r="G25" s="1">
        <v>0</v>
      </c>
      <c r="H25" s="1">
        <v>100</v>
      </c>
      <c r="K25" s="86">
        <v>16600</v>
      </c>
      <c r="L25" s="86">
        <f t="shared" si="1"/>
        <v>16667</v>
      </c>
      <c r="O25" s="40" t="s">
        <v>1992</v>
      </c>
      <c r="P25" s="11">
        <f t="shared" si="2"/>
        <v>2</v>
      </c>
      <c r="Q25" s="11">
        <f t="shared" si="3"/>
        <v>1018</v>
      </c>
      <c r="R25" s="41">
        <v>5</v>
      </c>
      <c r="S25" s="19">
        <f t="shared" si="4"/>
        <v>16.666666666666668</v>
      </c>
      <c r="V25" s="1" t="str">
        <f>'抽奖|MoonBless'!DN25</f>
        <v>红包【发】</v>
      </c>
      <c r="W25" s="1">
        <f>'抽奖|MoonBless'!DO25</f>
        <v>1</v>
      </c>
      <c r="X25" s="1">
        <f>'抽奖|MoonBless'!DP25</f>
        <v>20</v>
      </c>
      <c r="Y25" s="1">
        <f>'抽奖|MoonBless'!DQ25</f>
        <v>2</v>
      </c>
      <c r="Z25" s="1">
        <f>'抽奖|MoonBless'!DR25</f>
        <v>1303</v>
      </c>
      <c r="AA25" s="130">
        <v>1</v>
      </c>
    </row>
    <row r="26" spans="1:39" x14ac:dyDescent="0.25">
      <c r="A26" s="1">
        <v>22</v>
      </c>
      <c r="B26" s="1">
        <v>2</v>
      </c>
      <c r="C26" s="1" t="str">
        <f t="shared" si="6"/>
        <v>2|1017|5</v>
      </c>
      <c r="D26" s="1">
        <v>1</v>
      </c>
      <c r="E26" s="1">
        <v>3</v>
      </c>
      <c r="F26" s="1" t="str">
        <f t="shared" si="0"/>
        <v>2|1204|8300</v>
      </c>
      <c r="G26" s="1">
        <v>0</v>
      </c>
      <c r="H26" s="1">
        <v>100</v>
      </c>
      <c r="K26" s="86">
        <v>8300</v>
      </c>
      <c r="L26" s="86">
        <f t="shared" si="1"/>
        <v>8333</v>
      </c>
      <c r="O26" s="40" t="s">
        <v>1991</v>
      </c>
      <c r="P26" s="11">
        <f t="shared" si="2"/>
        <v>2</v>
      </c>
      <c r="Q26" s="11">
        <f t="shared" si="3"/>
        <v>1017</v>
      </c>
      <c r="R26" s="41">
        <v>5</v>
      </c>
      <c r="S26" s="19">
        <f t="shared" si="4"/>
        <v>8.3333333333333339</v>
      </c>
      <c r="V26" s="1" t="str">
        <f>'抽奖|MoonBless'!DN26</f>
        <v>红包【财】</v>
      </c>
      <c r="W26" s="1">
        <f>'抽奖|MoonBless'!DO26</f>
        <v>1</v>
      </c>
      <c r="X26" s="1">
        <f>'抽奖|MoonBless'!DP26</f>
        <v>20</v>
      </c>
      <c r="Y26" s="1">
        <f>'抽奖|MoonBless'!DQ26</f>
        <v>2</v>
      </c>
      <c r="Z26" s="1">
        <f>'抽奖|MoonBless'!DR26</f>
        <v>1304</v>
      </c>
      <c r="AA26" s="130">
        <v>1</v>
      </c>
    </row>
    <row r="27" spans="1:39" x14ac:dyDescent="0.25">
      <c r="A27" s="1">
        <v>23</v>
      </c>
      <c r="B27" s="1">
        <v>2</v>
      </c>
      <c r="C27" s="1" t="str">
        <f t="shared" si="6"/>
        <v>2|1016|5</v>
      </c>
      <c r="D27" s="1">
        <v>1</v>
      </c>
      <c r="E27" s="1">
        <v>3</v>
      </c>
      <c r="F27" s="1" t="str">
        <f t="shared" si="0"/>
        <v>2|1204|3350</v>
      </c>
      <c r="G27" s="1">
        <v>0</v>
      </c>
      <c r="H27" s="1">
        <v>100</v>
      </c>
      <c r="K27" s="86">
        <v>3350</v>
      </c>
      <c r="L27" s="86">
        <f t="shared" si="1"/>
        <v>3333</v>
      </c>
      <c r="O27" s="40" t="s">
        <v>1990</v>
      </c>
      <c r="P27" s="11">
        <f t="shared" si="2"/>
        <v>2</v>
      </c>
      <c r="Q27" s="11">
        <f t="shared" si="3"/>
        <v>1016</v>
      </c>
      <c r="R27" s="41">
        <v>5</v>
      </c>
      <c r="S27" s="19">
        <f t="shared" si="4"/>
        <v>3.3333333333333339</v>
      </c>
      <c r="V27" s="1" t="str">
        <f>'抽奖|MoonBless'!DN27</f>
        <v>双轮</v>
      </c>
      <c r="W27" s="1">
        <f>'抽奖|MoonBless'!DO27</f>
        <v>30</v>
      </c>
      <c r="X27" s="1">
        <f>'抽奖|MoonBless'!DP27</f>
        <v>600</v>
      </c>
      <c r="Y27" s="1">
        <f>'抽奖|MoonBless'!DQ27</f>
        <v>2</v>
      </c>
      <c r="Z27" s="1">
        <f>'抽奖|MoonBless'!DR27</f>
        <v>1500</v>
      </c>
      <c r="AA27" s="130">
        <v>1</v>
      </c>
    </row>
    <row r="28" spans="1:39" x14ac:dyDescent="0.25">
      <c r="A28" s="1">
        <v>24</v>
      </c>
      <c r="B28" s="1">
        <v>2</v>
      </c>
      <c r="C28" s="1" t="str">
        <f t="shared" si="6"/>
        <v>2|1015|5</v>
      </c>
      <c r="D28" s="1">
        <v>1</v>
      </c>
      <c r="E28" s="1">
        <v>3</v>
      </c>
      <c r="F28" s="1" t="str">
        <f t="shared" si="0"/>
        <v>2|1204|1700</v>
      </c>
      <c r="G28" s="1">
        <v>0</v>
      </c>
      <c r="H28" s="1">
        <v>100</v>
      </c>
      <c r="K28" s="86">
        <v>1700</v>
      </c>
      <c r="L28" s="86">
        <f t="shared" si="1"/>
        <v>1667</v>
      </c>
      <c r="O28" s="40" t="s">
        <v>1989</v>
      </c>
      <c r="P28" s="14">
        <f t="shared" si="2"/>
        <v>2</v>
      </c>
      <c r="Q28" s="14">
        <f t="shared" si="3"/>
        <v>1015</v>
      </c>
      <c r="R28" s="45">
        <v>5</v>
      </c>
      <c r="S28" s="21">
        <f t="shared" si="4"/>
        <v>1.666666666666667</v>
      </c>
      <c r="V28" s="1" t="str">
        <f>'抽奖|MoonBless'!DN28</f>
        <v>橄榄油</v>
      </c>
      <c r="W28" s="1">
        <f>'抽奖|MoonBless'!DO28</f>
        <v>60</v>
      </c>
      <c r="X28" s="1">
        <f>'抽奖|MoonBless'!DP28</f>
        <v>1200</v>
      </c>
      <c r="Y28" s="1">
        <f>'抽奖|MoonBless'!DQ28</f>
        <v>2</v>
      </c>
      <c r="Z28" s="1">
        <f>'抽奖|MoonBless'!DR28</f>
        <v>1503</v>
      </c>
      <c r="AA28" s="130">
        <v>1</v>
      </c>
    </row>
    <row r="29" spans="1:39" x14ac:dyDescent="0.25">
      <c r="A29" s="1">
        <v>25</v>
      </c>
      <c r="B29" s="1">
        <v>1</v>
      </c>
      <c r="C29" s="1" t="str">
        <f t="shared" si="6"/>
        <v>2|1007|1</v>
      </c>
      <c r="D29" s="1">
        <v>2</v>
      </c>
      <c r="E29" s="1">
        <v>1</v>
      </c>
      <c r="F29" s="1" t="str">
        <f t="shared" ref="F29:F43" si="9">"2|1213|"&amp;K29</f>
        <v>2|1213|30</v>
      </c>
      <c r="G29" s="1">
        <v>0</v>
      </c>
      <c r="I29" s="1">
        <v>1</v>
      </c>
      <c r="J29" s="1">
        <v>1</v>
      </c>
      <c r="K29" s="59">
        <v>30</v>
      </c>
      <c r="L29" s="86">
        <f t="shared" ref="L29:L43" si="10">ROUND(S29/$W$30,0)</f>
        <v>33</v>
      </c>
      <c r="O29" s="40" t="s">
        <v>1381</v>
      </c>
      <c r="P29" s="48">
        <f t="shared" si="2"/>
        <v>2</v>
      </c>
      <c r="Q29" s="48">
        <f t="shared" si="3"/>
        <v>1007</v>
      </c>
      <c r="R29" s="129">
        <v>1</v>
      </c>
      <c r="S29" s="50">
        <f t="shared" si="4"/>
        <v>33.333333333333336</v>
      </c>
      <c r="V29" s="1" t="str">
        <f>'抽奖|MoonBless'!DN29</f>
        <v>米面礼包</v>
      </c>
      <c r="W29" s="1">
        <f>'抽奖|MoonBless'!DO29</f>
        <v>82.5</v>
      </c>
      <c r="X29" s="1">
        <f>'抽奖|MoonBless'!DP29</f>
        <v>1650</v>
      </c>
      <c r="Y29" s="1">
        <f>'抽奖|MoonBless'!DQ29</f>
        <v>2</v>
      </c>
      <c r="Z29" s="1">
        <f>'抽奖|MoonBless'!DR29</f>
        <v>1504</v>
      </c>
      <c r="AA29" s="130">
        <v>1</v>
      </c>
    </row>
    <row r="30" spans="1:39" x14ac:dyDescent="0.25">
      <c r="A30" s="1">
        <v>26</v>
      </c>
      <c r="B30" s="1">
        <v>1</v>
      </c>
      <c r="C30" s="1" t="str">
        <f t="shared" si="6"/>
        <v>2|1006|1</v>
      </c>
      <c r="D30" s="1">
        <v>2</v>
      </c>
      <c r="E30" s="1">
        <v>1</v>
      </c>
      <c r="F30" s="1" t="str">
        <f t="shared" si="9"/>
        <v>2|1213|12</v>
      </c>
      <c r="G30" s="1">
        <v>0</v>
      </c>
      <c r="I30" s="1">
        <v>1</v>
      </c>
      <c r="K30" s="59">
        <v>12</v>
      </c>
      <c r="L30" s="86">
        <f t="shared" si="10"/>
        <v>13</v>
      </c>
      <c r="O30" s="40" t="s">
        <v>1371</v>
      </c>
      <c r="P30" s="11">
        <f t="shared" si="2"/>
        <v>2</v>
      </c>
      <c r="Q30" s="11">
        <f t="shared" si="3"/>
        <v>1006</v>
      </c>
      <c r="R30" s="41">
        <v>1</v>
      </c>
      <c r="S30" s="19">
        <f t="shared" si="4"/>
        <v>13.333333333333336</v>
      </c>
      <c r="V30" s="1" t="str">
        <f>'抽奖|MoonBless'!DN30</f>
        <v>买单券</v>
      </c>
      <c r="W30" s="1">
        <f>W12*1000</f>
        <v>1</v>
      </c>
      <c r="X30" s="1">
        <f>W30*10</f>
        <v>10</v>
      </c>
      <c r="Y30" s="1">
        <f>'抽奖|MoonBless'!DQ30</f>
        <v>2</v>
      </c>
      <c r="Z30" s="1">
        <f>'抽奖|MoonBless'!DR30</f>
        <v>1213</v>
      </c>
      <c r="AA30" s="130">
        <v>1</v>
      </c>
    </row>
    <row r="31" spans="1:39" x14ac:dyDescent="0.25">
      <c r="A31" s="1">
        <v>27</v>
      </c>
      <c r="B31" s="1">
        <v>1</v>
      </c>
      <c r="C31" s="1" t="str">
        <f t="shared" si="6"/>
        <v>1|2|3000000</v>
      </c>
      <c r="D31" s="1">
        <v>2</v>
      </c>
      <c r="E31" s="1">
        <v>1</v>
      </c>
      <c r="F31" s="1" t="str">
        <f t="shared" si="9"/>
        <v>2|1213|20</v>
      </c>
      <c r="G31" s="1">
        <v>0</v>
      </c>
      <c r="I31" s="1">
        <v>3</v>
      </c>
      <c r="K31" s="86">
        <f t="shared" ref="K31:K33" si="11">L31</f>
        <v>20</v>
      </c>
      <c r="L31" s="86">
        <f t="shared" si="10"/>
        <v>20</v>
      </c>
      <c r="O31" s="40" t="s">
        <v>177</v>
      </c>
      <c r="P31" s="11">
        <f t="shared" si="2"/>
        <v>1</v>
      </c>
      <c r="Q31" s="11">
        <f t="shared" si="3"/>
        <v>2</v>
      </c>
      <c r="R31" s="41">
        <v>3000000</v>
      </c>
      <c r="S31" s="19">
        <f t="shared" si="4"/>
        <v>20.000000000000004</v>
      </c>
      <c r="V31" s="1" t="str">
        <f>'抽奖|MoonBless'!DN31</f>
        <v>超级武器碎片1</v>
      </c>
      <c r="W31" s="1">
        <f>W13/20</f>
        <v>0.33333333333333337</v>
      </c>
      <c r="X31" s="1">
        <f t="shared" ref="X31:X34" si="12">W31*10</f>
        <v>3.3333333333333339</v>
      </c>
      <c r="Y31" s="1">
        <f>'抽奖|MoonBless'!DQ31</f>
        <v>2</v>
      </c>
      <c r="Z31" s="1">
        <f>'抽奖|MoonBless'!DR31</f>
        <v>1015</v>
      </c>
      <c r="AA31" s="130">
        <v>2</v>
      </c>
    </row>
    <row r="32" spans="1:39" x14ac:dyDescent="0.25">
      <c r="A32" s="1">
        <v>28</v>
      </c>
      <c r="B32" s="1">
        <v>1</v>
      </c>
      <c r="C32" s="1" t="str">
        <f t="shared" si="6"/>
        <v>1|2|1500000</v>
      </c>
      <c r="D32" s="1">
        <v>2</v>
      </c>
      <c r="E32" s="1">
        <v>1</v>
      </c>
      <c r="F32" s="1" t="str">
        <f t="shared" si="9"/>
        <v>2|1213|10</v>
      </c>
      <c r="G32" s="1">
        <v>0</v>
      </c>
      <c r="H32"/>
      <c r="I32" s="1">
        <v>3</v>
      </c>
      <c r="J32"/>
      <c r="K32" s="86">
        <f t="shared" si="11"/>
        <v>10</v>
      </c>
      <c r="L32" s="86">
        <f t="shared" si="10"/>
        <v>10</v>
      </c>
      <c r="M32"/>
      <c r="N32"/>
      <c r="O32" s="40" t="s">
        <v>177</v>
      </c>
      <c r="P32" s="11">
        <f t="shared" si="2"/>
        <v>1</v>
      </c>
      <c r="Q32" s="11">
        <f t="shared" si="3"/>
        <v>2</v>
      </c>
      <c r="R32" s="41">
        <v>1500000</v>
      </c>
      <c r="S32" s="19">
        <f t="shared" si="4"/>
        <v>10.000000000000002</v>
      </c>
      <c r="V32" s="1" t="str">
        <f>'抽奖|MoonBless'!DN32</f>
        <v>超级武器碎片2</v>
      </c>
      <c r="W32" s="1">
        <f t="shared" ref="W32:W34" si="13">W14/20</f>
        <v>0.66666666666666674</v>
      </c>
      <c r="X32" s="1">
        <f t="shared" si="12"/>
        <v>6.6666666666666679</v>
      </c>
      <c r="Y32" s="1">
        <f>'抽奖|MoonBless'!DQ32</f>
        <v>2</v>
      </c>
      <c r="Z32" s="1">
        <f>'抽奖|MoonBless'!DR32</f>
        <v>1016</v>
      </c>
      <c r="AA32" s="130">
        <v>3</v>
      </c>
    </row>
    <row r="33" spans="1:27" x14ac:dyDescent="0.25">
      <c r="A33" s="1">
        <v>29</v>
      </c>
      <c r="B33" s="1">
        <v>1</v>
      </c>
      <c r="C33" s="1" t="str">
        <f t="shared" si="6"/>
        <v>1|1|200</v>
      </c>
      <c r="D33" s="1">
        <v>2</v>
      </c>
      <c r="E33" s="1">
        <v>1</v>
      </c>
      <c r="F33" s="1" t="str">
        <f t="shared" si="9"/>
        <v>2|1213|20</v>
      </c>
      <c r="G33" s="1">
        <v>0</v>
      </c>
      <c r="H33"/>
      <c r="I33" s="1">
        <v>3</v>
      </c>
      <c r="J33"/>
      <c r="K33" s="86">
        <f t="shared" si="11"/>
        <v>20</v>
      </c>
      <c r="L33" s="86">
        <f t="shared" si="10"/>
        <v>20</v>
      </c>
      <c r="M33"/>
      <c r="N33"/>
      <c r="O33" s="122" t="s">
        <v>1369</v>
      </c>
      <c r="P33" s="14">
        <f t="shared" si="2"/>
        <v>1</v>
      </c>
      <c r="Q33" s="14">
        <f t="shared" si="3"/>
        <v>1</v>
      </c>
      <c r="R33" s="45">
        <v>200</v>
      </c>
      <c r="S33" s="21">
        <f t="shared" si="4"/>
        <v>20</v>
      </c>
      <c r="V33" s="1" t="str">
        <f>'抽奖|MoonBless'!DN33</f>
        <v>超级武器碎片3</v>
      </c>
      <c r="W33" s="1">
        <f t="shared" si="13"/>
        <v>1.6666666666666667</v>
      </c>
      <c r="X33" s="1">
        <f t="shared" si="12"/>
        <v>16.666666666666668</v>
      </c>
      <c r="Y33" s="1">
        <f>'抽奖|MoonBless'!DQ33</f>
        <v>2</v>
      </c>
      <c r="Z33" s="1">
        <f>'抽奖|MoonBless'!DR33</f>
        <v>1017</v>
      </c>
      <c r="AA33" s="130">
        <v>4</v>
      </c>
    </row>
    <row r="34" spans="1:27" x14ac:dyDescent="0.25">
      <c r="A34" s="1">
        <v>25</v>
      </c>
      <c r="B34" s="1">
        <v>1</v>
      </c>
      <c r="C34" s="1" t="str">
        <f t="shared" si="6"/>
        <v>2|1210|1</v>
      </c>
      <c r="D34" s="1">
        <v>2</v>
      </c>
      <c r="E34" s="1">
        <v>2</v>
      </c>
      <c r="F34" s="1" t="str">
        <f t="shared" si="9"/>
        <v>2|1213|48</v>
      </c>
      <c r="G34" s="1">
        <v>0</v>
      </c>
      <c r="I34" s="1">
        <v>1</v>
      </c>
      <c r="J34" s="1">
        <v>1</v>
      </c>
      <c r="K34" s="59">
        <v>48</v>
      </c>
      <c r="L34" s="86">
        <f t="shared" si="10"/>
        <v>50</v>
      </c>
      <c r="O34" s="123" t="s">
        <v>1979</v>
      </c>
      <c r="P34" s="48">
        <f t="shared" si="2"/>
        <v>2</v>
      </c>
      <c r="Q34" s="48">
        <f t="shared" si="3"/>
        <v>1210</v>
      </c>
      <c r="R34" s="129">
        <v>1</v>
      </c>
      <c r="S34" s="50">
        <f t="shared" si="4"/>
        <v>50</v>
      </c>
      <c r="V34" s="1" t="str">
        <f>'抽奖|MoonBless'!DN34</f>
        <v>超级武器碎片4</v>
      </c>
      <c r="W34" s="1">
        <f t="shared" si="13"/>
        <v>3.3333333333333335</v>
      </c>
      <c r="X34" s="1">
        <f t="shared" si="12"/>
        <v>33.333333333333336</v>
      </c>
      <c r="Y34" s="1">
        <f>'抽奖|MoonBless'!DQ34</f>
        <v>2</v>
      </c>
      <c r="Z34" s="1">
        <f>'抽奖|MoonBless'!DR34</f>
        <v>1018</v>
      </c>
      <c r="AA34" s="130">
        <v>5</v>
      </c>
    </row>
    <row r="35" spans="1:27" x14ac:dyDescent="0.25">
      <c r="A35" s="1">
        <v>26</v>
      </c>
      <c r="B35" s="1">
        <v>1</v>
      </c>
      <c r="C35" s="1" t="str">
        <f t="shared" si="6"/>
        <v>2|1007|1</v>
      </c>
      <c r="D35" s="1">
        <v>2</v>
      </c>
      <c r="E35" s="1">
        <v>2</v>
      </c>
      <c r="F35" s="1" t="str">
        <f t="shared" si="9"/>
        <v>2|1213|30</v>
      </c>
      <c r="G35" s="1">
        <v>0</v>
      </c>
      <c r="I35" s="1">
        <v>1</v>
      </c>
      <c r="K35" s="59">
        <v>30</v>
      </c>
      <c r="L35" s="86">
        <f t="shared" si="10"/>
        <v>33</v>
      </c>
      <c r="O35" s="40" t="s">
        <v>1381</v>
      </c>
      <c r="P35" s="11">
        <f t="shared" si="2"/>
        <v>2</v>
      </c>
      <c r="Q35" s="11">
        <f t="shared" si="3"/>
        <v>1007</v>
      </c>
      <c r="R35" s="41">
        <v>1</v>
      </c>
      <c r="S35" s="19">
        <f t="shared" si="4"/>
        <v>33.333333333333336</v>
      </c>
    </row>
    <row r="36" spans="1:27" x14ac:dyDescent="0.25">
      <c r="A36" s="1">
        <v>27</v>
      </c>
      <c r="B36" s="1">
        <v>1</v>
      </c>
      <c r="C36" s="1" t="str">
        <f t="shared" si="6"/>
        <v>1|2|3000000</v>
      </c>
      <c r="D36" s="1">
        <v>2</v>
      </c>
      <c r="E36" s="1">
        <v>2</v>
      </c>
      <c r="F36" s="1" t="str">
        <f t="shared" si="9"/>
        <v>2|1213|20</v>
      </c>
      <c r="G36" s="1">
        <v>0</v>
      </c>
      <c r="I36" s="1">
        <v>3</v>
      </c>
      <c r="K36" s="86">
        <f t="shared" ref="K36:K38" si="14">L36</f>
        <v>20</v>
      </c>
      <c r="L36" s="86">
        <f t="shared" si="10"/>
        <v>20</v>
      </c>
      <c r="O36" s="40" t="s">
        <v>177</v>
      </c>
      <c r="P36" s="11">
        <f t="shared" si="2"/>
        <v>1</v>
      </c>
      <c r="Q36" s="11">
        <f t="shared" si="3"/>
        <v>2</v>
      </c>
      <c r="R36" s="41">
        <v>3000000</v>
      </c>
      <c r="S36" s="19">
        <f t="shared" si="4"/>
        <v>20.000000000000004</v>
      </c>
    </row>
    <row r="37" spans="1:27" x14ac:dyDescent="0.25">
      <c r="A37" s="1">
        <v>28</v>
      </c>
      <c r="B37" s="1">
        <v>1</v>
      </c>
      <c r="C37" s="1" t="str">
        <f t="shared" si="6"/>
        <v>1|2|1500000</v>
      </c>
      <c r="D37" s="1">
        <v>2</v>
      </c>
      <c r="E37" s="1">
        <v>2</v>
      </c>
      <c r="F37" s="1" t="str">
        <f t="shared" si="9"/>
        <v>2|1213|10</v>
      </c>
      <c r="G37" s="1">
        <v>0</v>
      </c>
      <c r="H37"/>
      <c r="I37" s="1">
        <v>3</v>
      </c>
      <c r="J37"/>
      <c r="K37" s="86">
        <f t="shared" si="14"/>
        <v>10</v>
      </c>
      <c r="L37" s="86">
        <f t="shared" si="10"/>
        <v>10</v>
      </c>
      <c r="M37"/>
      <c r="N37"/>
      <c r="O37" s="40" t="s">
        <v>177</v>
      </c>
      <c r="P37" s="11">
        <f t="shared" si="2"/>
        <v>1</v>
      </c>
      <c r="Q37" s="11">
        <f t="shared" si="3"/>
        <v>2</v>
      </c>
      <c r="R37" s="41">
        <v>1500000</v>
      </c>
      <c r="S37" s="19">
        <f t="shared" si="4"/>
        <v>10.000000000000002</v>
      </c>
    </row>
    <row r="38" spans="1:27" x14ac:dyDescent="0.25">
      <c r="A38" s="1">
        <v>29</v>
      </c>
      <c r="B38" s="1">
        <v>1</v>
      </c>
      <c r="C38" s="1" t="str">
        <f t="shared" si="6"/>
        <v>1|1|200</v>
      </c>
      <c r="D38" s="1">
        <v>2</v>
      </c>
      <c r="E38" s="1">
        <v>2</v>
      </c>
      <c r="F38" s="1" t="str">
        <f t="shared" si="9"/>
        <v>2|1213|20</v>
      </c>
      <c r="G38" s="1">
        <v>0</v>
      </c>
      <c r="H38"/>
      <c r="I38" s="1">
        <v>3</v>
      </c>
      <c r="J38"/>
      <c r="K38" s="86">
        <f t="shared" si="14"/>
        <v>20</v>
      </c>
      <c r="L38" s="86">
        <f t="shared" si="10"/>
        <v>20</v>
      </c>
      <c r="M38"/>
      <c r="N38"/>
      <c r="O38" s="122" t="s">
        <v>1369</v>
      </c>
      <c r="P38" s="14">
        <f t="shared" si="2"/>
        <v>1</v>
      </c>
      <c r="Q38" s="14">
        <f t="shared" si="3"/>
        <v>1</v>
      </c>
      <c r="R38" s="45">
        <v>200</v>
      </c>
      <c r="S38" s="21">
        <f t="shared" si="4"/>
        <v>20</v>
      </c>
    </row>
    <row r="39" spans="1:27" x14ac:dyDescent="0.25">
      <c r="A39" s="1">
        <v>30</v>
      </c>
      <c r="B39" s="1">
        <v>2</v>
      </c>
      <c r="C39" s="1" t="str">
        <f t="shared" si="6"/>
        <v>2|1007|1</v>
      </c>
      <c r="D39" s="1">
        <v>2</v>
      </c>
      <c r="E39" s="1">
        <v>3</v>
      </c>
      <c r="F39" s="1" t="str">
        <f t="shared" si="9"/>
        <v>2|1213|30</v>
      </c>
      <c r="G39" s="1">
        <v>0</v>
      </c>
      <c r="I39" s="1">
        <v>1</v>
      </c>
      <c r="J39" s="1">
        <v>1</v>
      </c>
      <c r="K39" s="59">
        <v>30</v>
      </c>
      <c r="L39" s="86">
        <f t="shared" si="10"/>
        <v>33</v>
      </c>
      <c r="O39" s="40" t="s">
        <v>1381</v>
      </c>
      <c r="P39" s="48">
        <f t="shared" si="2"/>
        <v>2</v>
      </c>
      <c r="Q39" s="48">
        <f t="shared" si="3"/>
        <v>1007</v>
      </c>
      <c r="R39" s="129">
        <v>1</v>
      </c>
      <c r="S39" s="50">
        <f t="shared" si="4"/>
        <v>33.333333333333336</v>
      </c>
    </row>
    <row r="40" spans="1:27" x14ac:dyDescent="0.25">
      <c r="A40" s="1">
        <v>31</v>
      </c>
      <c r="B40" s="1">
        <v>2</v>
      </c>
      <c r="C40" s="1" t="str">
        <f t="shared" si="6"/>
        <v>2|1006|1</v>
      </c>
      <c r="D40" s="1">
        <v>2</v>
      </c>
      <c r="E40" s="1">
        <v>3</v>
      </c>
      <c r="F40" s="1" t="str">
        <f t="shared" si="9"/>
        <v>2|1213|12</v>
      </c>
      <c r="G40" s="1">
        <v>0</v>
      </c>
      <c r="I40" s="1">
        <v>1</v>
      </c>
      <c r="K40" s="59">
        <v>12</v>
      </c>
      <c r="L40" s="86">
        <f t="shared" si="10"/>
        <v>13</v>
      </c>
      <c r="M40" s="1">
        <f>K40*5/2</f>
        <v>30</v>
      </c>
      <c r="O40" s="40" t="s">
        <v>1371</v>
      </c>
      <c r="P40" s="11">
        <f t="shared" si="2"/>
        <v>2</v>
      </c>
      <c r="Q40" s="11">
        <f t="shared" si="3"/>
        <v>1006</v>
      </c>
      <c r="R40" s="41">
        <v>1</v>
      </c>
      <c r="S40" s="19">
        <f t="shared" si="4"/>
        <v>13.333333333333336</v>
      </c>
    </row>
    <row r="41" spans="1:27" x14ac:dyDescent="0.25">
      <c r="A41" s="1">
        <v>32</v>
      </c>
      <c r="B41" s="1">
        <v>2</v>
      </c>
      <c r="C41" s="1" t="str">
        <f t="shared" si="6"/>
        <v>1|2|3000000</v>
      </c>
      <c r="D41" s="1">
        <v>2</v>
      </c>
      <c r="E41" s="1">
        <v>3</v>
      </c>
      <c r="F41" s="1" t="str">
        <f t="shared" si="9"/>
        <v>2|1213|20</v>
      </c>
      <c r="G41" s="1">
        <v>0</v>
      </c>
      <c r="I41" s="1">
        <v>3</v>
      </c>
      <c r="K41" s="86">
        <f t="shared" ref="K41:K43" si="15">L41</f>
        <v>20</v>
      </c>
      <c r="L41" s="86">
        <f t="shared" si="10"/>
        <v>20</v>
      </c>
      <c r="O41" s="40" t="s">
        <v>177</v>
      </c>
      <c r="P41" s="11">
        <f t="shared" si="2"/>
        <v>1</v>
      </c>
      <c r="Q41" s="11">
        <f t="shared" si="3"/>
        <v>2</v>
      </c>
      <c r="R41" s="41">
        <v>3000000</v>
      </c>
      <c r="S41" s="19">
        <f t="shared" si="4"/>
        <v>20.000000000000004</v>
      </c>
    </row>
    <row r="42" spans="1:27" x14ac:dyDescent="0.25">
      <c r="A42" s="1">
        <v>33</v>
      </c>
      <c r="B42" s="1">
        <v>2</v>
      </c>
      <c r="C42" s="1" t="str">
        <f t="shared" si="6"/>
        <v>1|2|1500000</v>
      </c>
      <c r="D42" s="1">
        <v>2</v>
      </c>
      <c r="E42" s="1">
        <v>3</v>
      </c>
      <c r="F42" s="1" t="str">
        <f t="shared" si="9"/>
        <v>2|1213|10</v>
      </c>
      <c r="G42" s="1">
        <v>0</v>
      </c>
      <c r="H42"/>
      <c r="I42" s="1">
        <v>3</v>
      </c>
      <c r="J42"/>
      <c r="K42" s="86">
        <f t="shared" si="15"/>
        <v>10</v>
      </c>
      <c r="L42" s="86">
        <f t="shared" si="10"/>
        <v>10</v>
      </c>
      <c r="M42"/>
      <c r="N42"/>
      <c r="O42" s="40" t="s">
        <v>177</v>
      </c>
      <c r="P42" s="11">
        <f t="shared" si="2"/>
        <v>1</v>
      </c>
      <c r="Q42" s="11">
        <f t="shared" si="3"/>
        <v>2</v>
      </c>
      <c r="R42" s="41">
        <v>1500000</v>
      </c>
      <c r="S42" s="19">
        <f t="shared" si="4"/>
        <v>10.000000000000002</v>
      </c>
    </row>
    <row r="43" spans="1:27" x14ac:dyDescent="0.25">
      <c r="A43" s="1">
        <v>34</v>
      </c>
      <c r="B43" s="1">
        <v>2</v>
      </c>
      <c r="C43" s="1" t="str">
        <f t="shared" si="6"/>
        <v>1|1|200</v>
      </c>
      <c r="D43" s="1">
        <v>2</v>
      </c>
      <c r="E43" s="1">
        <v>3</v>
      </c>
      <c r="F43" s="1" t="str">
        <f t="shared" si="9"/>
        <v>2|1213|20</v>
      </c>
      <c r="G43" s="1">
        <v>0</v>
      </c>
      <c r="H43"/>
      <c r="I43" s="1">
        <v>3</v>
      </c>
      <c r="J43"/>
      <c r="K43" s="86">
        <f t="shared" si="15"/>
        <v>20</v>
      </c>
      <c r="L43" s="86">
        <f t="shared" si="10"/>
        <v>20</v>
      </c>
      <c r="M43"/>
      <c r="N43"/>
      <c r="O43" s="122" t="s">
        <v>1369</v>
      </c>
      <c r="P43" s="14">
        <f t="shared" si="2"/>
        <v>1</v>
      </c>
      <c r="Q43" s="14">
        <f t="shared" si="3"/>
        <v>1</v>
      </c>
      <c r="R43" s="45">
        <v>200</v>
      </c>
      <c r="S43" s="21">
        <f t="shared" si="4"/>
        <v>20</v>
      </c>
    </row>
    <row r="44" spans="1:27" x14ac:dyDescent="0.25">
      <c r="O44" s="1"/>
      <c r="P44" s="1"/>
      <c r="Q44" s="1"/>
      <c r="R44" s="1"/>
      <c r="S44" s="1"/>
      <c r="W44" s="75"/>
    </row>
    <row r="45" spans="1:27" x14ac:dyDescent="0.25">
      <c r="J45" s="11"/>
      <c r="K45" s="11"/>
      <c r="L45" s="11"/>
      <c r="M45" s="11"/>
      <c r="N45" s="11"/>
      <c r="O45" s="11"/>
      <c r="P45" s="11"/>
      <c r="Q45" s="1"/>
      <c r="R45" s="1"/>
      <c r="S45" s="1"/>
    </row>
    <row r="46" spans="1:27" x14ac:dyDescent="0.25">
      <c r="J46" s="11"/>
      <c r="K46" s="124"/>
      <c r="L46" s="124"/>
      <c r="M46" s="124"/>
      <c r="N46" s="124"/>
      <c r="O46" s="124"/>
      <c r="P46" s="11"/>
      <c r="Q46" s="1"/>
      <c r="R46" s="1"/>
      <c r="S46" s="1"/>
      <c r="W46" s="75"/>
    </row>
    <row r="47" spans="1:27" x14ac:dyDescent="0.25">
      <c r="J47" s="11"/>
      <c r="K47" s="124"/>
      <c r="L47" s="125"/>
      <c r="M47" s="125"/>
      <c r="N47" s="125"/>
      <c r="O47" s="125"/>
      <c r="P47" s="11"/>
      <c r="Q47" s="1"/>
      <c r="R47" s="1"/>
      <c r="S47" s="1"/>
    </row>
    <row r="48" spans="1:27" x14ac:dyDescent="0.25">
      <c r="J48" s="11"/>
      <c r="K48" s="124"/>
      <c r="L48" s="125"/>
      <c r="M48" s="125"/>
      <c r="N48" s="125"/>
      <c r="O48" s="125"/>
      <c r="P48" s="11"/>
      <c r="Q48" s="1"/>
      <c r="R48" s="1"/>
      <c r="S48" s="1"/>
    </row>
    <row r="49" spans="10:19" x14ac:dyDescent="0.25">
      <c r="J49" s="11"/>
      <c r="K49" s="124"/>
      <c r="L49" s="125"/>
      <c r="M49" s="125"/>
      <c r="N49" s="125"/>
      <c r="O49" s="125"/>
      <c r="P49" s="11"/>
      <c r="Q49" s="1"/>
      <c r="R49" s="1"/>
      <c r="S49" s="1"/>
    </row>
    <row r="50" spans="10:19" x14ac:dyDescent="0.25">
      <c r="J50" s="11"/>
      <c r="K50" s="124"/>
      <c r="L50" s="125"/>
      <c r="M50" s="125"/>
      <c r="N50" s="125"/>
      <c r="O50" s="125"/>
      <c r="P50" s="11"/>
      <c r="Q50" s="1"/>
      <c r="R50" s="1"/>
      <c r="S50" s="1"/>
    </row>
    <row r="51" spans="10:19" x14ac:dyDescent="0.25">
      <c r="J51" s="11"/>
      <c r="K51" s="124"/>
      <c r="L51" s="125"/>
      <c r="M51" s="125"/>
      <c r="N51" s="125"/>
      <c r="O51" s="125"/>
      <c r="P51" s="11"/>
      <c r="Q51" s="1"/>
      <c r="R51" s="1"/>
      <c r="S51" s="1"/>
    </row>
    <row r="52" spans="10:19" x14ac:dyDescent="0.25">
      <c r="J52" s="11"/>
      <c r="K52" s="124"/>
      <c r="L52" s="125"/>
      <c r="M52" s="125"/>
      <c r="N52" s="125"/>
      <c r="O52" s="125"/>
      <c r="P52" s="11"/>
      <c r="Q52" s="1"/>
      <c r="R52" s="1"/>
      <c r="S52" s="1"/>
    </row>
    <row r="53" spans="10:19" x14ac:dyDescent="0.25">
      <c r="J53" s="11"/>
      <c r="K53" s="124"/>
      <c r="L53" s="125"/>
      <c r="M53" s="125"/>
      <c r="N53" s="125"/>
      <c r="O53" s="125"/>
      <c r="P53" s="11"/>
      <c r="Q53" s="1"/>
      <c r="R53" s="1"/>
      <c r="S53" s="1"/>
    </row>
    <row r="54" spans="10:19" x14ac:dyDescent="0.25">
      <c r="J54" s="11"/>
      <c r="K54" s="124"/>
      <c r="L54" s="125"/>
      <c r="M54" s="125"/>
      <c r="N54" s="125"/>
      <c r="O54" s="125"/>
      <c r="P54" s="11"/>
      <c r="Q54" s="1"/>
      <c r="R54" s="1"/>
      <c r="S54" s="1"/>
    </row>
    <row r="55" spans="10:19" x14ac:dyDescent="0.25">
      <c r="J55" s="11"/>
      <c r="K55" s="11"/>
      <c r="L55" s="11"/>
      <c r="M55" s="11"/>
      <c r="N55" s="11"/>
      <c r="O55" s="11"/>
      <c r="P55" s="11"/>
      <c r="Q55" s="1"/>
      <c r="R55" s="1"/>
      <c r="S55" s="1"/>
    </row>
    <row r="56" spans="10:19" x14ac:dyDescent="0.25">
      <c r="J56" s="11"/>
      <c r="K56" s="11"/>
      <c r="L56" s="11"/>
      <c r="M56" s="11"/>
      <c r="N56" s="11"/>
      <c r="O56" s="117"/>
      <c r="P56" s="117"/>
    </row>
    <row r="57" spans="10:19" x14ac:dyDescent="0.25">
      <c r="J57" s="11"/>
      <c r="K57" s="11"/>
      <c r="L57" s="11"/>
      <c r="M57" s="11"/>
      <c r="N57" s="11"/>
      <c r="O57" s="117"/>
      <c r="P57" s="117"/>
    </row>
  </sheetData>
  <phoneticPr fontId="64" type="noConversion"/>
  <conditionalFormatting sqref="J5">
    <cfRule type="containsText" dxfId="589" priority="11" operator="containsText" text=" ">
      <formula>NOT(ISERROR(SEARCH(" ",J5)))</formula>
    </cfRule>
  </conditionalFormatting>
  <conditionalFormatting sqref="J6">
    <cfRule type="containsText" dxfId="588" priority="10" operator="containsText" text=" ">
      <formula>NOT(ISERROR(SEARCH(" ",J6)))</formula>
    </cfRule>
  </conditionalFormatting>
  <conditionalFormatting sqref="J7">
    <cfRule type="containsText" dxfId="587" priority="9" operator="containsText" text=" ">
      <formula>NOT(ISERROR(SEARCH(" ",J7)))</formula>
    </cfRule>
  </conditionalFormatting>
  <conditionalFormatting sqref="W7">
    <cfRule type="containsText" dxfId="586" priority="192" operator="containsText" text=" ">
      <formula>NOT(ISERROR(SEARCH(" ",W7)))</formula>
    </cfRule>
  </conditionalFormatting>
  <conditionalFormatting sqref="X7">
    <cfRule type="containsText" dxfId="585" priority="202" operator="containsText" text=" ">
      <formula>NOT(ISERROR(SEARCH(" ",X7)))</formula>
    </cfRule>
  </conditionalFormatting>
  <conditionalFormatting sqref="J8">
    <cfRule type="containsText" dxfId="584" priority="8" operator="containsText" text=" ">
      <formula>NOT(ISERROR(SEARCH(" ",J8)))</formula>
    </cfRule>
  </conditionalFormatting>
  <conditionalFormatting sqref="J9">
    <cfRule type="containsText" dxfId="583" priority="7" operator="containsText" text=" ">
      <formula>NOT(ISERROR(SEARCH(" ",J9)))</formula>
    </cfRule>
  </conditionalFormatting>
  <conditionalFormatting sqref="J10">
    <cfRule type="containsText" dxfId="582" priority="6" operator="containsText" text=" ">
      <formula>NOT(ISERROR(SEARCH(" ",J10)))</formula>
    </cfRule>
  </conditionalFormatting>
  <conditionalFormatting sqref="J11">
    <cfRule type="containsText" dxfId="581" priority="5" operator="containsText" text=" ">
      <formula>NOT(ISERROR(SEARCH(" ",J11)))</formula>
    </cfRule>
  </conditionalFormatting>
  <conditionalFormatting sqref="J12">
    <cfRule type="containsText" dxfId="580" priority="4" operator="containsText" text=" ">
      <formula>NOT(ISERROR(SEARCH(" ",J12)))</formula>
    </cfRule>
  </conditionalFormatting>
  <conditionalFormatting sqref="Z12">
    <cfRule type="containsText" dxfId="579" priority="287" operator="containsText" text=" ">
      <formula>NOT(ISERROR(SEARCH(" ",Z12)))</formula>
    </cfRule>
  </conditionalFormatting>
  <conditionalFormatting sqref="J13">
    <cfRule type="containsText" dxfId="578" priority="3" operator="containsText" text=" ">
      <formula>NOT(ISERROR(SEARCH(" ",J13)))</formula>
    </cfRule>
  </conditionalFormatting>
  <conditionalFormatting sqref="O13">
    <cfRule type="containsText" dxfId="577" priority="47" operator="containsText" text=" ">
      <formula>NOT(ISERROR(SEARCH(" ",O13)))</formula>
    </cfRule>
  </conditionalFormatting>
  <conditionalFormatting sqref="O14">
    <cfRule type="containsText" dxfId="576" priority="46" operator="containsText" text=" ">
      <formula>NOT(ISERROR(SEARCH(" ",O14)))</formula>
    </cfRule>
    <cfRule type="containsText" dxfId="575" priority="52" operator="containsText" text=" ">
      <formula>NOT(ISERROR(SEARCH(" ",O14)))</formula>
    </cfRule>
  </conditionalFormatting>
  <conditionalFormatting sqref="O15">
    <cfRule type="containsText" dxfId="574" priority="45" operator="containsText" text=" ">
      <formula>NOT(ISERROR(SEARCH(" ",O15)))</formula>
    </cfRule>
    <cfRule type="containsText" dxfId="573" priority="49" operator="containsText" text=" ">
      <formula>NOT(ISERROR(SEARCH(" ",O15)))</formula>
    </cfRule>
  </conditionalFormatting>
  <conditionalFormatting sqref="O16">
    <cfRule type="containsText" dxfId="572" priority="48" operator="containsText" text=" ">
      <formula>NOT(ISERROR(SEARCH(" ",O16)))</formula>
    </cfRule>
  </conditionalFormatting>
  <conditionalFormatting sqref="O17">
    <cfRule type="containsText" dxfId="571" priority="53" operator="containsText" text=" ">
      <formula>NOT(ISERROR(SEARCH(" ",O17)))</formula>
    </cfRule>
  </conditionalFormatting>
  <conditionalFormatting sqref="V17:W17">
    <cfRule type="containsText" dxfId="570" priority="283" operator="containsText" text=" ">
      <formula>NOT(ISERROR(SEARCH(" ",V17)))</formula>
    </cfRule>
  </conditionalFormatting>
  <conditionalFormatting sqref="V18:W18">
    <cfRule type="containsText" dxfId="569" priority="282" operator="containsText" text=" ">
      <formula>NOT(ISERROR(SEARCH(" ",V18)))</formula>
    </cfRule>
  </conditionalFormatting>
  <conditionalFormatting sqref="O19">
    <cfRule type="containsText" dxfId="568" priority="54" operator="containsText" text=" ">
      <formula>NOT(ISERROR(SEARCH(" ",O19)))</formula>
    </cfRule>
  </conditionalFormatting>
  <conditionalFormatting sqref="Z19">
    <cfRule type="containsText" dxfId="567" priority="281" operator="containsText" text=" ">
      <formula>NOT(ISERROR(SEARCH(" ",Z19)))</formula>
    </cfRule>
  </conditionalFormatting>
  <conditionalFormatting sqref="O29">
    <cfRule type="containsText" dxfId="566" priority="29" operator="containsText" text=" ">
      <formula>NOT(ISERROR(SEARCH(" ",O29)))</formula>
    </cfRule>
  </conditionalFormatting>
  <conditionalFormatting sqref="O30">
    <cfRule type="containsText" dxfId="565" priority="67" operator="containsText" text=" ">
      <formula>NOT(ISERROR(SEARCH(" ",O30)))</formula>
    </cfRule>
  </conditionalFormatting>
  <conditionalFormatting sqref="O31">
    <cfRule type="containsText" dxfId="564" priority="73" operator="containsText" text=" ">
      <formula>NOT(ISERROR(SEARCH(" ",O31)))</formula>
    </cfRule>
  </conditionalFormatting>
  <conditionalFormatting sqref="R31">
    <cfRule type="containsText" dxfId="563" priority="63" operator="containsText" text=" ">
      <formula>NOT(ISERROR(SEARCH(" ",R31)))</formula>
    </cfRule>
  </conditionalFormatting>
  <conditionalFormatting sqref="O32">
    <cfRule type="containsText" dxfId="562" priority="70" operator="containsText" text=" ">
      <formula>NOT(ISERROR(SEARCH(" ",O32)))</formula>
    </cfRule>
  </conditionalFormatting>
  <conditionalFormatting sqref="R32">
    <cfRule type="containsText" dxfId="561" priority="68" operator="containsText" text=" ">
      <formula>NOT(ISERROR(SEARCH(" ",R32)))</formula>
    </cfRule>
  </conditionalFormatting>
  <conditionalFormatting sqref="O33">
    <cfRule type="containsText" dxfId="560" priority="71" operator="containsText" text=" ">
      <formula>NOT(ISERROR(SEARCH(" ",O33)))</formula>
    </cfRule>
  </conditionalFormatting>
  <conditionalFormatting sqref="O34">
    <cfRule type="containsText" dxfId="559" priority="37" operator="containsText" text=" ">
      <formula>NOT(ISERROR(SEARCH(" ",O34)))</formula>
    </cfRule>
  </conditionalFormatting>
  <conditionalFormatting sqref="O35">
    <cfRule type="containsText" dxfId="558" priority="31" operator="containsText" text=" ">
      <formula>NOT(ISERROR(SEARCH(" ",O35)))</formula>
    </cfRule>
  </conditionalFormatting>
  <conditionalFormatting sqref="O36">
    <cfRule type="containsText" dxfId="557" priority="36" operator="containsText" text=" ">
      <formula>NOT(ISERROR(SEARCH(" ",O36)))</formula>
    </cfRule>
  </conditionalFormatting>
  <conditionalFormatting sqref="R36">
    <cfRule type="containsText" dxfId="556" priority="30" operator="containsText" text=" ">
      <formula>NOT(ISERROR(SEARCH(" ",R36)))</formula>
    </cfRule>
  </conditionalFormatting>
  <conditionalFormatting sqref="O37">
    <cfRule type="containsText" dxfId="555" priority="34" operator="containsText" text=" ">
      <formula>NOT(ISERROR(SEARCH(" ",O37)))</formula>
    </cfRule>
  </conditionalFormatting>
  <conditionalFormatting sqref="R37">
    <cfRule type="containsText" dxfId="554" priority="32" operator="containsText" text=" ">
      <formula>NOT(ISERROR(SEARCH(" ",R37)))</formula>
    </cfRule>
  </conditionalFormatting>
  <conditionalFormatting sqref="O38">
    <cfRule type="containsText" dxfId="553" priority="35" operator="containsText" text=" ">
      <formula>NOT(ISERROR(SEARCH(" ",O38)))</formula>
    </cfRule>
  </conditionalFormatting>
  <conditionalFormatting sqref="O39">
    <cfRule type="containsText" dxfId="552" priority="19" operator="containsText" text=" ">
      <formula>NOT(ISERROR(SEARCH(" ",O39)))</formula>
    </cfRule>
  </conditionalFormatting>
  <conditionalFormatting sqref="O40">
    <cfRule type="containsText" dxfId="551" priority="20" operator="containsText" text=" ">
      <formula>NOT(ISERROR(SEARCH(" ",O40)))</formula>
    </cfRule>
  </conditionalFormatting>
  <conditionalFormatting sqref="O41">
    <cfRule type="containsText" dxfId="550" priority="23" operator="containsText" text=" ">
      <formula>NOT(ISERROR(SEARCH(" ",O41)))</formula>
    </cfRule>
  </conditionalFormatting>
  <conditionalFormatting sqref="R41">
    <cfRule type="containsText" dxfId="549" priority="16" operator="containsText" text=" ">
      <formula>NOT(ISERROR(SEARCH(" ",R41)))</formula>
    </cfRule>
  </conditionalFormatting>
  <conditionalFormatting sqref="O42">
    <cfRule type="containsText" dxfId="548" priority="21" operator="containsText" text=" ">
      <formula>NOT(ISERROR(SEARCH(" ",O42)))</formula>
    </cfRule>
  </conditionalFormatting>
  <conditionalFormatting sqref="R42">
    <cfRule type="containsText" dxfId="547" priority="17" operator="containsText" text=" ">
      <formula>NOT(ISERROR(SEARCH(" ",R42)))</formula>
    </cfRule>
  </conditionalFormatting>
  <conditionalFormatting sqref="O43">
    <cfRule type="containsText" dxfId="546" priority="22" operator="containsText" text=" ">
      <formula>NOT(ISERROR(SEARCH(" ",O43)))</formula>
    </cfRule>
  </conditionalFormatting>
  <conditionalFormatting sqref="C13:C20">
    <cfRule type="containsText" dxfId="545" priority="57" operator="containsText" text=" ">
      <formula>NOT(ISERROR(SEARCH(" ",C13)))</formula>
    </cfRule>
  </conditionalFormatting>
  <conditionalFormatting sqref="C34:C38">
    <cfRule type="containsText" dxfId="544" priority="41" operator="containsText" text=" ">
      <formula>NOT(ISERROR(SEARCH(" ",C34)))</formula>
    </cfRule>
  </conditionalFormatting>
  <conditionalFormatting sqref="E5:E43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3:F20">
    <cfRule type="containsText" dxfId="543" priority="58" operator="containsText" text=" ">
      <formula>NOT(ISERROR(SEARCH(" ",F13)))</formula>
    </cfRule>
  </conditionalFormatting>
  <conditionalFormatting sqref="F34:F38">
    <cfRule type="containsText" dxfId="542" priority="42" operator="containsText" text=" ">
      <formula>NOT(ISERROR(SEARCH(" ",F34)))</formula>
    </cfRule>
  </conditionalFormatting>
  <conditionalFormatting sqref="J5:J8">
    <cfRule type="containsText" dxfId="541" priority="2" operator="containsText" text=" ">
      <formula>NOT(ISERROR(SEARCH(" ",J5)))</formula>
    </cfRule>
  </conditionalFormatting>
  <conditionalFormatting sqref="J9:J12">
    <cfRule type="containsText" dxfId="540" priority="1" operator="containsText" text=" ">
      <formula>NOT(ISERROR(SEARCH(" ",J9)))</formula>
    </cfRule>
  </conditionalFormatting>
  <conditionalFormatting sqref="K21:K28">
    <cfRule type="containsText" dxfId="539" priority="12" operator="containsText" text=" ">
      <formula>NOT(ISERROR(SEARCH(" ",K21)))</formula>
    </cfRule>
  </conditionalFormatting>
  <conditionalFormatting sqref="K39:K43">
    <cfRule type="containsText" dxfId="538" priority="15" operator="containsText" text=" ">
      <formula>NOT(ISERROR(SEARCH(" ",K39)))</formula>
    </cfRule>
  </conditionalFormatting>
  <conditionalFormatting sqref="L21:L28">
    <cfRule type="containsText" dxfId="537" priority="24" operator="containsText" text=" ">
      <formula>NOT(ISERROR(SEARCH(" ",L21)))</formula>
    </cfRule>
  </conditionalFormatting>
  <conditionalFormatting sqref="L34:L38">
    <cfRule type="containsText" dxfId="536" priority="40" operator="containsText" text=" ">
      <formula>NOT(ISERROR(SEARCH(" ",L34)))</formula>
    </cfRule>
  </conditionalFormatting>
  <conditionalFormatting sqref="L39:L43">
    <cfRule type="containsText" dxfId="535" priority="14" operator="containsText" text=" ">
      <formula>NOT(ISERROR(SEARCH(" ",L39)))</formula>
    </cfRule>
  </conditionalFormatting>
  <conditionalFormatting sqref="M21:M28">
    <cfRule type="containsText" dxfId="534" priority="76" operator="containsText" text=" ">
      <formula>NOT(ISERROR(SEARCH(" ",M21)))</formula>
    </cfRule>
  </conditionalFormatting>
  <conditionalFormatting sqref="N7:N11">
    <cfRule type="containsText" dxfId="533" priority="83" operator="containsText" text=" ">
      <formula>NOT(ISERROR(SEARCH(" ",N7)))</formula>
    </cfRule>
  </conditionalFormatting>
  <conditionalFormatting sqref="N15:N19">
    <cfRule type="containsText" dxfId="532" priority="60" operator="containsText" text=" ">
      <formula>NOT(ISERROR(SEARCH(" ",N15)))</formula>
    </cfRule>
  </conditionalFormatting>
  <conditionalFormatting sqref="O5:O8">
    <cfRule type="containsText" dxfId="531" priority="62" operator="containsText" text=" ">
      <formula>NOT(ISERROR(SEARCH(" ",O5)))</formula>
    </cfRule>
  </conditionalFormatting>
  <conditionalFormatting sqref="O9:O12">
    <cfRule type="containsText" dxfId="530" priority="77" operator="containsText" text=" ">
      <formula>NOT(ISERROR(SEARCH(" ",O9)))</formula>
    </cfRule>
  </conditionalFormatting>
  <conditionalFormatting sqref="O21:O24">
    <cfRule type="containsText" dxfId="529" priority="27" operator="containsText" text=" ">
      <formula>NOT(ISERROR(SEARCH(" ",O21)))</formula>
    </cfRule>
  </conditionalFormatting>
  <conditionalFormatting sqref="O25:O28">
    <cfRule type="containsText" dxfId="528" priority="28" operator="containsText" text=" ">
      <formula>NOT(ISERROR(SEARCH(" ",O25)))</formula>
    </cfRule>
  </conditionalFormatting>
  <conditionalFormatting sqref="R11:R12">
    <cfRule type="containsText" dxfId="527" priority="65" operator="containsText" text=" ">
      <formula>NOT(ISERROR(SEARCH(" ",R11)))</formula>
    </cfRule>
  </conditionalFormatting>
  <conditionalFormatting sqref="R19:R20">
    <cfRule type="containsText" dxfId="526" priority="50" operator="containsText" text=" ">
      <formula>NOT(ISERROR(SEARCH(" ",R19)))</formula>
    </cfRule>
  </conditionalFormatting>
  <conditionalFormatting sqref="R21:R26">
    <cfRule type="containsText" dxfId="525" priority="26" operator="containsText" text=" ">
      <formula>NOT(ISERROR(SEARCH(" ",R21)))</formula>
    </cfRule>
  </conditionalFormatting>
  <conditionalFormatting sqref="R27:R28">
    <cfRule type="containsText" dxfId="524" priority="25" operator="containsText" text=" ">
      <formula>NOT(ISERROR(SEARCH(" ",R27)))</formula>
    </cfRule>
  </conditionalFormatting>
  <conditionalFormatting sqref="X8:X12">
    <cfRule type="containsText" dxfId="523" priority="288" operator="containsText" text=" ">
      <formula>NOT(ISERROR(SEARCH(" ",X8)))</formula>
    </cfRule>
  </conditionalFormatting>
  <conditionalFormatting sqref="X13:X16">
    <cfRule type="containsText" dxfId="522" priority="285" operator="containsText" text=" ">
      <formula>NOT(ISERROR(SEARCH(" ",X13)))</formula>
    </cfRule>
  </conditionalFormatting>
  <conditionalFormatting sqref="Z8:Z11">
    <cfRule type="containsText" dxfId="521" priority="289" operator="containsText" text=" ">
      <formula>NOT(ISERROR(SEARCH(" ",Z8)))</formula>
    </cfRule>
  </conditionalFormatting>
  <conditionalFormatting sqref="Z13:Z16">
    <cfRule type="containsText" dxfId="520" priority="286" operator="containsText" text=" ">
      <formula>NOT(ISERROR(SEARCH(" ",Z13)))</formula>
    </cfRule>
  </conditionalFormatting>
  <conditionalFormatting sqref="AJ8:AJ11">
    <cfRule type="containsText" dxfId="519" priority="294" operator="containsText" text=" ">
      <formula>NOT(ISERROR(SEARCH(" ",AJ8)))</formula>
    </cfRule>
  </conditionalFormatting>
  <conditionalFormatting sqref="AJ21:AJ24">
    <cfRule type="containsText" dxfId="518" priority="291" operator="containsText" text=" ">
      <formula>NOT(ISERROR(SEARCH(" ",AJ21)))</formula>
    </cfRule>
  </conditionalFormatting>
  <conditionalFormatting sqref="AL8:AL11">
    <cfRule type="containsText" dxfId="517" priority="295" operator="containsText" text=" ">
      <formula>NOT(ISERROR(SEARCH(" ",AL8)))</formula>
    </cfRule>
  </conditionalFormatting>
  <conditionalFormatting sqref="AL12:AL20">
    <cfRule type="containsText" dxfId="516" priority="293" operator="containsText" text=" ">
      <formula>NOT(ISERROR(SEARCH(" ",AL12)))</formula>
    </cfRule>
  </conditionalFormatting>
  <conditionalFormatting sqref="AL21:AL24">
    <cfRule type="containsText" dxfId="515" priority="292" operator="containsText" text=" ">
      <formula>NOT(ISERROR(SEARCH(" ",AL21)))</formula>
    </cfRule>
  </conditionalFormatting>
  <conditionalFormatting sqref="X17:Z18 U25:U26 U4:Z6 Y7:Z7 U7:V7 U8:W12 U13:U20 Y8:Y16 U1:U3 W3:Z3">
    <cfRule type="containsText" dxfId="514" priority="290" operator="containsText" text=" ">
      <formula>NOT(ISERROR(SEARCH(" ",U1)))</formula>
    </cfRule>
  </conditionalFormatting>
  <conditionalFormatting sqref="V1 AA1:AB1 W1:Z2 AB2">
    <cfRule type="containsText" dxfId="513" priority="121" operator="containsText" text=" ">
      <formula>NOT(ISERROR(SEARCH(" ",V1)))</formula>
    </cfRule>
  </conditionalFormatting>
  <conditionalFormatting sqref="AK8:AK11 AK21:AK24 AI21:AI24 AI12:AK20 AI8:AI11 AI4:AL7">
    <cfRule type="containsText" dxfId="512" priority="296" operator="containsText" text=" ">
      <formula>NOT(ISERROR(SEARCH(" ",AI4)))</formula>
    </cfRule>
  </conditionalFormatting>
  <conditionalFormatting sqref="AN5:XFD5 AF5:AH6 AE25:XFD1048576 AF12:AH24 AN12:XFD24 F44:N45 AM6 A44:E1048576 F55:N1048576 F46:J54">
    <cfRule type="containsText" dxfId="511" priority="306" operator="containsText" text=" ">
      <formula>NOT(ISERROR(SEARCH(" ",A5)))</formula>
    </cfRule>
  </conditionalFormatting>
  <conditionalFormatting sqref="I8 H8:H12 B29:B33 N12 N5:N6 M29:N33 G8:G11 I29:K33 N21:N28 H21:H28 I39:J43 M39:N43 B39:B43 D5:E12 D21:E33 D39:E43 G5:I7">
    <cfRule type="containsText" dxfId="510" priority="84" operator="containsText" text=" ">
      <formula>NOT(ISERROR(SEARCH(" ",B5)))</formula>
    </cfRule>
  </conditionalFormatting>
  <conditionalFormatting sqref="C5:C12 C21:C33 C39:C43">
    <cfRule type="containsText" dxfId="509" priority="80" operator="containsText" text=" ">
      <formula>NOT(ISERROR(SEARCH(" ",C5)))</formula>
    </cfRule>
  </conditionalFormatting>
  <conditionalFormatting sqref="D5:E12 D21:E33 D39:E43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2 F21:F33 F39:F43">
    <cfRule type="containsText" dxfId="508" priority="81" operator="containsText" text=" ">
      <formula>NOT(ISERROR(SEARCH(" ",F5)))</formula>
    </cfRule>
  </conditionalFormatting>
  <conditionalFormatting sqref="K5:M12 L29:L33">
    <cfRule type="containsText" dxfId="507" priority="79" operator="containsText" text=" ">
      <formula>NOT(ISERROR(SEARCH(" ",K5)))</formula>
    </cfRule>
  </conditionalFormatting>
  <conditionalFormatting sqref="P5:S10 P11:Q12 S11:S12">
    <cfRule type="containsText" dxfId="506" priority="78" operator="containsText" text=" ">
      <formula>NOT(ISERROR(SEARCH(" ",P5)))</formula>
    </cfRule>
  </conditionalFormatting>
  <conditionalFormatting sqref="AN6:XFD6 AM5 AM7:AM24">
    <cfRule type="containsText" dxfId="505" priority="305" operator="containsText" text=" ">
      <formula>NOT(ISERROR(SEARCH(" ",AM5)))</formula>
    </cfRule>
  </conditionalFormatting>
  <conditionalFormatting sqref="AF7:AH7 AN7:XFD7">
    <cfRule type="containsText" dxfId="504" priority="304" operator="containsText" text=" ">
      <formula>NOT(ISERROR(SEARCH(" ",AF7)))</formula>
    </cfRule>
  </conditionalFormatting>
  <conditionalFormatting sqref="AF8:AH8 AN8:XFD8">
    <cfRule type="containsText" dxfId="503" priority="303" operator="containsText" text=" ">
      <formula>NOT(ISERROR(SEARCH(" ",AF8)))</formula>
    </cfRule>
  </conditionalFormatting>
  <conditionalFormatting sqref="G12 H29:H33 I21:J28 G21:G33 G39:H43 I9:I12">
    <cfRule type="containsText" dxfId="502" priority="82" operator="containsText" text=" ">
      <formula>NOT(ISERROR(SEARCH(" ",G9)))</formula>
    </cfRule>
  </conditionalFormatting>
  <conditionalFormatting sqref="AF9:AH9 AN9:XFD9">
    <cfRule type="containsText" dxfId="501" priority="302" operator="containsText" text=" ">
      <formula>NOT(ISERROR(SEARCH(" ",AF9)))</formula>
    </cfRule>
  </conditionalFormatting>
  <conditionalFormatting sqref="AF10:AH10 AN10:XFD10">
    <cfRule type="containsText" dxfId="500" priority="301" operator="containsText" text=" ">
      <formula>NOT(ISERROR(SEARCH(" ",AF10)))</formula>
    </cfRule>
  </conditionalFormatting>
  <conditionalFormatting sqref="AF11:AH11 AN11:XFD11">
    <cfRule type="containsText" dxfId="499" priority="300" operator="containsText" text=" ">
      <formula>NOT(ISERROR(SEARCH(" ",AF11)))</formula>
    </cfRule>
  </conditionalFormatting>
  <conditionalFormatting sqref="D13:E2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J15 I16:J16 H16:H20 N20 N13:N14 G16:G19 D13:E20">
    <cfRule type="containsText" dxfId="498" priority="61" operator="containsText" text=" ">
      <formula>NOT(ISERROR(SEARCH(" ",D13)))</formula>
    </cfRule>
  </conditionalFormatting>
  <conditionalFormatting sqref="K13:M20">
    <cfRule type="containsText" dxfId="497" priority="56" operator="containsText" text=" ">
      <formula>NOT(ISERROR(SEARCH(" ",K13)))</formula>
    </cfRule>
  </conditionalFormatting>
  <conditionalFormatting sqref="O18:S18 P13:S17 P19:Q19 O20:Q20 S19:S20">
    <cfRule type="containsText" dxfId="496" priority="55" operator="containsText" text=" ">
      <formula>NOT(ISERROR(SEARCH(" ",O13)))</formula>
    </cfRule>
  </conditionalFormatting>
  <conditionalFormatting sqref="V19:Y19 U27:U43 U21:U24 V13:W16 U44:AD1048576 AB26:AD43 AA18:AA34 V20:Z34">
    <cfRule type="containsText" dxfId="495" priority="242" operator="containsText" text=" ">
      <formula>NOT(ISERROR(SEARCH(" ",U13)))</formula>
    </cfRule>
  </conditionalFormatting>
  <conditionalFormatting sqref="G20 I17:J20">
    <cfRule type="containsText" dxfId="494" priority="59" operator="containsText" text=" ">
      <formula>NOT(ISERROR(SEARCH(" ",G17)))</formula>
    </cfRule>
  </conditionalFormatting>
  <conditionalFormatting sqref="P21:Q22 S21:S33 P29:Q33">
    <cfRule type="containsText" dxfId="493" priority="75" operator="containsText" text=" ">
      <formula>NOT(ISERROR(SEARCH(" ",P21)))</formula>
    </cfRule>
  </conditionalFormatting>
  <conditionalFormatting sqref="P23:Q24">
    <cfRule type="containsText" dxfId="492" priority="64" operator="containsText" text=" ">
      <formula>NOT(ISERROR(SEARCH(" ",P23)))</formula>
    </cfRule>
  </conditionalFormatting>
  <conditionalFormatting sqref="P25:Q28">
    <cfRule type="containsText" dxfId="491" priority="66" operator="containsText" text=" ">
      <formula>NOT(ISERROR(SEARCH(" ",P25)))</formula>
    </cfRule>
  </conditionalFormatting>
  <conditionalFormatting sqref="R29:R30 R33">
    <cfRule type="containsText" dxfId="490" priority="74" operator="containsText" text=" ">
      <formula>NOT(ISERROR(SEARCH(" ",R29)))</formula>
    </cfRule>
  </conditionalFormatting>
  <conditionalFormatting sqref="M34:N38 I34:K38 B34:B38 D34:E38">
    <cfRule type="containsText" dxfId="489" priority="44" operator="containsText" text=" ">
      <formula>NOT(ISERROR(SEARCH(" ",B34)))</formula>
    </cfRule>
  </conditionalFormatting>
  <conditionalFormatting sqref="D34:E3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:H38">
    <cfRule type="containsText" dxfId="488" priority="43" operator="containsText" text=" ">
      <formula>NOT(ISERROR(SEARCH(" ",G34)))</formula>
    </cfRule>
  </conditionalFormatting>
  <conditionalFormatting sqref="S34:S38 P34:Q38">
    <cfRule type="containsText" dxfId="487" priority="39" operator="containsText" text=" ">
      <formula>NOT(ISERROR(SEARCH(" ",P34)))</formula>
    </cfRule>
  </conditionalFormatting>
  <conditionalFormatting sqref="R34:R35 R38">
    <cfRule type="containsText" dxfId="486" priority="38" operator="containsText" text=" ">
      <formula>NOT(ISERROR(SEARCH(" ",R34)))</formula>
    </cfRule>
  </conditionalFormatting>
  <conditionalFormatting sqref="P39:Q43 S39:S43">
    <cfRule type="containsText" dxfId="485" priority="72" operator="containsText" text=" ">
      <formula>NOT(ISERROR(SEARCH(" ",P39)))</formula>
    </cfRule>
  </conditionalFormatting>
  <conditionalFormatting sqref="R39:R40 R43">
    <cfRule type="containsText" dxfId="484" priority="18" operator="containsText" text=" ">
      <formula>NOT(ISERROR(SEARCH(" ",R39)))</formula>
    </cfRule>
  </conditionalFormatting>
  <conditionalFormatting sqref="O44:S45 O55:S55 P46:S54">
    <cfRule type="containsText" dxfId="483" priority="284" operator="containsText" text=" ">
      <formula>NOT(ISERROR(SEARCH(" ",O44)))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64"/>
  <sheetViews>
    <sheetView workbookViewId="0">
      <selection activeCell="J29" sqref="J29"/>
    </sheetView>
  </sheetViews>
  <sheetFormatPr defaultColWidth="9" defaultRowHeight="15.6" x14ac:dyDescent="0.25"/>
  <cols>
    <col min="1" max="1" width="9.88671875" style="1" customWidth="1"/>
    <col min="2" max="2" width="15.21875" style="1" customWidth="1"/>
    <col min="3" max="3" width="31.44140625" style="1" customWidth="1"/>
    <col min="4" max="4" width="15.109375" style="1" customWidth="1"/>
    <col min="5" max="6" width="28.6640625" style="1" customWidth="1"/>
    <col min="7" max="10" width="9" style="1"/>
    <col min="11" max="11" width="10.44140625" style="1" customWidth="1"/>
    <col min="12" max="14" width="9" style="1"/>
    <col min="15" max="15" width="9.77734375" style="1" customWidth="1"/>
    <col min="16" max="18" width="9" style="1"/>
    <col min="19" max="19" width="11.6640625" style="1" customWidth="1"/>
    <col min="20" max="16384" width="9" style="1"/>
  </cols>
  <sheetData>
    <row r="1" spans="1:23" x14ac:dyDescent="0.35">
      <c r="A1" s="2" t="s">
        <v>0</v>
      </c>
      <c r="B1" s="2" t="s">
        <v>0</v>
      </c>
      <c r="C1" s="30" t="s">
        <v>0</v>
      </c>
      <c r="D1" s="106" t="s">
        <v>0</v>
      </c>
      <c r="E1" s="106" t="s">
        <v>0</v>
      </c>
      <c r="F1" s="106" t="s">
        <v>2464</v>
      </c>
    </row>
    <row r="2" spans="1:23" x14ac:dyDescent="0.35">
      <c r="A2" s="2" t="s">
        <v>11</v>
      </c>
      <c r="B2" s="2" t="s">
        <v>11</v>
      </c>
      <c r="C2" s="30" t="s">
        <v>14</v>
      </c>
      <c r="D2" s="106" t="s">
        <v>14</v>
      </c>
      <c r="E2" s="106" t="s">
        <v>14</v>
      </c>
      <c r="F2" s="106" t="s">
        <v>14</v>
      </c>
      <c r="H2" s="65"/>
      <c r="K2" s="1" t="s">
        <v>2117</v>
      </c>
      <c r="P2" s="1" t="str">
        <f>RIGHT(D5,LEN(LEFT(D5,2)))</f>
        <v/>
      </c>
    </row>
    <row r="3" spans="1:23" x14ac:dyDescent="0.35">
      <c r="A3" s="2" t="s">
        <v>2118</v>
      </c>
      <c r="B3" s="2" t="s">
        <v>2119</v>
      </c>
      <c r="C3" s="30" t="s">
        <v>2120</v>
      </c>
      <c r="D3" s="106" t="s">
        <v>2121</v>
      </c>
      <c r="E3" s="106" t="s">
        <v>2122</v>
      </c>
      <c r="F3" s="106" t="s">
        <v>2583</v>
      </c>
      <c r="H3" s="69"/>
    </row>
    <row r="4" spans="1:23" s="69" customFormat="1" ht="92.4" x14ac:dyDescent="0.35">
      <c r="A4" s="60" t="s">
        <v>2123</v>
      </c>
      <c r="B4" s="60" t="s">
        <v>2124</v>
      </c>
      <c r="C4" s="4" t="s">
        <v>2014</v>
      </c>
      <c r="D4" s="107" t="s">
        <v>2125</v>
      </c>
      <c r="E4" s="107" t="s">
        <v>2126</v>
      </c>
      <c r="F4" s="106" t="s">
        <v>2584</v>
      </c>
      <c r="H4" s="108" t="s">
        <v>2127</v>
      </c>
      <c r="J4" s="69" t="s">
        <v>2128</v>
      </c>
      <c r="K4" s="36" t="s">
        <v>1949</v>
      </c>
      <c r="L4" s="37" t="s">
        <v>1396</v>
      </c>
      <c r="M4" s="37" t="s">
        <v>1397</v>
      </c>
      <c r="N4" s="38" t="s">
        <v>114</v>
      </c>
      <c r="O4" s="116" t="s">
        <v>2129</v>
      </c>
      <c r="P4" s="110" t="s">
        <v>1958</v>
      </c>
      <c r="Q4" s="69">
        <f>10+20+30+40+50</f>
        <v>150</v>
      </c>
      <c r="S4" s="22">
        <f>'抽奖|MoonBless'!DN4</f>
        <v>0</v>
      </c>
      <c r="T4" s="111" t="str">
        <f>'抽奖|MoonBless'!DO4</f>
        <v>人民币价值</v>
      </c>
      <c r="U4" s="112" t="str">
        <f>'抽奖|MoonBless'!DP4</f>
        <v>价值
钻石价值</v>
      </c>
      <c r="V4" s="111" t="str">
        <f>'抽奖|MoonBless'!DQ4</f>
        <v>物品类型</v>
      </c>
      <c r="W4" s="113" t="str">
        <f>'抽奖|MoonBless'!DR4</f>
        <v>id</v>
      </c>
    </row>
    <row r="5" spans="1:23" x14ac:dyDescent="0.25">
      <c r="A5" s="1">
        <v>1</v>
      </c>
      <c r="B5" s="1">
        <v>1</v>
      </c>
      <c r="C5" s="1" t="str">
        <f t="shared" ref="C5:C18" si="0">L5&amp;"|"&amp;M5&amp;"|"&amp;N5</f>
        <v>1|2|20000</v>
      </c>
      <c r="E5" s="1" t="s">
        <v>2130</v>
      </c>
      <c r="F5" s="6" t="s">
        <v>2585</v>
      </c>
      <c r="H5" s="1">
        <f>IF(G5&gt;0,1,0)</f>
        <v>0</v>
      </c>
      <c r="J5" s="1">
        <v>1</v>
      </c>
      <c r="K5" s="40" t="s">
        <v>177</v>
      </c>
      <c r="L5" s="11">
        <f t="shared" ref="L5:L18" si="1">VLOOKUP(K5,S:W,4,0)</f>
        <v>1</v>
      </c>
      <c r="M5" s="11">
        <f t="shared" ref="M5:M18" si="2">VLOOKUP(K5,S:W,5,0)</f>
        <v>2</v>
      </c>
      <c r="N5" s="41">
        <v>20000</v>
      </c>
      <c r="O5" s="117">
        <f>N5*J5</f>
        <v>20000</v>
      </c>
      <c r="P5" s="19">
        <f t="shared" ref="P5:P18" si="3">VLOOKUP(K5,S:W,2,0)*N5</f>
        <v>0.1</v>
      </c>
      <c r="Q5" s="1" t="s">
        <v>2131</v>
      </c>
      <c r="R5" s="1">
        <f>SUMIF($K$5:$K$34,"金币",$N$5:$N$34)</f>
        <v>1440000</v>
      </c>
      <c r="S5" s="10" t="str">
        <f>'抽奖|MoonBless'!DN5</f>
        <v>人民币</v>
      </c>
      <c r="T5" s="11">
        <f>'抽奖|MoonBless'!DO5</f>
        <v>1</v>
      </c>
      <c r="U5" s="11">
        <f>'抽奖|MoonBless'!DP5</f>
        <v>20</v>
      </c>
      <c r="V5" s="11">
        <f>'抽奖|MoonBless'!DQ5</f>
        <v>1</v>
      </c>
      <c r="W5" s="19">
        <f>'抽奖|MoonBless'!DR5</f>
        <v>0</v>
      </c>
    </row>
    <row r="6" spans="1:23" x14ac:dyDescent="0.25">
      <c r="A6" s="1">
        <v>2</v>
      </c>
      <c r="B6" s="1">
        <v>1</v>
      </c>
      <c r="C6" s="1" t="str">
        <f t="shared" si="0"/>
        <v>1|2|50000</v>
      </c>
      <c r="D6" s="1" t="s">
        <v>2132</v>
      </c>
      <c r="E6" s="1" t="s">
        <v>2130</v>
      </c>
      <c r="F6" s="6" t="s">
        <v>2585</v>
      </c>
      <c r="H6" s="1">
        <v>0</v>
      </c>
      <c r="J6" s="1">
        <f t="shared" ref="J6:J11" si="4">(LEFT(D6,1)+RIGHT(D6,LEN(D6)-LEN(LEFT(D6,2))))/2</f>
        <v>6</v>
      </c>
      <c r="K6" s="40" t="s">
        <v>177</v>
      </c>
      <c r="L6" s="11">
        <f t="shared" si="1"/>
        <v>1</v>
      </c>
      <c r="M6" s="11">
        <f t="shared" si="2"/>
        <v>2</v>
      </c>
      <c r="N6" s="41">
        <v>50000</v>
      </c>
      <c r="O6" s="117">
        <f t="shared" ref="O6:O11" si="5">N6*J6</f>
        <v>300000</v>
      </c>
      <c r="P6" s="19">
        <f t="shared" si="3"/>
        <v>0.25</v>
      </c>
      <c r="Q6" s="1" t="s">
        <v>2133</v>
      </c>
      <c r="R6" s="1">
        <f>SUMIF($K$5:$K$34,"钻石",$N$5:$N$34)</f>
        <v>0</v>
      </c>
      <c r="S6" s="10" t="str">
        <f>'抽奖|MoonBless'!DN6</f>
        <v>钻石</v>
      </c>
      <c r="T6" s="11">
        <f>'抽奖|MoonBless'!DO6</f>
        <v>0.1</v>
      </c>
      <c r="U6" s="11">
        <f>'抽奖|MoonBless'!DP6</f>
        <v>2</v>
      </c>
      <c r="V6" s="11">
        <f>'抽奖|MoonBless'!DQ6</f>
        <v>1</v>
      </c>
      <c r="W6" s="19">
        <f>'抽奖|MoonBless'!DR6</f>
        <v>1</v>
      </c>
    </row>
    <row r="7" spans="1:23" x14ac:dyDescent="0.25">
      <c r="A7" s="1">
        <v>3</v>
      </c>
      <c r="B7" s="1">
        <v>1</v>
      </c>
      <c r="C7" s="1" t="str">
        <f t="shared" si="0"/>
        <v>1|2|80000</v>
      </c>
      <c r="D7" s="1" t="s">
        <v>2134</v>
      </c>
      <c r="E7" s="1" t="s">
        <v>2130</v>
      </c>
      <c r="F7" s="6" t="s">
        <v>2586</v>
      </c>
      <c r="H7" s="1">
        <v>1</v>
      </c>
      <c r="J7" s="1">
        <f t="shared" si="4"/>
        <v>5</v>
      </c>
      <c r="K7" s="40" t="s">
        <v>177</v>
      </c>
      <c r="L7" s="11">
        <f t="shared" si="1"/>
        <v>1</v>
      </c>
      <c r="M7" s="11">
        <f t="shared" si="2"/>
        <v>2</v>
      </c>
      <c r="N7" s="41">
        <v>80000</v>
      </c>
      <c r="O7" s="117">
        <f t="shared" si="5"/>
        <v>400000</v>
      </c>
      <c r="P7" s="19">
        <f t="shared" si="3"/>
        <v>0.4</v>
      </c>
      <c r="Q7" s="1" t="s">
        <v>2135</v>
      </c>
      <c r="R7" s="1">
        <f>SUMIF($K$5:$K$34,"锁定",$N$5:$N$34)</f>
        <v>0</v>
      </c>
      <c r="S7" s="10" t="str">
        <f>'抽奖|MoonBless'!DN7</f>
        <v>金币</v>
      </c>
      <c r="T7" s="11">
        <f>'抽奖|MoonBless'!DO7</f>
        <v>5.0000000000000004E-6</v>
      </c>
      <c r="U7" s="11">
        <f>'抽奖|MoonBless'!DP7</f>
        <v>1E-4</v>
      </c>
      <c r="V7" s="11">
        <f>'抽奖|MoonBless'!DQ7</f>
        <v>1</v>
      </c>
      <c r="W7" s="19">
        <f>'抽奖|MoonBless'!DR7</f>
        <v>2</v>
      </c>
    </row>
    <row r="8" spans="1:23" x14ac:dyDescent="0.25">
      <c r="A8" s="1">
        <v>4</v>
      </c>
      <c r="B8" s="1">
        <v>1</v>
      </c>
      <c r="C8" s="1" t="str">
        <f t="shared" si="0"/>
        <v>1|2|100000</v>
      </c>
      <c r="D8" s="1" t="s">
        <v>2136</v>
      </c>
      <c r="E8" s="1" t="s">
        <v>2130</v>
      </c>
      <c r="F8" s="6" t="s">
        <v>2586</v>
      </c>
      <c r="H8" s="1">
        <v>0</v>
      </c>
      <c r="J8" s="1">
        <f t="shared" si="4"/>
        <v>4.5</v>
      </c>
      <c r="K8" s="40" t="s">
        <v>177</v>
      </c>
      <c r="L8" s="11">
        <f t="shared" si="1"/>
        <v>1</v>
      </c>
      <c r="M8" s="11">
        <f t="shared" si="2"/>
        <v>2</v>
      </c>
      <c r="N8" s="41">
        <v>100000</v>
      </c>
      <c r="O8" s="117">
        <f t="shared" si="5"/>
        <v>450000</v>
      </c>
      <c r="P8" s="19">
        <f t="shared" si="3"/>
        <v>0.5</v>
      </c>
      <c r="Q8" s="1" t="s">
        <v>2137</v>
      </c>
      <c r="R8" s="1">
        <f>SUMIF($K$5:$K$34,"狂暴",$N$5:$N$34)</f>
        <v>0</v>
      </c>
      <c r="S8" s="10" t="str">
        <f>'抽奖|MoonBless'!DN8</f>
        <v>锁定</v>
      </c>
      <c r="T8" s="11">
        <f>'抽奖|MoonBless'!DO8</f>
        <v>0.1</v>
      </c>
      <c r="U8" s="11">
        <f>'抽奖|MoonBless'!DP8</f>
        <v>2</v>
      </c>
      <c r="V8" s="11">
        <f>'抽奖|MoonBless'!DQ8</f>
        <v>2</v>
      </c>
      <c r="W8" s="19">
        <f>'抽奖|MoonBless'!DR8</f>
        <v>1001</v>
      </c>
    </row>
    <row r="9" spans="1:23" x14ac:dyDescent="0.25">
      <c r="A9" s="1">
        <v>5</v>
      </c>
      <c r="B9" s="1">
        <v>1</v>
      </c>
      <c r="C9" s="1" t="str">
        <f t="shared" si="0"/>
        <v>1|2|120000</v>
      </c>
      <c r="D9" s="1" t="s">
        <v>2138</v>
      </c>
      <c r="E9" s="1" t="s">
        <v>2130</v>
      </c>
      <c r="F9" s="6" t="s">
        <v>2586</v>
      </c>
      <c r="H9" s="1">
        <v>0</v>
      </c>
      <c r="J9" s="1">
        <f t="shared" si="4"/>
        <v>4</v>
      </c>
      <c r="K9" s="40" t="s">
        <v>177</v>
      </c>
      <c r="L9" s="11">
        <f t="shared" si="1"/>
        <v>1</v>
      </c>
      <c r="M9" s="11">
        <f t="shared" si="2"/>
        <v>2</v>
      </c>
      <c r="N9" s="41">
        <v>120000</v>
      </c>
      <c r="O9" s="117">
        <f t="shared" si="5"/>
        <v>480000</v>
      </c>
      <c r="P9" s="19">
        <f t="shared" si="3"/>
        <v>0.60000000000000009</v>
      </c>
      <c r="S9" s="10" t="str">
        <f>'抽奖|MoonBless'!DN9</f>
        <v>冰冻</v>
      </c>
      <c r="T9" s="11">
        <f>'抽奖|MoonBless'!DO9</f>
        <v>0.25</v>
      </c>
      <c r="U9" s="11">
        <f>'抽奖|MoonBless'!DP9</f>
        <v>5</v>
      </c>
      <c r="V9" s="11">
        <f>'抽奖|MoonBless'!DQ9</f>
        <v>2</v>
      </c>
      <c r="W9" s="19">
        <f>'抽奖|MoonBless'!DR9</f>
        <v>1002</v>
      </c>
    </row>
    <row r="10" spans="1:23" ht="16.2" x14ac:dyDescent="0.25">
      <c r="A10" s="109">
        <v>6</v>
      </c>
      <c r="B10" s="1">
        <v>1</v>
      </c>
      <c r="C10" s="1" t="str">
        <f t="shared" si="0"/>
        <v>1|2|150000</v>
      </c>
      <c r="D10" s="1" t="s">
        <v>2138</v>
      </c>
      <c r="E10" s="1" t="s">
        <v>2130</v>
      </c>
      <c r="F10" s="6" t="s">
        <v>2586</v>
      </c>
      <c r="H10" s="1">
        <v>0</v>
      </c>
      <c r="J10" s="1">
        <f t="shared" si="4"/>
        <v>4</v>
      </c>
      <c r="K10" s="40" t="s">
        <v>177</v>
      </c>
      <c r="L10" s="11">
        <f t="shared" si="1"/>
        <v>1</v>
      </c>
      <c r="M10" s="11">
        <f t="shared" si="2"/>
        <v>2</v>
      </c>
      <c r="N10" s="41">
        <v>150000</v>
      </c>
      <c r="O10" s="117">
        <f t="shared" si="5"/>
        <v>600000</v>
      </c>
      <c r="P10" s="19">
        <f t="shared" si="3"/>
        <v>0.75000000000000011</v>
      </c>
      <c r="S10" s="10" t="str">
        <f>'抽奖|MoonBless'!DN10</f>
        <v>狂暴</v>
      </c>
      <c r="T10" s="11">
        <f>'抽奖|MoonBless'!DO10</f>
        <v>0.5</v>
      </c>
      <c r="U10" s="11">
        <f>'抽奖|MoonBless'!DP10</f>
        <v>10</v>
      </c>
      <c r="V10" s="11">
        <f>'抽奖|MoonBless'!DQ10</f>
        <v>2</v>
      </c>
      <c r="W10" s="19">
        <f>'抽奖|MoonBless'!DR10</f>
        <v>1003</v>
      </c>
    </row>
    <row r="11" spans="1:23" x14ac:dyDescent="0.25">
      <c r="A11" s="1">
        <v>7</v>
      </c>
      <c r="B11" s="1">
        <v>1</v>
      </c>
      <c r="C11" s="1" t="str">
        <f t="shared" si="0"/>
        <v>1|2|200000</v>
      </c>
      <c r="D11" s="1" t="s">
        <v>1160</v>
      </c>
      <c r="E11" s="1" t="s">
        <v>2130</v>
      </c>
      <c r="F11" s="6" t="s">
        <v>2586</v>
      </c>
      <c r="H11" s="1">
        <v>1</v>
      </c>
      <c r="J11" s="1">
        <f t="shared" si="4"/>
        <v>3.5</v>
      </c>
      <c r="K11" s="40" t="s">
        <v>177</v>
      </c>
      <c r="L11" s="11">
        <f t="shared" si="1"/>
        <v>1</v>
      </c>
      <c r="M11" s="11">
        <f t="shared" si="2"/>
        <v>2</v>
      </c>
      <c r="N11" s="41">
        <v>200000</v>
      </c>
      <c r="O11" s="117">
        <f t="shared" si="5"/>
        <v>700000</v>
      </c>
      <c r="P11" s="19">
        <f t="shared" si="3"/>
        <v>1</v>
      </c>
      <c r="S11" s="10" t="str">
        <f>'抽奖|MoonBless'!DN11</f>
        <v>召唤</v>
      </c>
      <c r="T11" s="11">
        <f>'抽奖|MoonBless'!DO11</f>
        <v>0.1</v>
      </c>
      <c r="U11" s="11">
        <f>'抽奖|MoonBless'!DP11</f>
        <v>2</v>
      </c>
      <c r="V11" s="11">
        <f>'抽奖|MoonBless'!DQ11</f>
        <v>2</v>
      </c>
      <c r="W11" s="19">
        <f>'抽奖|MoonBless'!DR11</f>
        <v>1004</v>
      </c>
    </row>
    <row r="12" spans="1:23" x14ac:dyDescent="0.25">
      <c r="A12" s="1">
        <v>8</v>
      </c>
      <c r="B12" s="1">
        <v>2</v>
      </c>
      <c r="C12" s="1" t="str">
        <f t="shared" si="0"/>
        <v>1|2|20000</v>
      </c>
      <c r="E12" s="1" t="s">
        <v>2130</v>
      </c>
      <c r="H12" s="1">
        <v>0</v>
      </c>
      <c r="K12" s="40" t="s">
        <v>177</v>
      </c>
      <c r="L12" s="11">
        <f t="shared" si="1"/>
        <v>1</v>
      </c>
      <c r="M12" s="11">
        <f t="shared" si="2"/>
        <v>2</v>
      </c>
      <c r="N12" s="41">
        <f>N5</f>
        <v>20000</v>
      </c>
      <c r="O12" s="117"/>
      <c r="P12" s="19">
        <f t="shared" si="3"/>
        <v>0.1</v>
      </c>
      <c r="S12" s="10" t="str">
        <f>'抽奖|MoonBless'!DN12</f>
        <v>福卡</v>
      </c>
      <c r="T12" s="11">
        <f>'抽奖|MoonBless'!DO12</f>
        <v>7.5000000000000002E-4</v>
      </c>
      <c r="U12" s="11">
        <f>'抽奖|MoonBless'!DP12</f>
        <v>1.5000000000000001E-2</v>
      </c>
      <c r="V12" s="11">
        <f>'抽奖|MoonBless'!DQ12</f>
        <v>2</v>
      </c>
      <c r="W12" s="19">
        <f>'抽奖|MoonBless'!DR12</f>
        <v>1204</v>
      </c>
    </row>
    <row r="13" spans="1:23" x14ac:dyDescent="0.25">
      <c r="A13" s="1">
        <v>9</v>
      </c>
      <c r="B13" s="1">
        <v>2</v>
      </c>
      <c r="C13" s="1" t="str">
        <f t="shared" si="0"/>
        <v>1|2|50000</v>
      </c>
      <c r="E13" s="1" t="s">
        <v>2130</v>
      </c>
      <c r="H13" s="1">
        <v>0</v>
      </c>
      <c r="K13" s="40" t="s">
        <v>177</v>
      </c>
      <c r="L13" s="11">
        <f t="shared" si="1"/>
        <v>1</v>
      </c>
      <c r="M13" s="11">
        <f t="shared" si="2"/>
        <v>2</v>
      </c>
      <c r="N13" s="41">
        <f t="shared" ref="N13:N18" si="6">N6</f>
        <v>50000</v>
      </c>
      <c r="O13" s="117"/>
      <c r="P13" s="19">
        <f t="shared" si="3"/>
        <v>0.25</v>
      </c>
      <c r="S13" s="10" t="str">
        <f>'抽奖|MoonBless'!DN13</f>
        <v>超级武器1</v>
      </c>
      <c r="T13" s="11">
        <f>'抽奖|MoonBless'!DO13</f>
        <v>5</v>
      </c>
      <c r="U13" s="11">
        <f>'抽奖|MoonBless'!DP13</f>
        <v>100</v>
      </c>
      <c r="V13" s="11">
        <f>'抽奖|MoonBless'!DQ13</f>
        <v>2</v>
      </c>
      <c r="W13" s="19">
        <f>'抽奖|MoonBless'!DR13</f>
        <v>1005</v>
      </c>
    </row>
    <row r="14" spans="1:23" x14ac:dyDescent="0.25">
      <c r="A14" s="1">
        <v>10</v>
      </c>
      <c r="B14" s="1">
        <v>2</v>
      </c>
      <c r="C14" s="1" t="str">
        <f t="shared" si="0"/>
        <v>1|2|80000</v>
      </c>
      <c r="E14" s="1" t="s">
        <v>2130</v>
      </c>
      <c r="H14" s="1">
        <v>0</v>
      </c>
      <c r="K14" s="40" t="s">
        <v>177</v>
      </c>
      <c r="L14" s="11">
        <f t="shared" si="1"/>
        <v>1</v>
      </c>
      <c r="M14" s="11">
        <f t="shared" si="2"/>
        <v>2</v>
      </c>
      <c r="N14" s="41">
        <f t="shared" si="6"/>
        <v>80000</v>
      </c>
      <c r="O14" s="117"/>
      <c r="P14" s="19">
        <f t="shared" si="3"/>
        <v>0.4</v>
      </c>
      <c r="S14" s="10" t="str">
        <f>'抽奖|MoonBless'!DN14</f>
        <v>超级武器2</v>
      </c>
      <c r="T14" s="11">
        <f>'抽奖|MoonBless'!DO14</f>
        <v>10</v>
      </c>
      <c r="U14" s="11">
        <f>'抽奖|MoonBless'!DP14</f>
        <v>200</v>
      </c>
      <c r="V14" s="11">
        <f>'抽奖|MoonBless'!DQ14</f>
        <v>2</v>
      </c>
      <c r="W14" s="19">
        <f>'抽奖|MoonBless'!DR14</f>
        <v>1006</v>
      </c>
    </row>
    <row r="15" spans="1:23" x14ac:dyDescent="0.25">
      <c r="A15" s="1">
        <v>11</v>
      </c>
      <c r="B15" s="1">
        <v>2</v>
      </c>
      <c r="C15" s="1" t="str">
        <f t="shared" si="0"/>
        <v>1|2|100000</v>
      </c>
      <c r="E15" s="1" t="s">
        <v>2130</v>
      </c>
      <c r="H15" s="1">
        <v>1</v>
      </c>
      <c r="K15" s="40" t="s">
        <v>177</v>
      </c>
      <c r="L15" s="11">
        <f t="shared" si="1"/>
        <v>1</v>
      </c>
      <c r="M15" s="11">
        <f t="shared" si="2"/>
        <v>2</v>
      </c>
      <c r="N15" s="41">
        <f t="shared" si="6"/>
        <v>100000</v>
      </c>
      <c r="O15" s="117"/>
      <c r="P15" s="19">
        <f t="shared" si="3"/>
        <v>0.5</v>
      </c>
      <c r="S15" s="10" t="str">
        <f>'抽奖|MoonBless'!DN15</f>
        <v>超级武器3</v>
      </c>
      <c r="T15" s="11">
        <f>'抽奖|MoonBless'!DO15</f>
        <v>25</v>
      </c>
      <c r="U15" s="11">
        <f>'抽奖|MoonBless'!DP15</f>
        <v>500</v>
      </c>
      <c r="V15" s="11">
        <f>'抽奖|MoonBless'!DQ15</f>
        <v>2</v>
      </c>
      <c r="W15" s="19">
        <f>'抽奖|MoonBless'!DR15</f>
        <v>1007</v>
      </c>
    </row>
    <row r="16" spans="1:23" ht="16.2" x14ac:dyDescent="0.25">
      <c r="A16" s="109">
        <v>12</v>
      </c>
      <c r="B16" s="1">
        <v>2</v>
      </c>
      <c r="C16" s="1" t="str">
        <f t="shared" si="0"/>
        <v>1|2|120000</v>
      </c>
      <c r="E16" s="1" t="s">
        <v>2130</v>
      </c>
      <c r="H16" s="1">
        <v>0</v>
      </c>
      <c r="K16" s="40" t="s">
        <v>177</v>
      </c>
      <c r="L16" s="11">
        <f t="shared" si="1"/>
        <v>1</v>
      </c>
      <c r="M16" s="11">
        <f t="shared" si="2"/>
        <v>2</v>
      </c>
      <c r="N16" s="41">
        <f t="shared" si="6"/>
        <v>120000</v>
      </c>
      <c r="O16" s="117"/>
      <c r="P16" s="19">
        <f t="shared" si="3"/>
        <v>0.60000000000000009</v>
      </c>
      <c r="S16" s="10" t="str">
        <f>'抽奖|MoonBless'!DN16</f>
        <v>超级武器4</v>
      </c>
      <c r="T16" s="11">
        <f>'抽奖|MoonBless'!DO16</f>
        <v>50</v>
      </c>
      <c r="U16" s="11">
        <f>'抽奖|MoonBless'!DP16</f>
        <v>1000</v>
      </c>
      <c r="V16" s="11">
        <f>'抽奖|MoonBless'!DQ16</f>
        <v>2</v>
      </c>
      <c r="W16" s="19">
        <f>'抽奖|MoonBless'!DR16</f>
        <v>1008</v>
      </c>
    </row>
    <row r="17" spans="1:23" x14ac:dyDescent="0.25">
      <c r="A17" s="1">
        <v>13</v>
      </c>
      <c r="B17" s="1">
        <v>2</v>
      </c>
      <c r="C17" s="1" t="str">
        <f t="shared" si="0"/>
        <v>1|2|150000</v>
      </c>
      <c r="E17" s="1" t="s">
        <v>2130</v>
      </c>
      <c r="H17" s="1">
        <v>0</v>
      </c>
      <c r="K17" s="40" t="s">
        <v>177</v>
      </c>
      <c r="L17" s="11">
        <f t="shared" si="1"/>
        <v>1</v>
      </c>
      <c r="M17" s="11">
        <f t="shared" si="2"/>
        <v>2</v>
      </c>
      <c r="N17" s="41">
        <f t="shared" si="6"/>
        <v>150000</v>
      </c>
      <c r="O17" s="117"/>
      <c r="P17" s="19">
        <f t="shared" si="3"/>
        <v>0.75000000000000011</v>
      </c>
      <c r="S17" s="10" t="str">
        <f>'抽奖|MoonBless'!DN17</f>
        <v>5元话费卡</v>
      </c>
      <c r="T17" s="11">
        <f>'抽奖|MoonBless'!DO17</f>
        <v>5</v>
      </c>
      <c r="U17" s="11">
        <f>'抽奖|MoonBless'!DP17</f>
        <v>100</v>
      </c>
      <c r="V17" s="11">
        <f>'抽奖|MoonBless'!DQ17</f>
        <v>2</v>
      </c>
      <c r="W17" s="19">
        <f>'抽奖|MoonBless'!DR17</f>
        <v>1206</v>
      </c>
    </row>
    <row r="18" spans="1:23" x14ac:dyDescent="0.25">
      <c r="A18" s="1">
        <v>14</v>
      </c>
      <c r="B18" s="1">
        <v>2</v>
      </c>
      <c r="C18" s="1" t="str">
        <f t="shared" si="0"/>
        <v>1|2|200000</v>
      </c>
      <c r="E18" s="1" t="s">
        <v>2130</v>
      </c>
      <c r="H18" s="1">
        <v>0</v>
      </c>
      <c r="K18" s="40" t="s">
        <v>177</v>
      </c>
      <c r="L18" s="11">
        <f t="shared" si="1"/>
        <v>1</v>
      </c>
      <c r="M18" s="11">
        <f t="shared" si="2"/>
        <v>2</v>
      </c>
      <c r="N18" s="41">
        <f t="shared" si="6"/>
        <v>200000</v>
      </c>
      <c r="O18" s="117"/>
      <c r="P18" s="19">
        <f t="shared" si="3"/>
        <v>1</v>
      </c>
      <c r="S18" s="10" t="str">
        <f>'抽奖|MoonBless'!DN18</f>
        <v>2元话费卡</v>
      </c>
      <c r="T18" s="11">
        <f>'抽奖|MoonBless'!DO18</f>
        <v>2</v>
      </c>
      <c r="U18" s="11">
        <f>'抽奖|MoonBless'!DP18</f>
        <v>40</v>
      </c>
      <c r="V18" s="11">
        <f>'抽奖|MoonBless'!DQ18</f>
        <v>2</v>
      </c>
      <c r="W18" s="19">
        <f>'抽奖|MoonBless'!DR18</f>
        <v>1205</v>
      </c>
    </row>
    <row r="19" spans="1:23" ht="16.2" x14ac:dyDescent="0.25">
      <c r="K19" s="43"/>
      <c r="L19" s="11"/>
      <c r="M19" s="11"/>
      <c r="N19" s="41"/>
      <c r="O19" s="117"/>
      <c r="P19" s="19"/>
      <c r="S19" s="13" t="str">
        <f>'抽奖|MoonBless'!DN19</f>
        <v>高压锅</v>
      </c>
      <c r="T19" s="14">
        <f>'抽奖|MoonBless'!DO19</f>
        <v>200</v>
      </c>
      <c r="U19" s="14">
        <f>'抽奖|MoonBless'!DP19</f>
        <v>4000</v>
      </c>
      <c r="V19" s="14">
        <f>'抽奖|MoonBless'!DQ19</f>
        <v>2</v>
      </c>
      <c r="W19" s="21">
        <f>'抽奖|MoonBless'!DR19</f>
        <v>1208</v>
      </c>
    </row>
    <row r="20" spans="1:23" x14ac:dyDescent="0.25">
      <c r="K20" s="40"/>
      <c r="L20" s="11"/>
      <c r="M20" s="11"/>
      <c r="N20" s="41"/>
      <c r="O20" s="117"/>
      <c r="P20" s="19"/>
      <c r="S20" s="1" t="str">
        <f>'抽奖|MoonBless'!DN20</f>
        <v>30元话费卡</v>
      </c>
      <c r="T20" s="1">
        <f>'抽奖|MoonBless'!DO20</f>
        <v>30</v>
      </c>
      <c r="U20" s="1">
        <f>'抽奖|MoonBless'!DP20</f>
        <v>600</v>
      </c>
      <c r="V20" s="1">
        <f>'抽奖|MoonBless'!DQ20</f>
        <v>2</v>
      </c>
      <c r="W20" s="1">
        <f>'抽奖|MoonBless'!DR20</f>
        <v>1209</v>
      </c>
    </row>
    <row r="21" spans="1:23" x14ac:dyDescent="0.25">
      <c r="K21" s="40"/>
      <c r="L21" s="11"/>
      <c r="M21" s="11"/>
      <c r="N21" s="41"/>
      <c r="O21" s="117"/>
      <c r="P21" s="19"/>
      <c r="S21" s="1" t="str">
        <f>'抽奖|MoonBless'!DN21</f>
        <v>50元话费卡</v>
      </c>
      <c r="T21" s="1">
        <f>'抽奖|MoonBless'!DO21</f>
        <v>50</v>
      </c>
      <c r="U21" s="1">
        <f>'抽奖|MoonBless'!DP21</f>
        <v>1000</v>
      </c>
      <c r="V21" s="1">
        <f>'抽奖|MoonBless'!DQ21</f>
        <v>2</v>
      </c>
      <c r="W21" s="1">
        <f>'抽奖|MoonBless'!DR21</f>
        <v>1210</v>
      </c>
    </row>
    <row r="22" spans="1:23" ht="16.2" x14ac:dyDescent="0.25">
      <c r="A22" s="109"/>
      <c r="K22" s="43"/>
      <c r="L22" s="11"/>
      <c r="M22" s="11"/>
      <c r="N22" s="41"/>
      <c r="O22" s="117"/>
      <c r="P22" s="19"/>
      <c r="S22" s="1" t="str">
        <f>'抽奖|MoonBless'!DN22</f>
        <v>活跃度</v>
      </c>
      <c r="T22" s="1">
        <f>'抽奖|MoonBless'!DO22</f>
        <v>1</v>
      </c>
      <c r="U22" s="1">
        <f>'抽奖|MoonBless'!DP22</f>
        <v>20</v>
      </c>
      <c r="V22" s="1">
        <f>'抽奖|MoonBless'!DQ22</f>
        <v>1</v>
      </c>
      <c r="W22" s="1">
        <f>'抽奖|MoonBless'!DR22</f>
        <v>6</v>
      </c>
    </row>
    <row r="23" spans="1:23" x14ac:dyDescent="0.25">
      <c r="K23" s="40"/>
      <c r="L23" s="11"/>
      <c r="M23" s="11"/>
      <c r="N23" s="41"/>
      <c r="O23" s="117"/>
      <c r="P23" s="19"/>
      <c r="S23" s="1" t="str">
        <f>'抽奖|MoonBless'!DN23</f>
        <v>红包【恭】</v>
      </c>
      <c r="T23" s="1">
        <f>'抽奖|MoonBless'!DO23</f>
        <v>1</v>
      </c>
      <c r="U23" s="1">
        <f>'抽奖|MoonBless'!DP23</f>
        <v>20</v>
      </c>
      <c r="V23" s="1">
        <f>'抽奖|MoonBless'!DQ23</f>
        <v>2</v>
      </c>
      <c r="W23" s="1">
        <f>'抽奖|MoonBless'!DR23</f>
        <v>1301</v>
      </c>
    </row>
    <row r="24" spans="1:23" x14ac:dyDescent="0.25">
      <c r="K24" s="40"/>
      <c r="L24" s="11"/>
      <c r="M24" s="11"/>
      <c r="N24" s="41"/>
      <c r="O24" s="117"/>
      <c r="P24" s="19"/>
      <c r="S24" s="1" t="str">
        <f>'抽奖|MoonBless'!DN24</f>
        <v>红包【喜】</v>
      </c>
      <c r="T24" s="1">
        <f>'抽奖|MoonBless'!DO24</f>
        <v>1</v>
      </c>
      <c r="U24" s="1">
        <f>'抽奖|MoonBless'!DP24</f>
        <v>20</v>
      </c>
      <c r="V24" s="1">
        <f>'抽奖|MoonBless'!DQ24</f>
        <v>2</v>
      </c>
      <c r="W24" s="1">
        <f>'抽奖|MoonBless'!DR24</f>
        <v>1302</v>
      </c>
    </row>
    <row r="25" spans="1:23" ht="16.2" x14ac:dyDescent="0.25">
      <c r="K25" s="43"/>
      <c r="L25" s="11"/>
      <c r="M25" s="11"/>
      <c r="N25" s="41"/>
      <c r="O25" s="117"/>
      <c r="P25" s="19"/>
      <c r="S25" s="1" t="str">
        <f>'抽奖|MoonBless'!DN25</f>
        <v>红包【发】</v>
      </c>
      <c r="T25" s="1">
        <f>'抽奖|MoonBless'!DO25</f>
        <v>1</v>
      </c>
      <c r="U25" s="1">
        <f>'抽奖|MoonBless'!DP25</f>
        <v>20</v>
      </c>
      <c r="V25" s="1">
        <f>'抽奖|MoonBless'!DQ25</f>
        <v>2</v>
      </c>
      <c r="W25" s="1">
        <f>'抽奖|MoonBless'!DR25</f>
        <v>1303</v>
      </c>
    </row>
    <row r="26" spans="1:23" x14ac:dyDescent="0.25">
      <c r="K26" s="40"/>
      <c r="L26" s="11"/>
      <c r="M26" s="11"/>
      <c r="N26" s="41"/>
      <c r="O26" s="117"/>
      <c r="P26" s="19"/>
      <c r="S26" s="1" t="str">
        <f>'抽奖|MoonBless'!DN26</f>
        <v>红包【财】</v>
      </c>
      <c r="T26" s="1">
        <f>'抽奖|MoonBless'!DO26</f>
        <v>1</v>
      </c>
      <c r="U26" s="1">
        <f>'抽奖|MoonBless'!DP26</f>
        <v>20</v>
      </c>
      <c r="V26" s="1">
        <f>'抽奖|MoonBless'!DQ26</f>
        <v>2</v>
      </c>
      <c r="W26" s="1">
        <f>'抽奖|MoonBless'!DR26</f>
        <v>1304</v>
      </c>
    </row>
    <row r="27" spans="1:23" x14ac:dyDescent="0.25">
      <c r="K27" s="40"/>
      <c r="L27" s="11"/>
      <c r="M27" s="11"/>
      <c r="N27" s="41"/>
      <c r="O27" s="117"/>
      <c r="P27" s="19"/>
      <c r="S27" s="1" t="str">
        <f>'抽奖|MoonBless'!DN27</f>
        <v>双轮</v>
      </c>
      <c r="T27" s="1">
        <f>'抽奖|MoonBless'!DO27</f>
        <v>30</v>
      </c>
      <c r="U27" s="1">
        <f>'抽奖|MoonBless'!DP27</f>
        <v>600</v>
      </c>
      <c r="V27" s="1">
        <f>'抽奖|MoonBless'!DQ27</f>
        <v>2</v>
      </c>
      <c r="W27" s="1">
        <f>'抽奖|MoonBless'!DR27</f>
        <v>1500</v>
      </c>
    </row>
    <row r="28" spans="1:23" ht="16.2" x14ac:dyDescent="0.25">
      <c r="A28" s="109"/>
      <c r="K28" s="43"/>
      <c r="L28" s="11"/>
      <c r="M28" s="11"/>
      <c r="N28" s="41"/>
      <c r="O28" s="117"/>
      <c r="P28" s="19"/>
    </row>
    <row r="29" spans="1:23" x14ac:dyDescent="0.25">
      <c r="K29" s="40"/>
      <c r="L29" s="11"/>
      <c r="M29" s="11"/>
      <c r="N29" s="41"/>
      <c r="O29" s="117"/>
      <c r="P29" s="19"/>
    </row>
    <row r="30" spans="1:23" x14ac:dyDescent="0.25">
      <c r="K30" s="40"/>
      <c r="L30" s="11"/>
      <c r="M30" s="11"/>
      <c r="N30" s="41"/>
      <c r="O30" s="117"/>
      <c r="P30" s="19"/>
    </row>
    <row r="31" spans="1:23" x14ac:dyDescent="0.25">
      <c r="K31" s="40"/>
      <c r="L31" s="11"/>
      <c r="M31" s="11"/>
      <c r="N31" s="41"/>
      <c r="O31" s="117"/>
      <c r="P31" s="19"/>
    </row>
    <row r="32" spans="1:23" x14ac:dyDescent="0.25">
      <c r="K32" s="40"/>
      <c r="L32" s="11"/>
      <c r="M32" s="11"/>
      <c r="N32" s="41"/>
      <c r="O32" s="117"/>
      <c r="P32" s="19"/>
    </row>
    <row r="33" spans="1:18" x14ac:dyDescent="0.25">
      <c r="K33" s="40"/>
      <c r="L33" s="11"/>
      <c r="M33" s="11"/>
      <c r="N33" s="41"/>
      <c r="O33" s="117"/>
      <c r="P33" s="19"/>
    </row>
    <row r="34" spans="1:18" ht="16.2" x14ac:dyDescent="0.25">
      <c r="A34" s="109"/>
      <c r="K34" s="40"/>
      <c r="L34" s="11"/>
      <c r="M34" s="11"/>
      <c r="N34" s="41"/>
      <c r="O34" s="117"/>
      <c r="P34" s="19"/>
    </row>
    <row r="35" spans="1:18" x14ac:dyDescent="0.25">
      <c r="A35" s="115"/>
      <c r="K35" s="40"/>
      <c r="L35" s="11"/>
      <c r="M35" s="11"/>
      <c r="N35" s="118"/>
      <c r="O35" s="117"/>
      <c r="P35" s="19"/>
      <c r="Q35" s="1" t="s">
        <v>2131</v>
      </c>
      <c r="R35" s="1">
        <f>SUMIF($K$35:$K$64,"金币",$N$35:$N$64)</f>
        <v>0</v>
      </c>
    </row>
    <row r="36" spans="1:18" ht="16.2" x14ac:dyDescent="0.25">
      <c r="A36" s="115"/>
      <c r="K36" s="43"/>
      <c r="L36" s="11"/>
      <c r="M36" s="11"/>
      <c r="N36" s="118"/>
      <c r="O36" s="117"/>
      <c r="P36" s="19"/>
      <c r="Q36" s="1" t="s">
        <v>2133</v>
      </c>
      <c r="R36" s="1">
        <f>SUMIF($K$35:$K$64,"钻石",$N$35:$N$64)</f>
        <v>0</v>
      </c>
    </row>
    <row r="37" spans="1:18" x14ac:dyDescent="0.25">
      <c r="A37" s="115"/>
      <c r="K37" s="40"/>
      <c r="L37" s="11"/>
      <c r="M37" s="11"/>
      <c r="N37" s="118"/>
      <c r="O37" s="117"/>
      <c r="P37" s="19"/>
      <c r="Q37" s="1" t="s">
        <v>2135</v>
      </c>
      <c r="R37" s="1">
        <f>SUMIF($K$35:$K$64,"锁定",$N$35:$N$64)</f>
        <v>0</v>
      </c>
    </row>
    <row r="38" spans="1:18" x14ac:dyDescent="0.25">
      <c r="A38" s="115"/>
      <c r="K38" s="40"/>
      <c r="L38" s="11"/>
      <c r="M38" s="11"/>
      <c r="N38" s="118"/>
      <c r="O38" s="117"/>
      <c r="P38" s="19"/>
      <c r="Q38" s="1" t="s">
        <v>2137</v>
      </c>
      <c r="R38" s="1">
        <f>SUMIF($K$35:$K$64,"狂暴",$N$35:$N$64)</f>
        <v>0</v>
      </c>
    </row>
    <row r="39" spans="1:18" x14ac:dyDescent="0.25">
      <c r="A39" s="115"/>
      <c r="K39" s="40"/>
      <c r="L39" s="11"/>
      <c r="M39" s="11"/>
      <c r="N39" s="118"/>
      <c r="O39" s="117"/>
      <c r="P39" s="19"/>
    </row>
    <row r="40" spans="1:18" ht="16.2" x14ac:dyDescent="0.25">
      <c r="A40" s="115"/>
      <c r="K40" s="43"/>
      <c r="L40" s="11"/>
      <c r="M40" s="11"/>
      <c r="N40" s="118"/>
      <c r="O40" s="117"/>
      <c r="P40" s="19"/>
    </row>
    <row r="41" spans="1:18" x14ac:dyDescent="0.25">
      <c r="A41" s="115"/>
      <c r="K41" s="40"/>
      <c r="L41" s="11"/>
      <c r="M41" s="11"/>
      <c r="N41" s="118"/>
      <c r="O41" s="117"/>
      <c r="P41" s="19"/>
    </row>
    <row r="42" spans="1:18" x14ac:dyDescent="0.25">
      <c r="A42" s="115"/>
      <c r="K42" s="40"/>
      <c r="L42" s="11"/>
      <c r="M42" s="11"/>
      <c r="N42" s="118"/>
      <c r="O42" s="117"/>
      <c r="P42" s="19"/>
    </row>
    <row r="43" spans="1:18" x14ac:dyDescent="0.25">
      <c r="A43" s="115"/>
      <c r="K43" s="40"/>
      <c r="L43" s="11"/>
      <c r="M43" s="11"/>
      <c r="N43" s="118"/>
      <c r="O43" s="117"/>
      <c r="P43" s="19"/>
    </row>
    <row r="44" spans="1:18" x14ac:dyDescent="0.25">
      <c r="A44" s="115"/>
      <c r="K44" s="40"/>
      <c r="L44" s="11"/>
      <c r="M44" s="11"/>
      <c r="N44" s="118"/>
      <c r="O44" s="117"/>
      <c r="P44" s="19"/>
    </row>
    <row r="45" spans="1:18" x14ac:dyDescent="0.25">
      <c r="A45" s="115"/>
      <c r="K45" s="40"/>
      <c r="L45" s="11"/>
      <c r="M45" s="11"/>
      <c r="N45" s="118"/>
      <c r="O45" s="117"/>
      <c r="P45" s="19"/>
    </row>
    <row r="46" spans="1:18" ht="16.2" x14ac:dyDescent="0.25">
      <c r="A46" s="115"/>
      <c r="K46" s="43"/>
      <c r="L46" s="11"/>
      <c r="M46" s="11"/>
      <c r="N46" s="118"/>
      <c r="O46" s="117"/>
      <c r="P46" s="19"/>
    </row>
    <row r="47" spans="1:18" x14ac:dyDescent="0.25">
      <c r="A47" s="115"/>
      <c r="K47" s="40"/>
      <c r="L47" s="11"/>
      <c r="M47" s="11"/>
      <c r="N47" s="118"/>
      <c r="O47" s="117"/>
      <c r="P47" s="19"/>
    </row>
    <row r="48" spans="1:18" x14ac:dyDescent="0.25">
      <c r="A48" s="115"/>
      <c r="K48" s="40"/>
      <c r="L48" s="11"/>
      <c r="M48" s="11"/>
      <c r="N48" s="118"/>
      <c r="O48" s="117"/>
      <c r="P48" s="19"/>
    </row>
    <row r="49" spans="1:16" ht="16.2" x14ac:dyDescent="0.25">
      <c r="A49" s="115"/>
      <c r="K49" s="43"/>
      <c r="L49" s="11"/>
      <c r="M49" s="11"/>
      <c r="N49" s="118"/>
      <c r="O49" s="117"/>
      <c r="P49" s="19"/>
    </row>
    <row r="50" spans="1:16" x14ac:dyDescent="0.25">
      <c r="A50" s="115"/>
      <c r="K50" s="40"/>
      <c r="L50" s="11"/>
      <c r="M50" s="11"/>
      <c r="N50" s="118"/>
      <c r="O50" s="117"/>
      <c r="P50" s="19"/>
    </row>
    <row r="51" spans="1:16" x14ac:dyDescent="0.25">
      <c r="A51" s="115"/>
      <c r="K51" s="40"/>
      <c r="L51" s="11"/>
      <c r="M51" s="11"/>
      <c r="N51" s="118"/>
      <c r="O51" s="117"/>
      <c r="P51" s="19"/>
    </row>
    <row r="52" spans="1:16" ht="16.2" x14ac:dyDescent="0.25">
      <c r="A52" s="115"/>
      <c r="K52" s="43"/>
      <c r="L52" s="11"/>
      <c r="M52" s="11"/>
      <c r="N52" s="118"/>
      <c r="O52" s="117"/>
      <c r="P52" s="19"/>
    </row>
    <row r="53" spans="1:16" x14ac:dyDescent="0.25">
      <c r="A53" s="115"/>
      <c r="K53" s="40"/>
      <c r="L53" s="11"/>
      <c r="M53" s="11"/>
      <c r="N53" s="118"/>
      <c r="O53" s="117"/>
      <c r="P53" s="19"/>
    </row>
    <row r="54" spans="1:16" x14ac:dyDescent="0.25">
      <c r="A54" s="115"/>
      <c r="K54" s="40"/>
      <c r="L54" s="11"/>
      <c r="M54" s="11"/>
      <c r="N54" s="118"/>
      <c r="O54" s="117"/>
      <c r="P54" s="19"/>
    </row>
    <row r="55" spans="1:16" ht="16.2" x14ac:dyDescent="0.25">
      <c r="A55" s="115"/>
      <c r="K55" s="43"/>
      <c r="L55" s="11"/>
      <c r="M55" s="11"/>
      <c r="N55" s="118"/>
      <c r="O55" s="117"/>
      <c r="P55" s="19"/>
    </row>
    <row r="56" spans="1:16" x14ac:dyDescent="0.25">
      <c r="A56" s="115"/>
      <c r="K56" s="40"/>
      <c r="L56" s="11"/>
      <c r="M56" s="11"/>
      <c r="N56" s="118"/>
      <c r="O56" s="117"/>
      <c r="P56" s="19"/>
    </row>
    <row r="57" spans="1:16" x14ac:dyDescent="0.25">
      <c r="A57" s="115"/>
      <c r="K57" s="40"/>
      <c r="L57" s="11"/>
      <c r="M57" s="11"/>
      <c r="N57" s="118"/>
      <c r="O57" s="117"/>
      <c r="P57" s="19"/>
    </row>
    <row r="58" spans="1:16" ht="16.2" x14ac:dyDescent="0.25">
      <c r="A58" s="115"/>
      <c r="K58" s="43"/>
      <c r="L58" s="11"/>
      <c r="M58" s="11"/>
      <c r="N58" s="118"/>
      <c r="O58" s="117"/>
      <c r="P58" s="19"/>
    </row>
    <row r="59" spans="1:16" x14ac:dyDescent="0.25">
      <c r="A59" s="115"/>
      <c r="K59" s="40"/>
      <c r="L59" s="11"/>
      <c r="M59" s="11"/>
      <c r="N59" s="118"/>
      <c r="O59" s="117"/>
      <c r="P59" s="19"/>
    </row>
    <row r="60" spans="1:16" x14ac:dyDescent="0.25">
      <c r="A60" s="115"/>
      <c r="K60" s="40"/>
      <c r="L60" s="11"/>
      <c r="M60" s="11"/>
      <c r="N60" s="118"/>
      <c r="O60" s="117"/>
      <c r="P60" s="19"/>
    </row>
    <row r="61" spans="1:16" x14ac:dyDescent="0.25">
      <c r="A61" s="115"/>
      <c r="K61" s="40"/>
      <c r="L61" s="11"/>
      <c r="M61" s="11"/>
      <c r="N61" s="118"/>
      <c r="O61" s="117"/>
      <c r="P61" s="19"/>
    </row>
    <row r="62" spans="1:16" x14ac:dyDescent="0.25">
      <c r="A62" s="115"/>
      <c r="K62" s="40"/>
      <c r="L62" s="11"/>
      <c r="M62" s="11"/>
      <c r="N62" s="118"/>
      <c r="O62" s="117"/>
      <c r="P62" s="19"/>
    </row>
    <row r="63" spans="1:16" x14ac:dyDescent="0.25">
      <c r="A63" s="115"/>
      <c r="K63" s="40"/>
      <c r="L63" s="11"/>
      <c r="M63" s="11"/>
      <c r="N63" s="118"/>
      <c r="O63" s="117"/>
      <c r="P63" s="19"/>
    </row>
    <row r="64" spans="1:16" x14ac:dyDescent="0.25">
      <c r="A64" s="115"/>
      <c r="K64" s="40"/>
      <c r="L64" s="14"/>
      <c r="M64" s="14"/>
      <c r="N64" s="118"/>
      <c r="O64" s="117"/>
      <c r="P64" s="21"/>
    </row>
  </sheetData>
  <phoneticPr fontId="64" type="noConversion"/>
  <conditionalFormatting sqref="D2">
    <cfRule type="cellIs" dxfId="482" priority="24" operator="greaterThan">
      <formula>0</formula>
    </cfRule>
    <cfRule type="cellIs" dxfId="481" priority="25" operator="greaterThan">
      <formula>0</formula>
    </cfRule>
    <cfRule type="cellIs" dxfId="480" priority="26" operator="greaterThan">
      <formula>0</formula>
    </cfRule>
    <cfRule type="containsText" dxfId="479" priority="27" operator="containsText" text=" ">
      <formula>NOT(ISERROR(SEARCH(" ",D2)))</formula>
    </cfRule>
  </conditionalFormatting>
  <conditionalFormatting sqref="E2">
    <cfRule type="cellIs" dxfId="478" priority="16" operator="greaterThan">
      <formula>0</formula>
    </cfRule>
    <cfRule type="cellIs" dxfId="477" priority="17" operator="greaterThan">
      <formula>0</formula>
    </cfRule>
    <cfRule type="cellIs" dxfId="476" priority="18" operator="greaterThan">
      <formula>0</formula>
    </cfRule>
    <cfRule type="containsText" dxfId="475" priority="19" operator="containsText" text=" ">
      <formula>NOT(ISERROR(SEARCH(" ",E2)))</formula>
    </cfRule>
  </conditionalFormatting>
  <conditionalFormatting sqref="Q6">
    <cfRule type="containsText" dxfId="474" priority="57" operator="containsText" text=" ">
      <formula>NOT(ISERROR(SEARCH(" ",Q6)))</formula>
    </cfRule>
  </conditionalFormatting>
  <conditionalFormatting sqref="Q7">
    <cfRule type="containsText" dxfId="473" priority="56" operator="containsText" text=" ">
      <formula>NOT(ISERROR(SEARCH(" ",Q7)))</formula>
    </cfRule>
  </conditionalFormatting>
  <conditionalFormatting sqref="W12">
    <cfRule type="containsText" dxfId="472" priority="85" operator="containsText" text=" ">
      <formula>NOT(ISERROR(SEARCH(" ",W12)))</formula>
    </cfRule>
  </conditionalFormatting>
  <conditionalFormatting sqref="S17:T17">
    <cfRule type="containsText" dxfId="471" priority="82" operator="containsText" text=" ">
      <formula>NOT(ISERROR(SEARCH(" ",S17)))</formula>
    </cfRule>
  </conditionalFormatting>
  <conditionalFormatting sqref="S18:T18">
    <cfRule type="containsText" dxfId="470" priority="81" operator="containsText" text=" ">
      <formula>NOT(ISERROR(SEARCH(" ",S18)))</formula>
    </cfRule>
  </conditionalFormatting>
  <conditionalFormatting sqref="W19">
    <cfRule type="containsText" dxfId="469" priority="80" operator="containsText" text=" ">
      <formula>NOT(ISERROR(SEARCH(" ",W19)))</formula>
    </cfRule>
  </conditionalFormatting>
  <conditionalFormatting sqref="K36">
    <cfRule type="cellIs" dxfId="468" priority="28" operator="equal">
      <formula>"狂暴"</formula>
    </cfRule>
    <cfRule type="cellIs" dxfId="467" priority="29" operator="equal">
      <formula>"锁定"</formula>
    </cfRule>
    <cfRule type="cellIs" dxfId="466" priority="30" operator="equal">
      <formula>"钻石"</formula>
    </cfRule>
    <cfRule type="cellIs" dxfId="465" priority="31" operator="equal">
      <formula>"金币"</formula>
    </cfRule>
    <cfRule type="containsText" dxfId="464" priority="32" operator="containsText" text=" ">
      <formula>NOT(ISERROR(SEARCH(" ",K36)))</formula>
    </cfRule>
  </conditionalFormatting>
  <conditionalFormatting sqref="Q36">
    <cfRule type="containsText" dxfId="463" priority="49" operator="containsText" text=" ">
      <formula>NOT(ISERROR(SEARCH(" ",Q36)))</formula>
    </cfRule>
  </conditionalFormatting>
  <conditionalFormatting sqref="Q37">
    <cfRule type="containsText" dxfId="462" priority="48" operator="containsText" text=" ">
      <formula>NOT(ISERROR(SEARCH(" ",Q37)))</formula>
    </cfRule>
  </conditionalFormatting>
  <conditionalFormatting sqref="K64">
    <cfRule type="cellIs" dxfId="461" priority="38" operator="equal">
      <formula>"狂暴"</formula>
    </cfRule>
    <cfRule type="cellIs" dxfId="460" priority="39" operator="equal">
      <formula>"锁定"</formula>
    </cfRule>
    <cfRule type="cellIs" dxfId="459" priority="40" operator="equal">
      <formula>"钻石"</formula>
    </cfRule>
    <cfRule type="cellIs" dxfId="458" priority="41" operator="equal">
      <formula>"金币"</formula>
    </cfRule>
    <cfRule type="containsText" dxfId="457" priority="42" operator="containsText" text=" ">
      <formula>NOT(ISERROR(SEARCH(" ",K64)))</formula>
    </cfRule>
  </conditionalFormatting>
  <conditionalFormatting sqref="D65:E65">
    <cfRule type="containsText" dxfId="456" priority="97" operator="containsText" text=" ">
      <formula>NOT(ISERROR(SEARCH(" ",D65)))</formula>
    </cfRule>
  </conditionalFormatting>
  <conditionalFormatting sqref="D66:E66">
    <cfRule type="containsText" dxfId="455" priority="98" operator="containsText" text=" ">
      <formula>NOT(ISERROR(SEARCH(" ",D66)))</formula>
    </cfRule>
  </conditionalFormatting>
  <conditionalFormatting sqref="C5:C64">
    <cfRule type="containsText" dxfId="454" priority="69" operator="containsText" text=" ">
      <formula>NOT(ISERROR(SEARCH(" ",C5)))</formula>
    </cfRule>
  </conditionalFormatting>
  <conditionalFormatting sqref="H5:H34">
    <cfRule type="containsText" dxfId="453" priority="66" operator="containsText" text=" ">
      <formula>NOT(ISERROR(SEARCH(" ",H5)))</formula>
    </cfRule>
  </conditionalFormatting>
  <conditionalFormatting sqref="H5:H64">
    <cfRule type="cellIs" dxfId="452" priority="64" operator="equal">
      <formula>1</formula>
    </cfRule>
  </conditionalFormatting>
  <conditionalFormatting sqref="H35:H64">
    <cfRule type="containsText" dxfId="451" priority="65" operator="containsText" text=" ">
      <formula>NOT(ISERROR(SEARCH(" ",H35)))</formula>
    </cfRule>
  </conditionalFormatting>
  <conditionalFormatting sqref="K5:K34">
    <cfRule type="cellIs" dxfId="450" priority="58" operator="equal">
      <formula>"狂暴"</formula>
    </cfRule>
    <cfRule type="cellIs" dxfId="449" priority="59" operator="equal">
      <formula>"锁定"</formula>
    </cfRule>
    <cfRule type="cellIs" dxfId="448" priority="60" operator="equal">
      <formula>"钻石"</formula>
    </cfRule>
    <cfRule type="cellIs" dxfId="447" priority="61" operator="equal">
      <formula>"金币"</formula>
    </cfRule>
    <cfRule type="containsText" dxfId="446" priority="73" operator="containsText" text=" ">
      <formula>NOT(ISERROR(SEARCH(" ",K5)))</formula>
    </cfRule>
  </conditionalFormatting>
  <conditionalFormatting sqref="U8:U11">
    <cfRule type="containsText" dxfId="445" priority="86" operator="containsText" text=" ">
      <formula>NOT(ISERROR(SEARCH(" ",U8)))</formula>
    </cfRule>
  </conditionalFormatting>
  <conditionalFormatting sqref="U13:U16">
    <cfRule type="containsText" dxfId="444" priority="83" operator="containsText" text=" ">
      <formula>NOT(ISERROR(SEARCH(" ",U13)))</formula>
    </cfRule>
  </conditionalFormatting>
  <conditionalFormatting sqref="W8:W11">
    <cfRule type="containsText" dxfId="443" priority="87" operator="containsText" text=" ">
      <formula>NOT(ISERROR(SEARCH(" ",W8)))</formula>
    </cfRule>
  </conditionalFormatting>
  <conditionalFormatting sqref="W13:W16">
    <cfRule type="containsText" dxfId="442" priority="84" operator="containsText" text=" ">
      <formula>NOT(ISERROR(SEARCH(" ",W13)))</formula>
    </cfRule>
  </conditionalFormatting>
  <conditionalFormatting sqref="A1:B64 A65:C66 D1 A67:E1048576 D3:D4 G4:J4 S35:XFD38 Q39:XFD64 R6:R8 Q8 Q4:R5 Q9:R27 J35:J64 Q28:XFD34 K65:XFD66 X4:XFD27 G1:XFD3 I5:J34 D5:E34 G5:G34 G67:XFD1048576">
    <cfRule type="containsText" dxfId="441" priority="102" operator="containsText" text=" ">
      <formula>NOT(ISERROR(SEARCH(" ",A1)))</formula>
    </cfRule>
  </conditionalFormatting>
  <conditionalFormatting sqref="D1 D3:D4 D5:E1048576">
    <cfRule type="cellIs" dxfId="440" priority="62" operator="greaterThan">
      <formula>0</formula>
    </cfRule>
    <cfRule type="cellIs" dxfId="439" priority="63" operator="greaterThan">
      <formula>0</formula>
    </cfRule>
    <cfRule type="cellIs" dxfId="438" priority="67" operator="greaterThan">
      <formula>0</formula>
    </cfRule>
  </conditionalFormatting>
  <conditionalFormatting sqref="E1 E3:E4">
    <cfRule type="containsText" dxfId="437" priority="23" operator="containsText" text=" ">
      <formula>NOT(ISERROR(SEARCH(" ",E1)))</formula>
    </cfRule>
  </conditionalFormatting>
  <conditionalFormatting sqref="E1 E3:E4">
    <cfRule type="cellIs" dxfId="436" priority="20" operator="greaterThan">
      <formula>0</formula>
    </cfRule>
    <cfRule type="cellIs" dxfId="435" priority="21" operator="greaterThan">
      <formula>0</formula>
    </cfRule>
    <cfRule type="cellIs" dxfId="434" priority="22" operator="greaterThan">
      <formula>0</formula>
    </cfRule>
  </conditionalFormatting>
  <conditionalFormatting sqref="V8:V11 S19:V19 U17:W18 V13:V16 S13:T16 S12:V12 S20:W27 S8:T11 S4:W7">
    <cfRule type="containsText" dxfId="433" priority="88" operator="containsText" text=" ">
      <formula>NOT(ISERROR(SEARCH(" ",S4)))</formula>
    </cfRule>
  </conditionalFormatting>
  <conditionalFormatting sqref="L5:M64 P5:P64">
    <cfRule type="containsText" dxfId="432" priority="79" operator="containsText" text=" ">
      <formula>NOT(ISERROR(SEARCH(" ",L5)))</formula>
    </cfRule>
  </conditionalFormatting>
  <conditionalFormatting sqref="N5:O34">
    <cfRule type="containsText" dxfId="431" priority="71" operator="containsText" text=" ">
      <formula>NOT(ISERROR(SEARCH(" ",N5)))</formula>
    </cfRule>
  </conditionalFormatting>
  <conditionalFormatting sqref="D35:E64 I35:I64 G35:G64">
    <cfRule type="containsText" dxfId="430" priority="96" operator="containsText" text=" ">
      <formula>NOT(ISERROR(SEARCH(" ",D35)))</formula>
    </cfRule>
  </conditionalFormatting>
  <conditionalFormatting sqref="K35 K37:K63">
    <cfRule type="cellIs" dxfId="429" priority="51" operator="equal">
      <formula>"狂暴"</formula>
    </cfRule>
    <cfRule type="cellIs" dxfId="428" priority="52" operator="equal">
      <formula>"锁定"</formula>
    </cfRule>
    <cfRule type="cellIs" dxfId="427" priority="53" operator="equal">
      <formula>"钻石"</formula>
    </cfRule>
    <cfRule type="cellIs" dxfId="426" priority="54" operator="equal">
      <formula>"金币"</formula>
    </cfRule>
    <cfRule type="containsText" dxfId="425" priority="55" operator="containsText" text=" ">
      <formula>NOT(ISERROR(SEARCH(" ",K35)))</formula>
    </cfRule>
  </conditionalFormatting>
  <conditionalFormatting sqref="N35:O64">
    <cfRule type="containsText" dxfId="424" priority="70" operator="containsText" text=" ">
      <formula>NOT(ISERROR(SEARCH(" ",N35)))</formula>
    </cfRule>
  </conditionalFormatting>
  <conditionalFormatting sqref="Q35:R35 R36:R38 Q38">
    <cfRule type="containsText" dxfId="423" priority="50" operator="containsText" text=" ">
      <formula>NOT(ISERROR(SEARCH(" ",Q35)))</formula>
    </cfRule>
  </conditionalFormatting>
  <conditionalFormatting sqref="G65:J66">
    <cfRule type="containsText" dxfId="422" priority="100" operator="containsText" text=" ">
      <formula>NOT(ISERROR(SEARCH(" ",G65)))</formula>
    </cfRule>
  </conditionalFormatting>
  <conditionalFormatting sqref="F65">
    <cfRule type="containsText" dxfId="421" priority="13" operator="containsText" text=" ">
      <formula>NOT(ISERROR(SEARCH(" ",F65)))</formula>
    </cfRule>
  </conditionalFormatting>
  <conditionalFormatting sqref="F66">
    <cfRule type="containsText" dxfId="420" priority="14" operator="containsText" text=" ">
      <formula>NOT(ISERROR(SEARCH(" ",F66)))</formula>
    </cfRule>
  </conditionalFormatting>
  <conditionalFormatting sqref="F67:F1048576 F5:F34">
    <cfRule type="containsText" dxfId="419" priority="15" operator="containsText" text=" ">
      <formula>NOT(ISERROR(SEARCH(" ",F5)))</formula>
    </cfRule>
  </conditionalFormatting>
  <conditionalFormatting sqref="F5:F1048576">
    <cfRule type="cellIs" dxfId="418" priority="9" operator="greaterThan">
      <formula>0</formula>
    </cfRule>
    <cfRule type="cellIs" dxfId="417" priority="10" operator="greaterThan">
      <formula>0</formula>
    </cfRule>
    <cfRule type="cellIs" dxfId="416" priority="11" operator="greaterThan">
      <formula>0</formula>
    </cfRule>
  </conditionalFormatting>
  <conditionalFormatting sqref="F35:F64">
    <cfRule type="containsText" dxfId="415" priority="12" operator="containsText" text=" ">
      <formula>NOT(ISERROR(SEARCH(" ",F35)))</formula>
    </cfRule>
  </conditionalFormatting>
  <conditionalFormatting sqref="F1 F3:F4">
    <cfRule type="containsText" dxfId="414" priority="8" operator="containsText" text=" ">
      <formula>NOT(ISERROR(SEARCH(" ",F1)))</formula>
    </cfRule>
  </conditionalFormatting>
  <conditionalFormatting sqref="F1 F3:F4">
    <cfRule type="cellIs" dxfId="413" priority="5" operator="greaterThan">
      <formula>0</formula>
    </cfRule>
    <cfRule type="cellIs" dxfId="412" priority="6" operator="greaterThan">
      <formula>0</formula>
    </cfRule>
    <cfRule type="cellIs" dxfId="411" priority="7" operator="greaterThan">
      <formula>0</formula>
    </cfRule>
  </conditionalFormatting>
  <conditionalFormatting sqref="F2">
    <cfRule type="cellIs" dxfId="410" priority="1" operator="greaterThan">
      <formula>0</formula>
    </cfRule>
    <cfRule type="cellIs" dxfId="409" priority="2" operator="greaterThan">
      <formula>0</formula>
    </cfRule>
    <cfRule type="cellIs" dxfId="408" priority="3" operator="greaterThan">
      <formula>0</formula>
    </cfRule>
    <cfRule type="containsText" dxfId="407" priority="4" operator="containsText" text=" ">
      <formula>NOT(ISERROR(SEARCH(" ",F2)))</formula>
    </cfRule>
  </conditionalFormatting>
  <pageMargins left="0.69930555555555596" right="0.69930555555555596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EY27"/>
  <sheetViews>
    <sheetView workbookViewId="0">
      <selection activeCell="A9" sqref="A9"/>
    </sheetView>
  </sheetViews>
  <sheetFormatPr defaultColWidth="9" defaultRowHeight="15.6" x14ac:dyDescent="0.25"/>
  <cols>
    <col min="1" max="1" width="9.88671875" style="1" customWidth="1"/>
    <col min="2" max="2" width="33.77734375" style="1" customWidth="1"/>
    <col min="3" max="3" width="16.88671875" style="1" customWidth="1"/>
    <col min="4" max="6" width="9" style="1"/>
    <col min="7" max="7" width="9.44140625" style="1" customWidth="1"/>
    <col min="8" max="8" width="5.109375" style="1" customWidth="1"/>
    <col min="9" max="9" width="7.109375" style="1" customWidth="1"/>
    <col min="10" max="11" width="10.109375" style="1" customWidth="1"/>
    <col min="12" max="12" width="9.44140625" style="1" customWidth="1"/>
    <col min="13" max="13" width="5" style="1" customWidth="1"/>
    <col min="14" max="14" width="7.109375" style="1" customWidth="1"/>
    <col min="15" max="15" width="5.44140625" style="1" customWidth="1"/>
    <col min="16" max="16" width="10" style="1" customWidth="1"/>
    <col min="17" max="17" width="9.44140625" style="1" customWidth="1"/>
    <col min="18" max="18" width="4.77734375" style="1" customWidth="1"/>
    <col min="19" max="19" width="7.109375" style="1" customWidth="1"/>
    <col min="20" max="20" width="5.44140625" style="1" customWidth="1"/>
    <col min="21" max="21" width="8.88671875" style="1" customWidth="1"/>
    <col min="22" max="23" width="9" style="1"/>
    <col min="24" max="24" width="11.6640625" style="1" customWidth="1"/>
    <col min="25" max="25" width="11.44140625" style="1" customWidth="1"/>
    <col min="26" max="16379" width="9" style="1"/>
  </cols>
  <sheetData>
    <row r="1" spans="1:29" x14ac:dyDescent="0.35">
      <c r="A1" s="2" t="s">
        <v>0</v>
      </c>
      <c r="B1" s="30" t="s">
        <v>0</v>
      </c>
      <c r="C1" s="106" t="s">
        <v>0</v>
      </c>
    </row>
    <row r="2" spans="1:29" x14ac:dyDescent="0.35">
      <c r="A2" s="2" t="s">
        <v>11</v>
      </c>
      <c r="B2" s="30" t="s">
        <v>14</v>
      </c>
      <c r="C2" s="106" t="s">
        <v>11</v>
      </c>
      <c r="E2" s="65"/>
    </row>
    <row r="3" spans="1:29" x14ac:dyDescent="0.35">
      <c r="A3" s="2" t="s">
        <v>2118</v>
      </c>
      <c r="B3" s="30" t="s">
        <v>2139</v>
      </c>
      <c r="C3" s="106" t="s">
        <v>2122</v>
      </c>
      <c r="E3" s="69"/>
      <c r="G3" s="1" t="s">
        <v>1092</v>
      </c>
      <c r="L3" s="1" t="s">
        <v>1094</v>
      </c>
      <c r="Q3" s="1" t="s">
        <v>1094</v>
      </c>
    </row>
    <row r="4" spans="1:29" s="69" customFormat="1" ht="79.2" x14ac:dyDescent="0.25">
      <c r="A4" s="60" t="s">
        <v>2140</v>
      </c>
      <c r="B4" s="4" t="s">
        <v>2014</v>
      </c>
      <c r="C4" s="107" t="s">
        <v>2141</v>
      </c>
      <c r="E4" s="108"/>
      <c r="G4" s="36" t="s">
        <v>1949</v>
      </c>
      <c r="H4" s="37" t="s">
        <v>1396</v>
      </c>
      <c r="I4" s="37" t="s">
        <v>1397</v>
      </c>
      <c r="J4" s="38" t="s">
        <v>114</v>
      </c>
      <c r="K4" s="110" t="s">
        <v>2142</v>
      </c>
      <c r="L4" s="36" t="s">
        <v>1949</v>
      </c>
      <c r="M4" s="37" t="s">
        <v>1396</v>
      </c>
      <c r="N4" s="37" t="s">
        <v>1397</v>
      </c>
      <c r="O4" s="38" t="s">
        <v>114</v>
      </c>
      <c r="P4" s="110" t="s">
        <v>2142</v>
      </c>
      <c r="Q4" s="36" t="s">
        <v>1949</v>
      </c>
      <c r="R4" s="37" t="s">
        <v>1396</v>
      </c>
      <c r="S4" s="37" t="s">
        <v>1397</v>
      </c>
      <c r="T4" s="38" t="s">
        <v>114</v>
      </c>
      <c r="U4" s="110" t="s">
        <v>112</v>
      </c>
      <c r="X4" s="22">
        <f>'抽奖|MoonBless'!DN4</f>
        <v>0</v>
      </c>
      <c r="Y4" s="111" t="str">
        <f>'抽奖|MoonBless'!DO4</f>
        <v>人民币价值</v>
      </c>
      <c r="Z4" s="112" t="str">
        <f>'抽奖|MoonBless'!DP4</f>
        <v>价值
钻石价值</v>
      </c>
      <c r="AA4" s="112" t="s">
        <v>112</v>
      </c>
      <c r="AB4" s="111" t="str">
        <f>'抽奖|MoonBless'!DQ4</f>
        <v>物品类型</v>
      </c>
      <c r="AC4" s="113" t="str">
        <f>'抽奖|MoonBless'!DR4</f>
        <v>id</v>
      </c>
    </row>
    <row r="5" spans="1:29" x14ac:dyDescent="0.25">
      <c r="A5" s="1">
        <v>1</v>
      </c>
      <c r="B5" s="1" t="str">
        <f>H5&amp;"|"&amp;I5&amp;"|"&amp;J5&amp;","&amp;M5&amp;"|"&amp;N5&amp;"|"&amp;O5&amp;","&amp;R5&amp;"|"&amp;S5&amp;"|"&amp;T5</f>
        <v>1|2|50000,2|1001|2,2|1002|2</v>
      </c>
      <c r="C5" s="1">
        <v>1</v>
      </c>
      <c r="G5" s="40" t="s">
        <v>177</v>
      </c>
      <c r="H5" s="11">
        <f>VLOOKUP(G5,$X:$AC,5,0)</f>
        <v>1</v>
      </c>
      <c r="I5" s="11">
        <f>VLOOKUP(G5,$X:$AC,6,0)</f>
        <v>2</v>
      </c>
      <c r="J5" s="41">
        <v>50000</v>
      </c>
      <c r="K5" s="19">
        <f>VLOOKUP(G5,$X:$AC,4,0)*J5</f>
        <v>50000</v>
      </c>
      <c r="L5" s="40" t="s">
        <v>1401</v>
      </c>
      <c r="M5" s="11">
        <f>VLOOKUP(L5,$X:$AC,5,0)</f>
        <v>2</v>
      </c>
      <c r="N5" s="11">
        <f>VLOOKUP(L5,$X:$AC,6,0)</f>
        <v>1001</v>
      </c>
      <c r="O5" s="41">
        <v>2</v>
      </c>
      <c r="P5" s="19">
        <f>VLOOKUP(L5,$X:$AC,4,0)*O5</f>
        <v>40000</v>
      </c>
      <c r="Q5" s="40" t="s">
        <v>1402</v>
      </c>
      <c r="R5" s="11">
        <f>VLOOKUP(Q5,$X:$AC,5,0)</f>
        <v>2</v>
      </c>
      <c r="S5" s="11">
        <f>VLOOKUP(Q5,$X:$AC,6,0)</f>
        <v>1002</v>
      </c>
      <c r="T5" s="41">
        <v>2</v>
      </c>
      <c r="U5" s="19">
        <f>VLOOKUP(Q5,$X:$AC,4,0)*T5</f>
        <v>100000</v>
      </c>
      <c r="X5" s="10" t="str">
        <f>'抽奖|MoonBless'!DN5</f>
        <v>人民币</v>
      </c>
      <c r="Y5" s="11">
        <f>'抽奖|MoonBless'!DO5</f>
        <v>1</v>
      </c>
      <c r="Z5" s="11">
        <f>'抽奖|MoonBless'!DP5</f>
        <v>20</v>
      </c>
      <c r="AA5" s="11">
        <f>Z5/$Z$7</f>
        <v>200000</v>
      </c>
      <c r="AB5" s="11">
        <f>'抽奖|MoonBless'!DQ5</f>
        <v>1</v>
      </c>
      <c r="AC5" s="19">
        <f>'抽奖|MoonBless'!DR5</f>
        <v>0</v>
      </c>
    </row>
    <row r="6" spans="1:29" x14ac:dyDescent="0.25">
      <c r="A6" s="1">
        <v>2</v>
      </c>
      <c r="B6" s="1" t="str">
        <f>H6&amp;"|"&amp;I6&amp;"|"&amp;J6&amp;","&amp;M6&amp;"|"&amp;N6&amp;"|"&amp;O6&amp;","&amp;R6&amp;"|"&amp;S6&amp;"|"&amp;T6</f>
        <v>1|2|200000,2|1001|4,2|1002|4</v>
      </c>
      <c r="C6" s="1">
        <v>1</v>
      </c>
      <c r="G6" s="40" t="s">
        <v>177</v>
      </c>
      <c r="H6" s="11">
        <f t="shared" ref="H6:H7" si="0">VLOOKUP(G6,$X:$AC,5,0)</f>
        <v>1</v>
      </c>
      <c r="I6" s="11">
        <f t="shared" ref="I6:I7" si="1">VLOOKUP(G6,$X:$AC,6,0)</f>
        <v>2</v>
      </c>
      <c r="J6" s="41">
        <v>200000</v>
      </c>
      <c r="K6" s="19">
        <f t="shared" ref="K6:K7" si="2">VLOOKUP(G6,$X:$AC,4,0)*J6</f>
        <v>200000</v>
      </c>
      <c r="L6" s="40" t="s">
        <v>1401</v>
      </c>
      <c r="M6" s="11">
        <f t="shared" ref="M6:M7" si="3">VLOOKUP(L6,$X:$AC,5,0)</f>
        <v>2</v>
      </c>
      <c r="N6" s="11">
        <f t="shared" ref="N6:N7" si="4">VLOOKUP(L6,$X:$AC,6,0)</f>
        <v>1001</v>
      </c>
      <c r="O6" s="41">
        <v>4</v>
      </c>
      <c r="P6" s="19">
        <f t="shared" ref="P6:P7" si="5">VLOOKUP(L6,$X:$AC,4,0)*O6</f>
        <v>80000</v>
      </c>
      <c r="Q6" s="40" t="s">
        <v>1402</v>
      </c>
      <c r="R6" s="11">
        <f t="shared" ref="R6:R7" si="6">VLOOKUP(Q6,$X:$AC,5,0)</f>
        <v>2</v>
      </c>
      <c r="S6" s="11">
        <f t="shared" ref="S6:S7" si="7">VLOOKUP(Q6,$X:$AC,6,0)</f>
        <v>1002</v>
      </c>
      <c r="T6" s="41">
        <v>4</v>
      </c>
      <c r="U6" s="19">
        <f t="shared" ref="U6:U7" si="8">VLOOKUP(Q6,$X:$AC,4,0)*T6</f>
        <v>200000</v>
      </c>
      <c r="X6" s="10" t="str">
        <f>'抽奖|MoonBless'!DN6</f>
        <v>钻石</v>
      </c>
      <c r="Y6" s="11">
        <f>'抽奖|MoonBless'!DO6</f>
        <v>0.1</v>
      </c>
      <c r="Z6" s="11">
        <f>'抽奖|MoonBless'!DP6</f>
        <v>2</v>
      </c>
      <c r="AA6" s="11">
        <f t="shared" ref="AA6:AA27" si="9">Z6/$Z$7</f>
        <v>20000</v>
      </c>
      <c r="AB6" s="11">
        <f>'抽奖|MoonBless'!DQ6</f>
        <v>1</v>
      </c>
      <c r="AC6" s="19">
        <f>'抽奖|MoonBless'!DR6</f>
        <v>1</v>
      </c>
    </row>
    <row r="7" spans="1:29" x14ac:dyDescent="0.25">
      <c r="A7" s="1">
        <v>3</v>
      </c>
      <c r="B7" s="1" t="str">
        <f>H7&amp;"|"&amp;I7&amp;"|"&amp;J7&amp;","&amp;M7&amp;"|"&amp;N7&amp;"|"&amp;O7&amp;","&amp;R7&amp;"|"&amp;S7&amp;"|"&amp;T7</f>
        <v>1|2|1000000,1|1|50,2|1001|10</v>
      </c>
      <c r="C7" s="1">
        <v>1</v>
      </c>
      <c r="G7" s="40" t="s">
        <v>177</v>
      </c>
      <c r="H7" s="11">
        <f t="shared" si="0"/>
        <v>1</v>
      </c>
      <c r="I7" s="11">
        <f t="shared" si="1"/>
        <v>2</v>
      </c>
      <c r="J7" s="41">
        <v>1000000</v>
      </c>
      <c r="K7" s="19">
        <f t="shared" si="2"/>
        <v>1000000</v>
      </c>
      <c r="L7" s="40" t="s">
        <v>1369</v>
      </c>
      <c r="M7" s="11">
        <f t="shared" si="3"/>
        <v>1</v>
      </c>
      <c r="N7" s="11">
        <f t="shared" si="4"/>
        <v>1</v>
      </c>
      <c r="O7" s="41">
        <v>50</v>
      </c>
      <c r="P7" s="19">
        <f t="shared" si="5"/>
        <v>1000000</v>
      </c>
      <c r="Q7" s="40" t="s">
        <v>1401</v>
      </c>
      <c r="R7" s="11">
        <f t="shared" si="6"/>
        <v>2</v>
      </c>
      <c r="S7" s="11">
        <f t="shared" si="7"/>
        <v>1001</v>
      </c>
      <c r="T7" s="41">
        <v>10</v>
      </c>
      <c r="U7" s="19">
        <f t="shared" si="8"/>
        <v>200000</v>
      </c>
      <c r="X7" s="10" t="str">
        <f>'抽奖|MoonBless'!DN7</f>
        <v>金币</v>
      </c>
      <c r="Y7" s="114">
        <f>'抽奖|MoonBless'!DO7</f>
        <v>5.0000000000000004E-6</v>
      </c>
      <c r="Z7" s="11">
        <f>'抽奖|MoonBless'!DP7</f>
        <v>1E-4</v>
      </c>
      <c r="AA7" s="11">
        <f t="shared" si="9"/>
        <v>1</v>
      </c>
      <c r="AB7" s="11">
        <f>'抽奖|MoonBless'!DQ7</f>
        <v>1</v>
      </c>
      <c r="AC7" s="19">
        <f>'抽奖|MoonBless'!DR7</f>
        <v>2</v>
      </c>
    </row>
    <row r="8" spans="1:29" x14ac:dyDescent="0.25">
      <c r="X8" s="10" t="str">
        <f>'抽奖|MoonBless'!DN8</f>
        <v>锁定</v>
      </c>
      <c r="Y8" s="11">
        <f>'抽奖|MoonBless'!DO8</f>
        <v>0.1</v>
      </c>
      <c r="Z8" s="11">
        <f>'抽奖|MoonBless'!DP8</f>
        <v>2</v>
      </c>
      <c r="AA8" s="11">
        <f t="shared" si="9"/>
        <v>20000</v>
      </c>
      <c r="AB8" s="11">
        <f>'抽奖|MoonBless'!DQ8</f>
        <v>2</v>
      </c>
      <c r="AC8" s="19">
        <f>'抽奖|MoonBless'!DR8</f>
        <v>1001</v>
      </c>
    </row>
    <row r="9" spans="1:29" x14ac:dyDescent="0.25">
      <c r="X9" s="10" t="str">
        <f>'抽奖|MoonBless'!DN9</f>
        <v>冰冻</v>
      </c>
      <c r="Y9" s="11">
        <f>'抽奖|MoonBless'!DO9</f>
        <v>0.25</v>
      </c>
      <c r="Z9" s="11">
        <f>'抽奖|MoonBless'!DP9</f>
        <v>5</v>
      </c>
      <c r="AA9" s="11">
        <f t="shared" si="9"/>
        <v>50000</v>
      </c>
      <c r="AB9" s="11">
        <f>'抽奖|MoonBless'!DQ9</f>
        <v>2</v>
      </c>
      <c r="AC9" s="19">
        <f>'抽奖|MoonBless'!DR9</f>
        <v>1002</v>
      </c>
    </row>
    <row r="10" spans="1:29" ht="16.2" x14ac:dyDescent="0.25">
      <c r="A10" s="109"/>
      <c r="X10" s="10" t="str">
        <f>'抽奖|MoonBless'!DN10</f>
        <v>狂暴</v>
      </c>
      <c r="Y10" s="11">
        <f>'抽奖|MoonBless'!DO10</f>
        <v>0.5</v>
      </c>
      <c r="Z10" s="11">
        <f>'抽奖|MoonBless'!DP10</f>
        <v>10</v>
      </c>
      <c r="AA10" s="11">
        <f t="shared" si="9"/>
        <v>100000</v>
      </c>
      <c r="AB10" s="11">
        <f>'抽奖|MoonBless'!DQ10</f>
        <v>2</v>
      </c>
      <c r="AC10" s="19">
        <f>'抽奖|MoonBless'!DR10</f>
        <v>1003</v>
      </c>
    </row>
    <row r="11" spans="1:29" x14ac:dyDescent="0.25">
      <c r="X11" s="10" t="str">
        <f>'抽奖|MoonBless'!DN11</f>
        <v>召唤</v>
      </c>
      <c r="Y11" s="11">
        <f>'抽奖|MoonBless'!DO11</f>
        <v>0.1</v>
      </c>
      <c r="Z11" s="11">
        <f>'抽奖|MoonBless'!DP11</f>
        <v>2</v>
      </c>
      <c r="AA11" s="11">
        <f t="shared" si="9"/>
        <v>20000</v>
      </c>
      <c r="AB11" s="11">
        <f>'抽奖|MoonBless'!DQ11</f>
        <v>2</v>
      </c>
      <c r="AC11" s="19">
        <f>'抽奖|MoonBless'!DR11</f>
        <v>1004</v>
      </c>
    </row>
    <row r="12" spans="1:29" x14ac:dyDescent="0.25">
      <c r="X12" s="10" t="str">
        <f>'抽奖|MoonBless'!DN12</f>
        <v>福卡</v>
      </c>
      <c r="Y12" s="11">
        <f>'抽奖|MoonBless'!DO12</f>
        <v>7.5000000000000002E-4</v>
      </c>
      <c r="Z12" s="11">
        <f>'抽奖|MoonBless'!DP12</f>
        <v>1.5000000000000001E-2</v>
      </c>
      <c r="AA12" s="11">
        <f t="shared" si="9"/>
        <v>150</v>
      </c>
      <c r="AB12" s="11">
        <f>'抽奖|MoonBless'!DQ12</f>
        <v>2</v>
      </c>
      <c r="AC12" s="19">
        <f>'抽奖|MoonBless'!DR12</f>
        <v>1204</v>
      </c>
    </row>
    <row r="13" spans="1:29" x14ac:dyDescent="0.25">
      <c r="X13" s="10" t="str">
        <f>'抽奖|MoonBless'!DN13</f>
        <v>超级武器1</v>
      </c>
      <c r="Y13" s="11">
        <f>'抽奖|MoonBless'!DO13</f>
        <v>5</v>
      </c>
      <c r="Z13" s="11">
        <f>'抽奖|MoonBless'!DP13</f>
        <v>100</v>
      </c>
      <c r="AA13" s="11">
        <f t="shared" si="9"/>
        <v>1000000</v>
      </c>
      <c r="AB13" s="11">
        <f>'抽奖|MoonBless'!DQ13</f>
        <v>2</v>
      </c>
      <c r="AC13" s="19">
        <f>'抽奖|MoonBless'!DR13</f>
        <v>1005</v>
      </c>
    </row>
    <row r="14" spans="1:29" x14ac:dyDescent="0.25">
      <c r="X14" s="10" t="str">
        <f>'抽奖|MoonBless'!DN14</f>
        <v>超级武器2</v>
      </c>
      <c r="Y14" s="11">
        <f>'抽奖|MoonBless'!DO14</f>
        <v>10</v>
      </c>
      <c r="Z14" s="11">
        <f>'抽奖|MoonBless'!DP14</f>
        <v>200</v>
      </c>
      <c r="AA14" s="11">
        <f t="shared" si="9"/>
        <v>2000000</v>
      </c>
      <c r="AB14" s="11">
        <f>'抽奖|MoonBless'!DQ14</f>
        <v>2</v>
      </c>
      <c r="AC14" s="19">
        <f>'抽奖|MoonBless'!DR14</f>
        <v>1006</v>
      </c>
    </row>
    <row r="15" spans="1:29" x14ac:dyDescent="0.25">
      <c r="X15" s="10" t="str">
        <f>'抽奖|MoonBless'!DN15</f>
        <v>超级武器3</v>
      </c>
      <c r="Y15" s="11">
        <f>'抽奖|MoonBless'!DO15</f>
        <v>25</v>
      </c>
      <c r="Z15" s="11">
        <f>'抽奖|MoonBless'!DP15</f>
        <v>500</v>
      </c>
      <c r="AA15" s="11">
        <f t="shared" si="9"/>
        <v>5000000</v>
      </c>
      <c r="AB15" s="11">
        <f>'抽奖|MoonBless'!DQ15</f>
        <v>2</v>
      </c>
      <c r="AC15" s="19">
        <f>'抽奖|MoonBless'!DR15</f>
        <v>1007</v>
      </c>
    </row>
    <row r="16" spans="1:29" ht="16.2" x14ac:dyDescent="0.25">
      <c r="A16" s="109"/>
      <c r="X16" s="10" t="str">
        <f>'抽奖|MoonBless'!DN16</f>
        <v>超级武器4</v>
      </c>
      <c r="Y16" s="11">
        <f>'抽奖|MoonBless'!DO16</f>
        <v>50</v>
      </c>
      <c r="Z16" s="11">
        <f>'抽奖|MoonBless'!DP16</f>
        <v>1000</v>
      </c>
      <c r="AA16" s="11">
        <f t="shared" si="9"/>
        <v>10000000</v>
      </c>
      <c r="AB16" s="11">
        <f>'抽奖|MoonBless'!DQ16</f>
        <v>2</v>
      </c>
      <c r="AC16" s="19">
        <f>'抽奖|MoonBless'!DR16</f>
        <v>1008</v>
      </c>
    </row>
    <row r="17" spans="1:29" x14ac:dyDescent="0.25">
      <c r="X17" s="10" t="str">
        <f>'抽奖|MoonBless'!DN17</f>
        <v>5元话费卡</v>
      </c>
      <c r="Y17" s="11">
        <f>'抽奖|MoonBless'!DO17</f>
        <v>5</v>
      </c>
      <c r="Z17" s="11">
        <f>'抽奖|MoonBless'!DP17</f>
        <v>100</v>
      </c>
      <c r="AA17" s="11">
        <f t="shared" si="9"/>
        <v>1000000</v>
      </c>
      <c r="AB17" s="11">
        <f>'抽奖|MoonBless'!DQ17</f>
        <v>2</v>
      </c>
      <c r="AC17" s="19">
        <f>'抽奖|MoonBless'!DR17</f>
        <v>1206</v>
      </c>
    </row>
    <row r="18" spans="1:29" x14ac:dyDescent="0.25">
      <c r="X18" s="10" t="str">
        <f>'抽奖|MoonBless'!DN18</f>
        <v>2元话费卡</v>
      </c>
      <c r="Y18" s="11">
        <f>'抽奖|MoonBless'!DO18</f>
        <v>2</v>
      </c>
      <c r="Z18" s="11">
        <f>'抽奖|MoonBless'!DP18</f>
        <v>40</v>
      </c>
      <c r="AA18" s="11">
        <f t="shared" si="9"/>
        <v>400000</v>
      </c>
      <c r="AB18" s="11">
        <f>'抽奖|MoonBless'!DQ18</f>
        <v>2</v>
      </c>
      <c r="AC18" s="19">
        <f>'抽奖|MoonBless'!DR18</f>
        <v>1205</v>
      </c>
    </row>
    <row r="19" spans="1:29" x14ac:dyDescent="0.25">
      <c r="X19" s="13" t="str">
        <f>'抽奖|MoonBless'!DN19</f>
        <v>高压锅</v>
      </c>
      <c r="Y19" s="14">
        <f>'抽奖|MoonBless'!DO19</f>
        <v>200</v>
      </c>
      <c r="Z19" s="14">
        <f>'抽奖|MoonBless'!DP19</f>
        <v>4000</v>
      </c>
      <c r="AA19" s="11">
        <f t="shared" si="9"/>
        <v>40000000</v>
      </c>
      <c r="AB19" s="14">
        <f>'抽奖|MoonBless'!DQ19</f>
        <v>2</v>
      </c>
      <c r="AC19" s="21">
        <f>'抽奖|MoonBless'!DR19</f>
        <v>1208</v>
      </c>
    </row>
    <row r="20" spans="1:29" x14ac:dyDescent="0.25">
      <c r="X20" s="1" t="str">
        <f>'抽奖|MoonBless'!DN20</f>
        <v>30元话费卡</v>
      </c>
      <c r="Y20" s="1">
        <f>'抽奖|MoonBless'!DO20</f>
        <v>30</v>
      </c>
      <c r="Z20" s="1">
        <f>'抽奖|MoonBless'!DP20</f>
        <v>600</v>
      </c>
      <c r="AA20" s="11">
        <f t="shared" si="9"/>
        <v>6000000</v>
      </c>
      <c r="AB20" s="1">
        <f>'抽奖|MoonBless'!DQ20</f>
        <v>2</v>
      </c>
      <c r="AC20" s="1">
        <f>'抽奖|MoonBless'!DR20</f>
        <v>1209</v>
      </c>
    </row>
    <row r="21" spans="1:29" x14ac:dyDescent="0.25">
      <c r="X21" s="1" t="str">
        <f>'抽奖|MoonBless'!DN21</f>
        <v>50元话费卡</v>
      </c>
      <c r="Y21" s="1">
        <f>'抽奖|MoonBless'!DO21</f>
        <v>50</v>
      </c>
      <c r="Z21" s="1">
        <f>'抽奖|MoonBless'!DP21</f>
        <v>1000</v>
      </c>
      <c r="AA21" s="11">
        <f t="shared" si="9"/>
        <v>10000000</v>
      </c>
      <c r="AB21" s="1">
        <f>'抽奖|MoonBless'!DQ21</f>
        <v>2</v>
      </c>
      <c r="AC21" s="1">
        <f>'抽奖|MoonBless'!DR21</f>
        <v>1210</v>
      </c>
    </row>
    <row r="22" spans="1:29" ht="16.2" x14ac:dyDescent="0.25">
      <c r="A22" s="109"/>
      <c r="X22" s="1" t="str">
        <f>'抽奖|MoonBless'!DN22</f>
        <v>活跃度</v>
      </c>
      <c r="Y22" s="1">
        <f>'抽奖|MoonBless'!DO22</f>
        <v>1</v>
      </c>
      <c r="Z22" s="1">
        <f>'抽奖|MoonBless'!DP22</f>
        <v>20</v>
      </c>
      <c r="AA22" s="11">
        <f t="shared" si="9"/>
        <v>200000</v>
      </c>
      <c r="AB22" s="1">
        <f>'抽奖|MoonBless'!DQ22</f>
        <v>1</v>
      </c>
      <c r="AC22" s="1">
        <f>'抽奖|MoonBless'!DR22</f>
        <v>6</v>
      </c>
    </row>
    <row r="23" spans="1:29" x14ac:dyDescent="0.25">
      <c r="X23" s="1" t="str">
        <f>'抽奖|MoonBless'!DN23</f>
        <v>红包【恭】</v>
      </c>
      <c r="Y23" s="1">
        <f>'抽奖|MoonBless'!DO23</f>
        <v>1</v>
      </c>
      <c r="Z23" s="1">
        <f>'抽奖|MoonBless'!DP23</f>
        <v>20</v>
      </c>
      <c r="AA23" s="11">
        <f t="shared" si="9"/>
        <v>200000</v>
      </c>
      <c r="AB23" s="1">
        <f>'抽奖|MoonBless'!DQ23</f>
        <v>2</v>
      </c>
      <c r="AC23" s="1">
        <f>'抽奖|MoonBless'!DR23</f>
        <v>1301</v>
      </c>
    </row>
    <row r="24" spans="1:29" x14ac:dyDescent="0.25">
      <c r="X24" s="1" t="str">
        <f>'抽奖|MoonBless'!DN24</f>
        <v>红包【喜】</v>
      </c>
      <c r="Y24" s="1">
        <f>'抽奖|MoonBless'!DO24</f>
        <v>1</v>
      </c>
      <c r="Z24" s="1">
        <f>'抽奖|MoonBless'!DP24</f>
        <v>20</v>
      </c>
      <c r="AA24" s="11">
        <f t="shared" si="9"/>
        <v>200000</v>
      </c>
      <c r="AB24" s="1">
        <f>'抽奖|MoonBless'!DQ24</f>
        <v>2</v>
      </c>
      <c r="AC24" s="1">
        <f>'抽奖|MoonBless'!DR24</f>
        <v>1302</v>
      </c>
    </row>
    <row r="25" spans="1:29" x14ac:dyDescent="0.25">
      <c r="X25" s="1" t="str">
        <f>'抽奖|MoonBless'!DN25</f>
        <v>红包【发】</v>
      </c>
      <c r="Y25" s="1">
        <f>'抽奖|MoonBless'!DO25</f>
        <v>1</v>
      </c>
      <c r="Z25" s="1">
        <f>'抽奖|MoonBless'!DP25</f>
        <v>20</v>
      </c>
      <c r="AA25" s="11">
        <f t="shared" si="9"/>
        <v>200000</v>
      </c>
      <c r="AB25" s="1">
        <f>'抽奖|MoonBless'!DQ25</f>
        <v>2</v>
      </c>
      <c r="AC25" s="1">
        <f>'抽奖|MoonBless'!DR25</f>
        <v>1303</v>
      </c>
    </row>
    <row r="26" spans="1:29" x14ac:dyDescent="0.25">
      <c r="X26" s="1" t="str">
        <f>'抽奖|MoonBless'!DN26</f>
        <v>红包【财】</v>
      </c>
      <c r="Y26" s="1">
        <f>'抽奖|MoonBless'!DO26</f>
        <v>1</v>
      </c>
      <c r="Z26" s="1">
        <f>'抽奖|MoonBless'!DP26</f>
        <v>20</v>
      </c>
      <c r="AA26" s="11">
        <f t="shared" si="9"/>
        <v>200000</v>
      </c>
      <c r="AB26" s="1">
        <f>'抽奖|MoonBless'!DQ26</f>
        <v>2</v>
      </c>
      <c r="AC26" s="1">
        <f>'抽奖|MoonBless'!DR26</f>
        <v>1304</v>
      </c>
    </row>
    <row r="27" spans="1:29" x14ac:dyDescent="0.25">
      <c r="X27" s="1" t="str">
        <f>'抽奖|MoonBless'!DN27</f>
        <v>双轮</v>
      </c>
      <c r="Y27" s="1">
        <f>'抽奖|MoonBless'!DO27</f>
        <v>30</v>
      </c>
      <c r="Z27" s="1">
        <f>'抽奖|MoonBless'!DP27</f>
        <v>600</v>
      </c>
      <c r="AA27" s="11">
        <f t="shared" si="9"/>
        <v>6000000</v>
      </c>
      <c r="AB27" s="1">
        <f>'抽奖|MoonBless'!DQ27</f>
        <v>2</v>
      </c>
      <c r="AC27" s="1">
        <f>'抽奖|MoonBless'!DR27</f>
        <v>1500</v>
      </c>
    </row>
  </sheetData>
  <phoneticPr fontId="64" type="noConversion"/>
  <conditionalFormatting sqref="C2">
    <cfRule type="cellIs" dxfId="406" priority="54" operator="greaterThan">
      <formula>0</formula>
    </cfRule>
    <cfRule type="cellIs" dxfId="405" priority="55" operator="greaterThan">
      <formula>0</formula>
    </cfRule>
    <cfRule type="cellIs" dxfId="404" priority="56" operator="greaterThan">
      <formula>0</formula>
    </cfRule>
    <cfRule type="containsText" dxfId="403" priority="57" operator="containsText" text=" ">
      <formula>NOT(ISERROR(SEARCH(" ",C2)))</formula>
    </cfRule>
  </conditionalFormatting>
  <conditionalFormatting sqref="V7">
    <cfRule type="containsText" dxfId="402" priority="84" operator="containsText" text=" ">
      <formula>NOT(ISERROR(SEARCH(" ",V7)))</formula>
    </cfRule>
  </conditionalFormatting>
  <conditionalFormatting sqref="AC12">
    <cfRule type="containsText" dxfId="401" priority="106" operator="containsText" text=" ">
      <formula>NOT(ISERROR(SEARCH(" ",AC12)))</formula>
    </cfRule>
  </conditionalFormatting>
  <conditionalFormatting sqref="X17:Y17">
    <cfRule type="containsText" dxfId="400" priority="103" operator="containsText" text=" ">
      <formula>NOT(ISERROR(SEARCH(" ",X17)))</formula>
    </cfRule>
  </conditionalFormatting>
  <conditionalFormatting sqref="X18:Y18">
    <cfRule type="containsText" dxfId="399" priority="102" operator="containsText" text=" ">
      <formula>NOT(ISERROR(SEARCH(" ",X18)))</formula>
    </cfRule>
  </conditionalFormatting>
  <conditionalFormatting sqref="AC19">
    <cfRule type="containsText" dxfId="398" priority="101" operator="containsText" text=" ">
      <formula>NOT(ISERROR(SEARCH(" ",AC19)))</formula>
    </cfRule>
  </conditionalFormatting>
  <conditionalFormatting sqref="B5:B27">
    <cfRule type="containsText" dxfId="397" priority="96" operator="containsText" text=" ">
      <formula>NOT(ISERROR(SEARCH(" ",B5)))</formula>
    </cfRule>
  </conditionalFormatting>
  <conditionalFormatting sqref="C5:C1048576">
    <cfRule type="cellIs" dxfId="396" priority="90" operator="greaterThan">
      <formula>0</formula>
    </cfRule>
    <cfRule type="cellIs" dxfId="395" priority="91" operator="greaterThan">
      <formula>0</formula>
    </cfRule>
    <cfRule type="cellIs" dxfId="394" priority="95" operator="greaterThan">
      <formula>0</formula>
    </cfRule>
  </conditionalFormatting>
  <conditionalFormatting sqref="E5:E27">
    <cfRule type="cellIs" dxfId="393" priority="92" operator="equal">
      <formula>1</formula>
    </cfRule>
    <cfRule type="containsText" dxfId="392" priority="94" operator="containsText" text=" ">
      <formula>NOT(ISERROR(SEARCH(" ",E5)))</formula>
    </cfRule>
  </conditionalFormatting>
  <conditionalFormatting sqref="G5:G7">
    <cfRule type="cellIs" dxfId="391" priority="86" operator="equal">
      <formula>"狂暴"</formula>
    </cfRule>
    <cfRule type="cellIs" dxfId="390" priority="87" operator="equal">
      <formula>"锁定"</formula>
    </cfRule>
    <cfRule type="cellIs" dxfId="389" priority="88" operator="equal">
      <formula>"钻石"</formula>
    </cfRule>
    <cfRule type="cellIs" dxfId="388" priority="89" operator="equal">
      <formula>"金币"</formula>
    </cfRule>
    <cfRule type="containsText" dxfId="387" priority="99" operator="containsText" text=" ">
      <formula>NOT(ISERROR(SEARCH(" ",G5)))</formula>
    </cfRule>
  </conditionalFormatting>
  <conditionalFormatting sqref="J5:J7">
    <cfRule type="containsText" dxfId="386" priority="98" operator="containsText" text=" ">
      <formula>NOT(ISERROR(SEARCH(" ",J5)))</formula>
    </cfRule>
  </conditionalFormatting>
  <conditionalFormatting sqref="K5:K7">
    <cfRule type="containsText" dxfId="385" priority="4" operator="containsText" text=" ">
      <formula>NOT(ISERROR(SEARCH(" ",K5)))</formula>
    </cfRule>
  </conditionalFormatting>
  <conditionalFormatting sqref="L5:L7">
    <cfRule type="cellIs" dxfId="384" priority="21" operator="equal">
      <formula>"狂暴"</formula>
    </cfRule>
    <cfRule type="cellIs" dxfId="383" priority="22" operator="equal">
      <formula>"锁定"</formula>
    </cfRule>
    <cfRule type="cellIs" dxfId="382" priority="23" operator="equal">
      <formula>"钻石"</formula>
    </cfRule>
    <cfRule type="cellIs" dxfId="381" priority="24" operator="equal">
      <formula>"金币"</formula>
    </cfRule>
    <cfRule type="containsText" dxfId="380" priority="27" operator="containsText" text=" ">
      <formula>NOT(ISERROR(SEARCH(" ",L5)))</formula>
    </cfRule>
  </conditionalFormatting>
  <conditionalFormatting sqref="O5:O7">
    <cfRule type="containsText" dxfId="379" priority="26" operator="containsText" text=" ">
      <formula>NOT(ISERROR(SEARCH(" ",O5)))</formula>
    </cfRule>
  </conditionalFormatting>
  <conditionalFormatting sqref="P5:P7">
    <cfRule type="containsText" dxfId="378" priority="28" operator="containsText" text=" ">
      <formula>NOT(ISERROR(SEARCH(" ",P5)))</formula>
    </cfRule>
  </conditionalFormatting>
  <conditionalFormatting sqref="Q5:Q7">
    <cfRule type="cellIs" dxfId="377" priority="45" operator="equal">
      <formula>"狂暴"</formula>
    </cfRule>
    <cfRule type="cellIs" dxfId="376" priority="46" operator="equal">
      <formula>"锁定"</formula>
    </cfRule>
    <cfRule type="cellIs" dxfId="375" priority="47" operator="equal">
      <formula>"钻石"</formula>
    </cfRule>
    <cfRule type="cellIs" dxfId="374" priority="48" operator="equal">
      <formula>"金币"</formula>
    </cfRule>
    <cfRule type="containsText" dxfId="373" priority="51" operator="containsText" text=" ">
      <formula>NOT(ISERROR(SEARCH(" ",Q5)))</formula>
    </cfRule>
  </conditionalFormatting>
  <conditionalFormatting sqref="T5:T7">
    <cfRule type="containsText" dxfId="372" priority="50" operator="containsText" text=" ">
      <formula>NOT(ISERROR(SEARCH(" ",T5)))</formula>
    </cfRule>
  </conditionalFormatting>
  <conditionalFormatting sqref="U5:U7">
    <cfRule type="containsText" dxfId="371" priority="3" operator="containsText" text=" ">
      <formula>NOT(ISERROR(SEARCH(" ",U5)))</formula>
    </cfRule>
  </conditionalFormatting>
  <conditionalFormatting sqref="Z8:Z11">
    <cfRule type="containsText" dxfId="370" priority="107" operator="containsText" text=" ">
      <formula>NOT(ISERROR(SEARCH(" ",Z8)))</formula>
    </cfRule>
  </conditionalFormatting>
  <conditionalFormatting sqref="Z13:Z16">
    <cfRule type="containsText" dxfId="369" priority="104" operator="containsText" text=" ">
      <formula>NOT(ISERROR(SEARCH(" ",Z13)))</formula>
    </cfRule>
  </conditionalFormatting>
  <conditionalFormatting sqref="AC8:AC11">
    <cfRule type="containsText" dxfId="368" priority="108" operator="containsText" text=" ">
      <formula>NOT(ISERROR(SEARCH(" ",AC8)))</formula>
    </cfRule>
  </conditionalFormatting>
  <conditionalFormatting sqref="AC13:AC16">
    <cfRule type="containsText" dxfId="367" priority="105" operator="containsText" text=" ">
      <formula>NOT(ISERROR(SEARCH(" ",AC13)))</formula>
    </cfRule>
  </conditionalFormatting>
  <conditionalFormatting sqref="V6 D1:U3 A31:XFD1048576 A1:A27 A28:E30 V28:XFD30 F8:U30">
    <cfRule type="containsText" dxfId="366" priority="85" operator="containsText" text=" ">
      <formula>NOT(ISERROR(SEARCH(" ",A1)))</formula>
    </cfRule>
  </conditionalFormatting>
  <conditionalFormatting sqref="C5:D27 F5:F7 D4:F4 W6:W8 V8 V4:W5 V9:W27 AD4:XFD27 V1:XFD3">
    <cfRule type="containsText" dxfId="365" priority="114" operator="containsText" text=" ">
      <formula>NOT(ISERROR(SEARCH(" ",C1)))</formula>
    </cfRule>
  </conditionalFormatting>
  <conditionalFormatting sqref="C1 C3:C4">
    <cfRule type="cellIs" dxfId="364" priority="58" operator="greaterThan">
      <formula>0</formula>
    </cfRule>
    <cfRule type="cellIs" dxfId="363" priority="59" operator="greaterThan">
      <formula>0</formula>
    </cfRule>
    <cfRule type="cellIs" dxfId="362" priority="60" operator="greaterThan">
      <formula>0</formula>
    </cfRule>
    <cfRule type="containsText" dxfId="361" priority="61" operator="containsText" text=" ">
      <formula>NOT(ISERROR(SEARCH(" ",C1)))</formula>
    </cfRule>
  </conditionalFormatting>
  <conditionalFormatting sqref="Z17:Z18 X13:Y16 X12:Z12 X19:Z27 X8:Y11 X4:AC5 X6:Z7 AB6:AC7 AB20:AC27 AB8:AB16 AB17:AC18 AB19 AA6:AA27">
    <cfRule type="containsText" dxfId="360" priority="109" operator="containsText" text=" ">
      <formula>NOT(ISERROR(SEARCH(" ",X4)))</formula>
    </cfRule>
  </conditionalFormatting>
  <conditionalFormatting sqref="H5:I7">
    <cfRule type="containsText" dxfId="359" priority="100" operator="containsText" text=" ">
      <formula>NOT(ISERROR(SEARCH(" ",H5)))</formula>
    </cfRule>
  </conditionalFormatting>
  <conditionalFormatting sqref="M5:N7">
    <cfRule type="containsText" dxfId="358" priority="2" operator="containsText" text=" ">
      <formula>NOT(ISERROR(SEARCH(" ",M5)))</formula>
    </cfRule>
  </conditionalFormatting>
  <conditionalFormatting sqref="R5:S7">
    <cfRule type="containsText" dxfId="357" priority="1" operator="containsText" text=" ">
      <formula>NOT(ISERROR(SEARCH(" ",R5)))</formula>
    </cfRule>
  </conditionalFormatting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B48"/>
  <sheetViews>
    <sheetView workbookViewId="0">
      <pane xSplit="3" ySplit="4" topLeftCell="D17" activePane="bottomRight" state="frozen"/>
      <selection pane="topRight"/>
      <selection pane="bottomLeft"/>
      <selection pane="bottomRight" activeCell="L4" sqref="L4"/>
    </sheetView>
  </sheetViews>
  <sheetFormatPr defaultColWidth="9" defaultRowHeight="15.6" x14ac:dyDescent="0.25"/>
  <cols>
    <col min="1" max="1" width="9.88671875" style="1" customWidth="1"/>
    <col min="2" max="2" width="25.21875" style="1" customWidth="1"/>
    <col min="3" max="3" width="20.77734375" style="1" customWidth="1"/>
    <col min="4" max="4" width="20" style="1" customWidth="1"/>
    <col min="5" max="7" width="14.77734375" style="1" customWidth="1"/>
    <col min="8" max="8" width="26.44140625" style="1" customWidth="1"/>
    <col min="9" max="9" width="20.44140625" style="1" customWidth="1"/>
    <col min="10" max="11" width="17.44140625" style="1" customWidth="1"/>
    <col min="12" max="13" width="20.44140625" style="1" customWidth="1"/>
    <col min="14" max="14" width="11.88671875" style="1" customWidth="1"/>
    <col min="15" max="15" width="13.44140625" style="1" customWidth="1"/>
    <col min="16" max="16" width="15.88671875" style="1" customWidth="1"/>
    <col min="17" max="17" width="10.44140625" style="1" customWidth="1"/>
    <col min="18" max="20" width="14.6640625" style="1" customWidth="1"/>
    <col min="21" max="21" width="9" style="1"/>
    <col min="22" max="22" width="14" style="1" customWidth="1"/>
    <col min="23" max="23" width="19.88671875" style="1" customWidth="1"/>
    <col min="24" max="24" width="14" style="1" customWidth="1"/>
    <col min="25" max="26" width="11.21875" style="1" customWidth="1"/>
    <col min="27" max="27" width="12" style="1" customWidth="1"/>
    <col min="28" max="16384" width="9" style="1"/>
  </cols>
  <sheetData>
    <row r="1" spans="1:28" x14ac:dyDescent="0.4">
      <c r="A1" s="2" t="s">
        <v>0</v>
      </c>
      <c r="B1" s="2" t="s">
        <v>976</v>
      </c>
      <c r="C1" s="2" t="s">
        <v>0</v>
      </c>
      <c r="D1" s="96" t="s">
        <v>1</v>
      </c>
      <c r="E1" s="96" t="s">
        <v>1</v>
      </c>
      <c r="F1" s="96" t="s">
        <v>1</v>
      </c>
      <c r="G1" s="96" t="s">
        <v>1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88" t="s">
        <v>0</v>
      </c>
      <c r="P1" s="88" t="s">
        <v>976</v>
      </c>
      <c r="Q1" s="88" t="s">
        <v>0</v>
      </c>
      <c r="R1" s="88" t="s">
        <v>0</v>
      </c>
      <c r="S1" s="101" t="s">
        <v>0</v>
      </c>
      <c r="T1" s="101" t="s">
        <v>0</v>
      </c>
      <c r="U1" s="91" t="s">
        <v>0</v>
      </c>
      <c r="V1" s="91" t="s">
        <v>0</v>
      </c>
      <c r="W1" s="92" t="s">
        <v>0</v>
      </c>
      <c r="X1" s="92" t="s">
        <v>0</v>
      </c>
      <c r="Y1" s="2" t="s">
        <v>0</v>
      </c>
      <c r="Z1" s="2" t="s">
        <v>0</v>
      </c>
      <c r="AA1" s="2" t="s">
        <v>0</v>
      </c>
    </row>
    <row r="2" spans="1:28" x14ac:dyDescent="0.4">
      <c r="A2" s="2" t="s">
        <v>11</v>
      </c>
      <c r="B2" s="2" t="s">
        <v>12</v>
      </c>
      <c r="C2" s="2" t="s">
        <v>14</v>
      </c>
      <c r="D2" s="96" t="s">
        <v>14</v>
      </c>
      <c r="E2" s="96" t="s">
        <v>11</v>
      </c>
      <c r="F2" s="96" t="s">
        <v>11</v>
      </c>
      <c r="G2" s="96" t="s">
        <v>11</v>
      </c>
      <c r="H2" s="2" t="s">
        <v>14</v>
      </c>
      <c r="I2" s="2" t="s">
        <v>11</v>
      </c>
      <c r="J2" s="2" t="s">
        <v>11</v>
      </c>
      <c r="K2" s="2" t="s">
        <v>11</v>
      </c>
      <c r="L2" s="2" t="s">
        <v>11</v>
      </c>
      <c r="M2" s="2" t="s">
        <v>11</v>
      </c>
      <c r="N2" s="2" t="s">
        <v>14</v>
      </c>
      <c r="O2" s="88" t="s">
        <v>11</v>
      </c>
      <c r="P2" s="88" t="s">
        <v>11</v>
      </c>
      <c r="Q2" s="88" t="s">
        <v>11</v>
      </c>
      <c r="R2" s="88" t="s">
        <v>11</v>
      </c>
      <c r="S2" s="101" t="s">
        <v>11</v>
      </c>
      <c r="T2" s="101" t="s">
        <v>11</v>
      </c>
      <c r="U2" s="91" t="s">
        <v>11</v>
      </c>
      <c r="V2" s="91" t="s">
        <v>11</v>
      </c>
      <c r="W2" s="92" t="s">
        <v>14</v>
      </c>
      <c r="X2" s="92" t="s">
        <v>11</v>
      </c>
      <c r="Y2" s="2" t="s">
        <v>11</v>
      </c>
      <c r="Z2" s="2" t="s">
        <v>11</v>
      </c>
      <c r="AA2" s="2" t="s">
        <v>11</v>
      </c>
      <c r="AB2" s="1" t="s">
        <v>2143</v>
      </c>
    </row>
    <row r="3" spans="1:28" x14ac:dyDescent="0.4">
      <c r="A3" s="2" t="s">
        <v>2120</v>
      </c>
      <c r="B3" s="2" t="s">
        <v>1437</v>
      </c>
      <c r="C3" s="2" t="s">
        <v>2144</v>
      </c>
      <c r="D3" s="96" t="s">
        <v>2145</v>
      </c>
      <c r="E3" s="96" t="s">
        <v>2146</v>
      </c>
      <c r="F3" s="96" t="s">
        <v>2147</v>
      </c>
      <c r="G3" s="96" t="s">
        <v>2148</v>
      </c>
      <c r="H3" s="2" t="s">
        <v>2149</v>
      </c>
      <c r="I3" s="2" t="s">
        <v>2150</v>
      </c>
      <c r="J3" s="2" t="s">
        <v>2151</v>
      </c>
      <c r="K3" s="2" t="s">
        <v>2152</v>
      </c>
      <c r="L3" s="2" t="s">
        <v>2153</v>
      </c>
      <c r="M3" s="2" t="s">
        <v>2154</v>
      </c>
      <c r="N3" s="2" t="s">
        <v>2155</v>
      </c>
      <c r="O3" s="88" t="s">
        <v>2156</v>
      </c>
      <c r="P3" s="88" t="s">
        <v>2157</v>
      </c>
      <c r="Q3" s="88" t="s">
        <v>2158</v>
      </c>
      <c r="R3" s="88" t="s">
        <v>2159</v>
      </c>
      <c r="S3" s="101" t="s">
        <v>2160</v>
      </c>
      <c r="T3" s="101" t="s">
        <v>2161</v>
      </c>
      <c r="U3" s="91" t="s">
        <v>2162</v>
      </c>
      <c r="V3" s="91" t="s">
        <v>2163</v>
      </c>
      <c r="W3" s="92" t="s">
        <v>2164</v>
      </c>
      <c r="X3" s="92" t="s">
        <v>2165</v>
      </c>
      <c r="Y3" s="2" t="s">
        <v>2166</v>
      </c>
      <c r="Z3" s="2" t="s">
        <v>2167</v>
      </c>
      <c r="AA3" s="2" t="s">
        <v>1816</v>
      </c>
    </row>
    <row r="4" spans="1:28" s="69" customFormat="1" ht="171.6" x14ac:dyDescent="0.25">
      <c r="A4" s="60" t="s">
        <v>2168</v>
      </c>
      <c r="B4" s="89" t="s">
        <v>2169</v>
      </c>
      <c r="C4" s="60" t="s">
        <v>2170</v>
      </c>
      <c r="D4" s="97" t="s">
        <v>2171</v>
      </c>
      <c r="E4" s="97" t="s">
        <v>2172</v>
      </c>
      <c r="F4" s="97" t="s">
        <v>112</v>
      </c>
      <c r="G4" s="97" t="s">
        <v>2173</v>
      </c>
      <c r="H4" s="60" t="s">
        <v>2174</v>
      </c>
      <c r="I4" s="60" t="s">
        <v>2175</v>
      </c>
      <c r="J4" s="60" t="s">
        <v>2176</v>
      </c>
      <c r="K4" s="60" t="s">
        <v>2177</v>
      </c>
      <c r="L4" s="60" t="s">
        <v>2452</v>
      </c>
      <c r="M4" s="60" t="s">
        <v>2178</v>
      </c>
      <c r="N4" s="89" t="s">
        <v>2179</v>
      </c>
      <c r="O4" s="90" t="s">
        <v>2180</v>
      </c>
      <c r="P4" s="90" t="s">
        <v>2181</v>
      </c>
      <c r="Q4" s="90" t="s">
        <v>2182</v>
      </c>
      <c r="R4" s="90" t="s">
        <v>2183</v>
      </c>
      <c r="S4" s="102" t="s">
        <v>2184</v>
      </c>
      <c r="T4" s="102" t="s">
        <v>2185</v>
      </c>
      <c r="U4" s="93" t="s">
        <v>2186</v>
      </c>
      <c r="V4" s="93" t="s">
        <v>2187</v>
      </c>
      <c r="W4" s="94" t="s">
        <v>2188</v>
      </c>
      <c r="X4" s="94" t="s">
        <v>2189</v>
      </c>
      <c r="Y4" s="60" t="s">
        <v>2190</v>
      </c>
      <c r="Z4" s="105" t="s">
        <v>2191</v>
      </c>
      <c r="AA4" s="60" t="s">
        <v>2192</v>
      </c>
      <c r="AB4" s="65" t="s">
        <v>2193</v>
      </c>
    </row>
    <row r="5" spans="1:28" x14ac:dyDescent="0.25">
      <c r="A5" s="1">
        <v>1</v>
      </c>
      <c r="B5" s="1" t="s">
        <v>2194</v>
      </c>
      <c r="C5" s="1" t="s">
        <v>2195</v>
      </c>
      <c r="D5" s="1" t="s">
        <v>1369</v>
      </c>
      <c r="E5" s="1">
        <v>10000</v>
      </c>
      <c r="F5" s="1">
        <v>0</v>
      </c>
      <c r="G5" s="1">
        <v>1</v>
      </c>
      <c r="H5" s="1" t="s">
        <v>2196</v>
      </c>
      <c r="I5" s="1">
        <v>0</v>
      </c>
      <c r="L5" s="1">
        <v>0</v>
      </c>
      <c r="N5" s="1">
        <v>-1</v>
      </c>
      <c r="O5" s="1">
        <v>-1</v>
      </c>
      <c r="P5" s="1">
        <v>0</v>
      </c>
      <c r="Q5" s="1">
        <v>0</v>
      </c>
      <c r="R5" s="1">
        <v>-1</v>
      </c>
      <c r="S5" s="1">
        <v>-1</v>
      </c>
      <c r="T5" s="1">
        <v>-1</v>
      </c>
      <c r="U5" s="1">
        <v>0</v>
      </c>
      <c r="V5" s="1">
        <v>-1</v>
      </c>
      <c r="X5" s="1">
        <v>-1</v>
      </c>
      <c r="Y5" s="1">
        <v>0</v>
      </c>
      <c r="Z5" s="1">
        <v>1</v>
      </c>
      <c r="AA5" s="1">
        <v>-1</v>
      </c>
    </row>
    <row r="6" spans="1:28" x14ac:dyDescent="0.25">
      <c r="A6" s="1">
        <v>2</v>
      </c>
      <c r="B6" s="1" t="s">
        <v>2197</v>
      </c>
      <c r="C6" s="1" t="s">
        <v>2198</v>
      </c>
      <c r="D6" s="1" t="s">
        <v>177</v>
      </c>
      <c r="E6" s="1">
        <v>1</v>
      </c>
      <c r="F6" s="1">
        <v>1</v>
      </c>
      <c r="G6" s="1">
        <v>0</v>
      </c>
      <c r="H6" s="1" t="s">
        <v>2199</v>
      </c>
      <c r="I6" s="1">
        <v>0</v>
      </c>
      <c r="L6" s="1">
        <v>0</v>
      </c>
      <c r="N6" s="1">
        <v>-1</v>
      </c>
      <c r="O6" s="1">
        <v>-1</v>
      </c>
      <c r="P6" s="1">
        <v>0</v>
      </c>
      <c r="Q6" s="1">
        <v>0</v>
      </c>
      <c r="R6" s="1">
        <v>-1</v>
      </c>
      <c r="S6" s="1">
        <v>-1</v>
      </c>
      <c r="T6" s="1">
        <v>-1</v>
      </c>
      <c r="U6" s="1">
        <v>0</v>
      </c>
      <c r="V6" s="1">
        <v>-1</v>
      </c>
      <c r="X6" s="1">
        <v>-1</v>
      </c>
      <c r="Y6" s="1">
        <v>0</v>
      </c>
      <c r="Z6" s="1">
        <v>1</v>
      </c>
      <c r="AA6" s="1">
        <v>-1</v>
      </c>
    </row>
    <row r="7" spans="1:28" x14ac:dyDescent="0.25">
      <c r="A7" s="1">
        <v>3</v>
      </c>
      <c r="B7" s="1" t="s">
        <v>2200</v>
      </c>
      <c r="C7" s="1" t="s">
        <v>2201</v>
      </c>
      <c r="D7" s="1" t="s">
        <v>2202</v>
      </c>
      <c r="E7" s="1">
        <v>0</v>
      </c>
      <c r="F7" s="1">
        <v>0</v>
      </c>
      <c r="G7" s="1">
        <v>0</v>
      </c>
      <c r="I7" s="1">
        <v>0</v>
      </c>
      <c r="L7" s="1">
        <v>0</v>
      </c>
      <c r="N7" s="1">
        <v>-1</v>
      </c>
      <c r="O7" s="1">
        <v>-1</v>
      </c>
      <c r="P7" s="1">
        <v>0</v>
      </c>
      <c r="Q7" s="1">
        <v>0</v>
      </c>
      <c r="R7" s="1">
        <v>-1</v>
      </c>
      <c r="S7" s="1">
        <v>-1</v>
      </c>
      <c r="T7" s="1">
        <v>-1</v>
      </c>
      <c r="U7" s="1">
        <v>0</v>
      </c>
      <c r="V7" s="1">
        <v>-1</v>
      </c>
      <c r="X7" s="1">
        <v>-1</v>
      </c>
      <c r="Y7" s="1">
        <v>0</v>
      </c>
      <c r="Z7" s="1">
        <v>1</v>
      </c>
      <c r="AA7" s="1">
        <v>-1</v>
      </c>
    </row>
    <row r="8" spans="1:28" x14ac:dyDescent="0.25">
      <c r="A8" s="1">
        <v>4</v>
      </c>
      <c r="B8" s="1" t="s">
        <v>2203</v>
      </c>
      <c r="C8" s="1" t="s">
        <v>2204</v>
      </c>
      <c r="D8" s="1" t="s">
        <v>2205</v>
      </c>
      <c r="E8" s="1">
        <v>0</v>
      </c>
      <c r="F8" s="1">
        <v>0</v>
      </c>
      <c r="G8" s="1">
        <v>0</v>
      </c>
      <c r="I8" s="1">
        <v>0</v>
      </c>
      <c r="L8" s="1">
        <v>0</v>
      </c>
      <c r="N8" s="1">
        <v>-1</v>
      </c>
      <c r="O8" s="1">
        <v>-1</v>
      </c>
      <c r="P8" s="1">
        <v>0</v>
      </c>
      <c r="Q8" s="1">
        <v>0</v>
      </c>
      <c r="R8" s="1">
        <v>-1</v>
      </c>
      <c r="S8" s="1">
        <v>-1</v>
      </c>
      <c r="T8" s="1">
        <v>-1</v>
      </c>
      <c r="U8" s="1">
        <v>0</v>
      </c>
      <c r="V8" s="1">
        <v>-1</v>
      </c>
      <c r="X8" s="1">
        <v>-1</v>
      </c>
      <c r="Y8" s="1">
        <v>0</v>
      </c>
      <c r="Z8" s="1">
        <v>1</v>
      </c>
      <c r="AA8" s="1">
        <v>-1</v>
      </c>
    </row>
    <row r="9" spans="1:28" x14ac:dyDescent="0.25">
      <c r="A9" s="1">
        <v>5</v>
      </c>
      <c r="B9" s="1" t="s">
        <v>2206</v>
      </c>
      <c r="C9" s="1" t="s">
        <v>2201</v>
      </c>
      <c r="D9" s="1" t="s">
        <v>2207</v>
      </c>
      <c r="E9" s="1">
        <v>0</v>
      </c>
      <c r="F9" s="1">
        <v>0</v>
      </c>
      <c r="G9" s="1">
        <v>0</v>
      </c>
      <c r="I9" s="1">
        <v>0</v>
      </c>
      <c r="L9" s="1">
        <v>0</v>
      </c>
      <c r="N9" s="1">
        <v>-1</v>
      </c>
      <c r="O9" s="1">
        <v>-1</v>
      </c>
      <c r="P9" s="1">
        <v>0</v>
      </c>
      <c r="Q9" s="1">
        <v>0</v>
      </c>
      <c r="R9" s="1">
        <v>-1</v>
      </c>
      <c r="S9" s="1">
        <v>-1</v>
      </c>
      <c r="T9" s="1">
        <v>-1</v>
      </c>
      <c r="U9" s="1">
        <v>0</v>
      </c>
      <c r="V9" s="1">
        <v>-1</v>
      </c>
      <c r="X9" s="1">
        <v>-1</v>
      </c>
      <c r="Y9" s="1">
        <v>0</v>
      </c>
      <c r="Z9" s="1">
        <v>1</v>
      </c>
      <c r="AA9" s="1">
        <v>-1</v>
      </c>
    </row>
    <row r="10" spans="1:28" x14ac:dyDescent="0.25">
      <c r="A10" s="1">
        <v>6</v>
      </c>
      <c r="B10" s="1" t="s">
        <v>2208</v>
      </c>
      <c r="C10" s="1" t="s">
        <v>2209</v>
      </c>
      <c r="D10" s="1" t="s">
        <v>1980</v>
      </c>
      <c r="E10" s="1">
        <v>0</v>
      </c>
      <c r="F10" s="1">
        <v>0</v>
      </c>
      <c r="G10" s="1">
        <v>0</v>
      </c>
      <c r="H10" s="1" t="s">
        <v>2210</v>
      </c>
      <c r="I10" s="1">
        <v>0</v>
      </c>
      <c r="L10" s="1">
        <v>0</v>
      </c>
      <c r="N10" s="1">
        <v>-1</v>
      </c>
      <c r="O10" s="1">
        <v>-1</v>
      </c>
      <c r="P10" s="1">
        <v>0</v>
      </c>
      <c r="Q10" s="1">
        <v>0</v>
      </c>
      <c r="R10" s="1">
        <v>-1</v>
      </c>
      <c r="S10" s="1">
        <v>-1</v>
      </c>
      <c r="T10" s="1">
        <v>-1</v>
      </c>
      <c r="U10" s="1">
        <v>0</v>
      </c>
      <c r="V10" s="1">
        <v>-1</v>
      </c>
      <c r="X10" s="1">
        <v>-1</v>
      </c>
      <c r="Y10" s="1">
        <v>0</v>
      </c>
      <c r="Z10" s="1">
        <v>1</v>
      </c>
      <c r="AA10" s="1">
        <v>-1</v>
      </c>
    </row>
    <row r="11" spans="1:28" x14ac:dyDescent="0.35">
      <c r="A11" s="1">
        <v>7</v>
      </c>
      <c r="C11" s="98" t="s">
        <v>1441</v>
      </c>
      <c r="D11" s="1" t="s">
        <v>2211</v>
      </c>
      <c r="E11" s="1">
        <v>300</v>
      </c>
      <c r="F11" s="1">
        <v>0</v>
      </c>
      <c r="G11" s="1">
        <v>0</v>
      </c>
      <c r="H11" s="1" t="s">
        <v>2212</v>
      </c>
      <c r="I11" s="1">
        <v>5</v>
      </c>
      <c r="L11" s="1">
        <v>0</v>
      </c>
      <c r="N11" s="1">
        <v>3</v>
      </c>
      <c r="O11" s="1">
        <v>-1</v>
      </c>
      <c r="P11" s="1">
        <v>0</v>
      </c>
      <c r="Q11" s="1">
        <v>0</v>
      </c>
      <c r="R11" s="1">
        <v>-1</v>
      </c>
      <c r="S11" s="1">
        <v>-1</v>
      </c>
      <c r="T11" s="1">
        <v>-1</v>
      </c>
      <c r="U11" s="1">
        <v>0</v>
      </c>
      <c r="V11" s="1">
        <v>-1</v>
      </c>
      <c r="X11" s="1">
        <v>-1</v>
      </c>
      <c r="Y11" s="1">
        <v>0</v>
      </c>
      <c r="Z11" s="1">
        <v>1</v>
      </c>
      <c r="AA11" s="1">
        <v>1</v>
      </c>
    </row>
    <row r="12" spans="1:28" x14ac:dyDescent="0.35">
      <c r="A12" s="1">
        <v>1001</v>
      </c>
      <c r="B12" s="1" t="s">
        <v>2213</v>
      </c>
      <c r="C12" s="98" t="s">
        <v>1441</v>
      </c>
      <c r="D12" s="1" t="s">
        <v>1401</v>
      </c>
      <c r="E12" s="1">
        <v>20000</v>
      </c>
      <c r="F12" s="1">
        <v>0</v>
      </c>
      <c r="G12" s="1">
        <f>U12</f>
        <v>2</v>
      </c>
      <c r="H12" s="98" t="s">
        <v>2214</v>
      </c>
      <c r="I12" s="1">
        <v>1</v>
      </c>
      <c r="L12" s="1">
        <v>0</v>
      </c>
      <c r="N12" s="1" t="s">
        <v>1743</v>
      </c>
      <c r="O12" s="1">
        <v>30</v>
      </c>
      <c r="P12" s="1">
        <v>10</v>
      </c>
      <c r="Q12" s="1">
        <v>2</v>
      </c>
      <c r="R12" s="1">
        <v>30</v>
      </c>
      <c r="S12" s="1">
        <v>3000</v>
      </c>
      <c r="T12" s="1">
        <v>1000</v>
      </c>
      <c r="U12" s="1">
        <v>2</v>
      </c>
      <c r="V12" s="1">
        <v>100</v>
      </c>
      <c r="X12" s="1">
        <v>-1</v>
      </c>
      <c r="Y12" s="1">
        <v>1</v>
      </c>
      <c r="Z12" s="1">
        <v>1</v>
      </c>
      <c r="AA12" s="1">
        <v>999</v>
      </c>
    </row>
    <row r="13" spans="1:28" x14ac:dyDescent="0.35">
      <c r="A13" s="1">
        <v>1002</v>
      </c>
      <c r="B13" s="1" t="s">
        <v>2215</v>
      </c>
      <c r="C13" s="98" t="s">
        <v>2216</v>
      </c>
      <c r="D13" s="1" t="s">
        <v>1402</v>
      </c>
      <c r="E13" s="1">
        <v>50000</v>
      </c>
      <c r="F13" s="1">
        <v>0</v>
      </c>
      <c r="G13" s="1">
        <f t="shared" ref="G13:G16" si="0">U13</f>
        <v>5</v>
      </c>
      <c r="H13" s="98" t="s">
        <v>2217</v>
      </c>
      <c r="I13" s="1">
        <v>2</v>
      </c>
      <c r="L13" s="1">
        <v>0</v>
      </c>
      <c r="N13" s="1" t="s">
        <v>1743</v>
      </c>
      <c r="O13" s="1">
        <v>30</v>
      </c>
      <c r="P13" s="1">
        <v>10</v>
      </c>
      <c r="Q13" s="1">
        <v>2</v>
      </c>
      <c r="R13" s="1">
        <v>30</v>
      </c>
      <c r="S13" s="1">
        <v>3000</v>
      </c>
      <c r="T13" s="1">
        <v>1000</v>
      </c>
      <c r="U13" s="1">
        <v>5</v>
      </c>
      <c r="V13" s="1">
        <v>50</v>
      </c>
      <c r="X13" s="1">
        <v>-1</v>
      </c>
      <c r="Y13" s="1">
        <v>1</v>
      </c>
      <c r="Z13" s="1">
        <v>1</v>
      </c>
      <c r="AA13" s="1">
        <v>999</v>
      </c>
    </row>
    <row r="14" spans="1:28" x14ac:dyDescent="0.35">
      <c r="A14" s="1">
        <v>1003</v>
      </c>
      <c r="B14" s="1" t="s">
        <v>2218</v>
      </c>
      <c r="C14" s="98" t="s">
        <v>2219</v>
      </c>
      <c r="D14" s="1" t="s">
        <v>1406</v>
      </c>
      <c r="E14" s="1">
        <v>200000</v>
      </c>
      <c r="F14" s="1">
        <v>0</v>
      </c>
      <c r="G14" s="1">
        <f t="shared" si="0"/>
        <v>10</v>
      </c>
      <c r="H14" s="98" t="s">
        <v>2220</v>
      </c>
      <c r="I14" s="1">
        <v>3</v>
      </c>
      <c r="L14" s="1">
        <v>0</v>
      </c>
      <c r="N14" s="1">
        <v>2</v>
      </c>
      <c r="O14" s="1">
        <v>-1</v>
      </c>
      <c r="P14" s="1">
        <v>0</v>
      </c>
      <c r="Q14" s="1">
        <v>0</v>
      </c>
      <c r="R14" s="1">
        <v>-1</v>
      </c>
      <c r="S14" s="1">
        <v>-1</v>
      </c>
      <c r="T14" s="1">
        <v>-1</v>
      </c>
      <c r="U14" s="1">
        <v>10</v>
      </c>
      <c r="V14" s="1">
        <v>20</v>
      </c>
      <c r="X14" s="1">
        <v>-1</v>
      </c>
      <c r="Y14" s="1">
        <v>1</v>
      </c>
      <c r="Z14" s="1">
        <v>1</v>
      </c>
      <c r="AA14" s="1">
        <v>999</v>
      </c>
    </row>
    <row r="15" spans="1:28" x14ac:dyDescent="0.35">
      <c r="A15" s="1">
        <v>1004</v>
      </c>
      <c r="B15" s="1" t="s">
        <v>2221</v>
      </c>
      <c r="C15" s="98" t="s">
        <v>2222</v>
      </c>
      <c r="D15" s="1" t="s">
        <v>1405</v>
      </c>
      <c r="E15" s="1">
        <v>20000</v>
      </c>
      <c r="F15" s="1">
        <v>0</v>
      </c>
      <c r="G15" s="1">
        <f t="shared" si="0"/>
        <v>2</v>
      </c>
      <c r="H15" s="98" t="s">
        <v>2223</v>
      </c>
      <c r="I15" s="1">
        <v>4</v>
      </c>
      <c r="L15" s="1">
        <v>0</v>
      </c>
      <c r="N15" s="1" t="s">
        <v>1743</v>
      </c>
      <c r="O15" s="1">
        <v>30</v>
      </c>
      <c r="P15" s="1">
        <v>10</v>
      </c>
      <c r="Q15" s="1">
        <v>2</v>
      </c>
      <c r="R15" s="1">
        <v>30</v>
      </c>
      <c r="S15" s="1">
        <v>3000</v>
      </c>
      <c r="T15" s="1">
        <v>1000</v>
      </c>
      <c r="U15" s="1">
        <v>2</v>
      </c>
      <c r="V15" s="1">
        <v>100</v>
      </c>
      <c r="X15" s="1">
        <v>-1</v>
      </c>
      <c r="Y15" s="1">
        <v>1</v>
      </c>
      <c r="Z15" s="1">
        <v>1</v>
      </c>
      <c r="AA15" s="1">
        <v>999</v>
      </c>
    </row>
    <row r="16" spans="1:28" x14ac:dyDescent="0.35">
      <c r="A16" s="1">
        <v>1009</v>
      </c>
      <c r="B16" s="1" t="s">
        <v>2224</v>
      </c>
      <c r="C16" s="98" t="s">
        <v>2225</v>
      </c>
      <c r="D16" s="1" t="s">
        <v>2226</v>
      </c>
      <c r="E16" s="1">
        <v>20000</v>
      </c>
      <c r="F16" s="1">
        <v>0</v>
      </c>
      <c r="G16" s="1">
        <f t="shared" si="0"/>
        <v>20</v>
      </c>
      <c r="H16" t="s">
        <v>2227</v>
      </c>
      <c r="I16" s="1">
        <v>4</v>
      </c>
      <c r="L16" s="1">
        <v>1</v>
      </c>
      <c r="N16" s="1">
        <v>2</v>
      </c>
      <c r="O16" s="1">
        <v>-1</v>
      </c>
      <c r="P16" s="1">
        <v>0</v>
      </c>
      <c r="Q16" s="1">
        <v>0</v>
      </c>
      <c r="R16" s="1">
        <v>0</v>
      </c>
      <c r="S16" s="1">
        <v>-1</v>
      </c>
      <c r="T16" s="1">
        <v>-1</v>
      </c>
      <c r="U16" s="1">
        <v>20</v>
      </c>
      <c r="V16" s="1">
        <v>10</v>
      </c>
      <c r="X16" s="1">
        <v>-1</v>
      </c>
      <c r="Y16" s="1">
        <v>1</v>
      </c>
      <c r="Z16" s="1">
        <v>1</v>
      </c>
      <c r="AA16" s="1">
        <v>999</v>
      </c>
    </row>
    <row r="17" spans="1:27" x14ac:dyDescent="0.35">
      <c r="A17" s="1">
        <v>1005</v>
      </c>
      <c r="B17" s="1" t="s">
        <v>2228</v>
      </c>
      <c r="C17" s="98" t="s">
        <v>2229</v>
      </c>
      <c r="D17" s="1" t="s">
        <v>1640</v>
      </c>
      <c r="E17" s="99">
        <v>1000000</v>
      </c>
      <c r="F17" s="1">
        <f>E17</f>
        <v>1000000</v>
      </c>
      <c r="G17" s="1">
        <v>0</v>
      </c>
      <c r="H17" s="98" t="s">
        <v>2230</v>
      </c>
      <c r="I17" s="1">
        <v>10</v>
      </c>
      <c r="L17" s="1">
        <v>150</v>
      </c>
      <c r="N17" s="1" t="s">
        <v>2231</v>
      </c>
      <c r="O17" s="1">
        <v>5</v>
      </c>
      <c r="P17" s="1">
        <v>1</v>
      </c>
      <c r="Q17" s="1">
        <v>2</v>
      </c>
      <c r="R17" s="1">
        <v>5</v>
      </c>
      <c r="S17" s="1">
        <v>100</v>
      </c>
      <c r="T17" s="1">
        <v>30</v>
      </c>
      <c r="U17" s="1">
        <v>0</v>
      </c>
      <c r="V17" s="1">
        <v>-1</v>
      </c>
      <c r="W17" s="99" t="s">
        <v>1141</v>
      </c>
      <c r="X17" s="1">
        <v>1</v>
      </c>
      <c r="Y17" s="1">
        <v>1</v>
      </c>
      <c r="Z17" s="1">
        <v>1</v>
      </c>
      <c r="AA17" s="1">
        <v>999</v>
      </c>
    </row>
    <row r="18" spans="1:27" x14ac:dyDescent="0.35">
      <c r="A18" s="1">
        <v>1006</v>
      </c>
      <c r="B18" s="1" t="s">
        <v>2232</v>
      </c>
      <c r="C18" s="98" t="s">
        <v>2233</v>
      </c>
      <c r="D18" s="1" t="s">
        <v>1647</v>
      </c>
      <c r="E18" s="99">
        <v>2000000</v>
      </c>
      <c r="F18" s="1">
        <f t="shared" ref="F18:F39" si="1">E18</f>
        <v>2000000</v>
      </c>
      <c r="G18" s="1">
        <v>0</v>
      </c>
      <c r="H18" s="98" t="s">
        <v>2234</v>
      </c>
      <c r="I18" s="1">
        <v>10</v>
      </c>
      <c r="L18" s="1">
        <v>200</v>
      </c>
      <c r="N18" s="1" t="s">
        <v>2231</v>
      </c>
      <c r="O18" s="1">
        <v>5</v>
      </c>
      <c r="P18" s="1">
        <v>1</v>
      </c>
      <c r="Q18" s="1">
        <v>2</v>
      </c>
      <c r="R18" s="1">
        <v>5</v>
      </c>
      <c r="S18" s="1">
        <v>100</v>
      </c>
      <c r="T18" s="1">
        <v>30</v>
      </c>
      <c r="U18" s="1">
        <v>0</v>
      </c>
      <c r="V18" s="1">
        <v>-1</v>
      </c>
      <c r="W18" s="99" t="s">
        <v>1129</v>
      </c>
      <c r="X18" s="1">
        <v>1</v>
      </c>
      <c r="Y18" s="1">
        <v>1</v>
      </c>
      <c r="Z18" s="1">
        <v>1</v>
      </c>
      <c r="AA18" s="1">
        <v>999</v>
      </c>
    </row>
    <row r="19" spans="1:27" x14ac:dyDescent="0.35">
      <c r="A19" s="1">
        <v>1007</v>
      </c>
      <c r="B19" s="1" t="s">
        <v>2235</v>
      </c>
      <c r="C19" s="98" t="s">
        <v>2236</v>
      </c>
      <c r="D19" s="1" t="s">
        <v>1656</v>
      </c>
      <c r="E19" s="99">
        <v>5000000</v>
      </c>
      <c r="F19" s="1">
        <f t="shared" si="1"/>
        <v>5000000</v>
      </c>
      <c r="G19" s="1">
        <v>0</v>
      </c>
      <c r="H19" s="98" t="s">
        <v>2237</v>
      </c>
      <c r="I19" s="1">
        <v>10</v>
      </c>
      <c r="L19" s="1">
        <v>250</v>
      </c>
      <c r="N19" s="1" t="s">
        <v>2231</v>
      </c>
      <c r="O19" s="1">
        <v>5</v>
      </c>
      <c r="P19" s="1">
        <v>1</v>
      </c>
      <c r="Q19" s="1">
        <v>2</v>
      </c>
      <c r="R19" s="1">
        <v>5</v>
      </c>
      <c r="S19" s="1">
        <v>100</v>
      </c>
      <c r="T19" s="1">
        <v>30</v>
      </c>
      <c r="U19" s="1">
        <v>0</v>
      </c>
      <c r="V19" s="1">
        <v>-1</v>
      </c>
      <c r="W19" s="99" t="s">
        <v>1134</v>
      </c>
      <c r="X19" s="1">
        <v>1</v>
      </c>
      <c r="Y19" s="1">
        <v>1</v>
      </c>
      <c r="Z19" s="1">
        <v>1</v>
      </c>
      <c r="AA19" s="1">
        <v>999</v>
      </c>
    </row>
    <row r="20" spans="1:27" x14ac:dyDescent="0.35">
      <c r="A20" s="1">
        <v>1008</v>
      </c>
      <c r="B20" s="1" t="s">
        <v>2238</v>
      </c>
      <c r="C20" s="98" t="s">
        <v>2239</v>
      </c>
      <c r="D20" s="1" t="s">
        <v>1659</v>
      </c>
      <c r="E20" s="99">
        <v>10000000</v>
      </c>
      <c r="F20" s="1">
        <f t="shared" si="1"/>
        <v>10000000</v>
      </c>
      <c r="G20" s="1">
        <v>0</v>
      </c>
      <c r="H20" s="98" t="s">
        <v>2240</v>
      </c>
      <c r="I20" s="1">
        <v>10</v>
      </c>
      <c r="L20" s="1">
        <v>300</v>
      </c>
      <c r="N20" s="1" t="s">
        <v>2231</v>
      </c>
      <c r="O20" s="1">
        <v>5</v>
      </c>
      <c r="P20" s="1">
        <v>1</v>
      </c>
      <c r="Q20" s="1">
        <v>2</v>
      </c>
      <c r="R20" s="1">
        <v>5</v>
      </c>
      <c r="S20" s="1">
        <v>100</v>
      </c>
      <c r="T20" s="1">
        <v>30</v>
      </c>
      <c r="U20" s="1">
        <v>0</v>
      </c>
      <c r="V20" s="1">
        <v>-1</v>
      </c>
      <c r="W20" s="99" t="s">
        <v>1139</v>
      </c>
      <c r="X20" s="1">
        <v>1</v>
      </c>
      <c r="Y20" s="1">
        <v>1</v>
      </c>
      <c r="Z20" s="1">
        <v>1</v>
      </c>
      <c r="AA20" s="1">
        <v>999</v>
      </c>
    </row>
    <row r="21" spans="1:27" x14ac:dyDescent="0.25">
      <c r="A21" s="1">
        <v>1101</v>
      </c>
      <c r="C21" s="1" t="s">
        <v>2241</v>
      </c>
      <c r="D21" s="1" t="s">
        <v>2242</v>
      </c>
      <c r="E21" s="1">
        <v>0</v>
      </c>
      <c r="F21" s="1">
        <f t="shared" si="1"/>
        <v>0</v>
      </c>
      <c r="G21" s="1">
        <v>0</v>
      </c>
      <c r="H21" s="1" t="s">
        <v>2212</v>
      </c>
      <c r="I21" s="1">
        <v>5</v>
      </c>
      <c r="L21" s="1">
        <v>0</v>
      </c>
      <c r="N21" s="1">
        <v>4</v>
      </c>
      <c r="O21" s="1">
        <v>-1</v>
      </c>
      <c r="P21" s="1">
        <v>0</v>
      </c>
      <c r="Q21" s="1">
        <v>0</v>
      </c>
      <c r="R21" s="1">
        <v>-1</v>
      </c>
      <c r="S21" s="1">
        <v>-1</v>
      </c>
      <c r="T21" s="1">
        <v>-1</v>
      </c>
      <c r="U21" s="1">
        <v>0</v>
      </c>
      <c r="V21" s="1">
        <v>-1</v>
      </c>
      <c r="X21" s="1">
        <v>-1</v>
      </c>
      <c r="Y21" s="1">
        <v>0</v>
      </c>
      <c r="Z21" s="1">
        <v>1</v>
      </c>
      <c r="AA21" s="1">
        <v>1</v>
      </c>
    </row>
    <row r="22" spans="1:27" s="59" customFormat="1" x14ac:dyDescent="0.25">
      <c r="A22" s="59">
        <v>1202</v>
      </c>
      <c r="B22" s="59" t="s">
        <v>2243</v>
      </c>
      <c r="C22" s="59" t="s">
        <v>2244</v>
      </c>
      <c r="D22" s="59" t="s">
        <v>2245</v>
      </c>
      <c r="E22" s="59">
        <v>0</v>
      </c>
      <c r="F22" s="59">
        <f t="shared" si="1"/>
        <v>0</v>
      </c>
      <c r="G22" s="59">
        <v>0</v>
      </c>
      <c r="H22" s="59" t="s">
        <v>2246</v>
      </c>
      <c r="I22" s="59">
        <v>7</v>
      </c>
      <c r="L22" s="59">
        <v>5</v>
      </c>
      <c r="N22" s="59">
        <v>-1</v>
      </c>
      <c r="O22" s="59">
        <v>-1</v>
      </c>
      <c r="P22" s="59">
        <v>0</v>
      </c>
      <c r="Q22" s="59">
        <v>0</v>
      </c>
      <c r="R22" s="59">
        <v>-1</v>
      </c>
      <c r="S22" s="59">
        <v>-1</v>
      </c>
      <c r="T22" s="59">
        <v>-1</v>
      </c>
      <c r="U22" s="59">
        <v>0</v>
      </c>
      <c r="V22" s="59">
        <v>-1</v>
      </c>
      <c r="X22" s="59">
        <v>-1</v>
      </c>
      <c r="Y22" s="59">
        <v>0</v>
      </c>
      <c r="Z22" s="59">
        <v>1</v>
      </c>
      <c r="AA22" s="59">
        <v>-1</v>
      </c>
    </row>
    <row r="23" spans="1:27" x14ac:dyDescent="0.25">
      <c r="A23" s="1">
        <v>1204</v>
      </c>
      <c r="B23" s="1" t="s">
        <v>2247</v>
      </c>
      <c r="C23" s="1" t="s">
        <v>2248</v>
      </c>
      <c r="D23" s="1" t="s">
        <v>1372</v>
      </c>
      <c r="E23" s="1">
        <v>5000</v>
      </c>
      <c r="F23" s="1">
        <f t="shared" si="1"/>
        <v>5000</v>
      </c>
      <c r="G23" s="1">
        <v>0</v>
      </c>
      <c r="H23" s="1" t="s">
        <v>2249</v>
      </c>
      <c r="I23" s="1">
        <v>0</v>
      </c>
      <c r="L23" s="1">
        <v>0</v>
      </c>
      <c r="N23" s="1">
        <v>6</v>
      </c>
      <c r="O23" s="1">
        <v>-1</v>
      </c>
      <c r="P23" s="1">
        <v>0</v>
      </c>
      <c r="Q23" s="1">
        <v>0</v>
      </c>
      <c r="R23" s="1">
        <v>-1</v>
      </c>
      <c r="S23" s="1">
        <v>-1</v>
      </c>
      <c r="T23" s="1">
        <v>-1</v>
      </c>
      <c r="U23" s="1">
        <v>0</v>
      </c>
      <c r="V23" s="1">
        <v>-1</v>
      </c>
      <c r="X23" s="1">
        <v>-1</v>
      </c>
      <c r="Y23" s="1">
        <v>0</v>
      </c>
      <c r="Z23" s="1">
        <v>1</v>
      </c>
      <c r="AA23" s="1">
        <v>-1</v>
      </c>
    </row>
    <row r="24" spans="1:27" s="95" customFormat="1" x14ac:dyDescent="0.25">
      <c r="A24" s="95">
        <v>1213</v>
      </c>
      <c r="B24" s="95" t="s">
        <v>2250</v>
      </c>
      <c r="C24" s="95" t="s">
        <v>2251</v>
      </c>
      <c r="D24" s="1" t="s">
        <v>1988</v>
      </c>
      <c r="E24" s="99">
        <v>400000</v>
      </c>
      <c r="F24" s="1">
        <f t="shared" si="1"/>
        <v>400000</v>
      </c>
      <c r="G24" s="1">
        <v>0</v>
      </c>
      <c r="H24" s="95" t="s">
        <v>2252</v>
      </c>
      <c r="I24" s="95">
        <v>0</v>
      </c>
      <c r="L24" s="95">
        <v>0</v>
      </c>
      <c r="N24" s="95" t="s">
        <v>2253</v>
      </c>
      <c r="O24" s="95">
        <v>-1</v>
      </c>
      <c r="P24" s="95">
        <v>0</v>
      </c>
      <c r="Q24" s="95">
        <v>0</v>
      </c>
      <c r="R24" s="95">
        <v>-1</v>
      </c>
      <c r="S24" s="1">
        <v>-1</v>
      </c>
      <c r="T24" s="1">
        <v>-1</v>
      </c>
      <c r="U24" s="95">
        <v>0</v>
      </c>
      <c r="V24" s="95">
        <v>-1</v>
      </c>
      <c r="W24" s="99" t="s">
        <v>2254</v>
      </c>
      <c r="X24" s="95">
        <v>1</v>
      </c>
      <c r="Y24" s="95">
        <v>0</v>
      </c>
      <c r="Z24" s="1">
        <v>1</v>
      </c>
      <c r="AA24" s="95">
        <v>-1</v>
      </c>
    </row>
    <row r="25" spans="1:27" s="12" customFormat="1" x14ac:dyDescent="0.25">
      <c r="A25" s="12">
        <v>1211</v>
      </c>
      <c r="B25" s="12" t="s">
        <v>2255</v>
      </c>
      <c r="C25" s="12" t="s">
        <v>2256</v>
      </c>
      <c r="D25" s="1" t="s">
        <v>2257</v>
      </c>
      <c r="E25" s="99">
        <v>400000</v>
      </c>
      <c r="F25" s="1">
        <f t="shared" si="1"/>
        <v>400000</v>
      </c>
      <c r="G25" s="1">
        <v>0</v>
      </c>
      <c r="H25" s="12" t="s">
        <v>2258</v>
      </c>
      <c r="I25" s="12">
        <v>8</v>
      </c>
      <c r="L25" s="12">
        <v>1</v>
      </c>
      <c r="N25" s="12" t="s">
        <v>2134</v>
      </c>
      <c r="O25" s="12">
        <v>-1</v>
      </c>
      <c r="P25" s="12">
        <v>0</v>
      </c>
      <c r="Q25" s="12">
        <v>0</v>
      </c>
      <c r="R25" s="12">
        <v>-1</v>
      </c>
      <c r="S25" s="1">
        <v>-1</v>
      </c>
      <c r="T25" s="1">
        <v>-1</v>
      </c>
      <c r="U25" s="12">
        <v>0</v>
      </c>
      <c r="V25" s="12">
        <v>-1</v>
      </c>
      <c r="W25" s="99" t="s">
        <v>2254</v>
      </c>
      <c r="X25" s="12">
        <v>1</v>
      </c>
      <c r="Y25" s="12">
        <v>0</v>
      </c>
      <c r="Z25" s="1">
        <v>1</v>
      </c>
      <c r="AA25" s="12">
        <v>999</v>
      </c>
    </row>
    <row r="26" spans="1:27" x14ac:dyDescent="0.25">
      <c r="A26" s="1">
        <v>1205</v>
      </c>
      <c r="B26" s="1" t="s">
        <v>2259</v>
      </c>
      <c r="C26" s="1" t="s">
        <v>2260</v>
      </c>
      <c r="D26" s="1" t="s">
        <v>2261</v>
      </c>
      <c r="E26" s="99">
        <v>800000</v>
      </c>
      <c r="F26" s="1">
        <f t="shared" si="1"/>
        <v>800000</v>
      </c>
      <c r="G26" s="1">
        <v>0</v>
      </c>
      <c r="H26" s="1" t="s">
        <v>2258</v>
      </c>
      <c r="I26" s="1">
        <v>8</v>
      </c>
      <c r="L26" s="1">
        <v>2</v>
      </c>
      <c r="N26" s="1" t="s">
        <v>2134</v>
      </c>
      <c r="O26" s="1">
        <v>-1</v>
      </c>
      <c r="P26" s="1">
        <v>0</v>
      </c>
      <c r="Q26" s="1">
        <v>0</v>
      </c>
      <c r="R26" s="1">
        <v>-1</v>
      </c>
      <c r="S26" s="1">
        <v>-1</v>
      </c>
      <c r="T26" s="1">
        <v>-1</v>
      </c>
      <c r="U26" s="1">
        <v>0</v>
      </c>
      <c r="V26" s="1">
        <v>-1</v>
      </c>
      <c r="W26" s="99" t="s">
        <v>2262</v>
      </c>
      <c r="X26" s="1">
        <v>1</v>
      </c>
      <c r="Y26" s="1">
        <v>0</v>
      </c>
      <c r="Z26" s="1">
        <v>1</v>
      </c>
      <c r="AA26" s="1">
        <v>999</v>
      </c>
    </row>
    <row r="27" spans="1:27" x14ac:dyDescent="0.25">
      <c r="A27" s="1">
        <v>1206</v>
      </c>
      <c r="B27" s="1" t="s">
        <v>2263</v>
      </c>
      <c r="C27" s="1" t="s">
        <v>2264</v>
      </c>
      <c r="D27" s="1" t="s">
        <v>2265</v>
      </c>
      <c r="E27" s="99">
        <v>2000000</v>
      </c>
      <c r="F27" s="1">
        <f t="shared" si="1"/>
        <v>2000000</v>
      </c>
      <c r="G27" s="1">
        <v>0</v>
      </c>
      <c r="H27" s="1" t="s">
        <v>2258</v>
      </c>
      <c r="I27" s="1">
        <v>8</v>
      </c>
      <c r="L27" s="1">
        <v>5</v>
      </c>
      <c r="N27" s="1" t="s">
        <v>2134</v>
      </c>
      <c r="O27" s="1">
        <v>-1</v>
      </c>
      <c r="P27" s="1">
        <v>0</v>
      </c>
      <c r="Q27" s="1">
        <v>0</v>
      </c>
      <c r="R27" s="1">
        <v>-1</v>
      </c>
      <c r="S27" s="1">
        <v>-1</v>
      </c>
      <c r="T27" s="1">
        <v>-1</v>
      </c>
      <c r="U27" s="1">
        <v>0</v>
      </c>
      <c r="V27" s="1">
        <v>-1</v>
      </c>
      <c r="W27" s="99" t="s">
        <v>1129</v>
      </c>
      <c r="X27" s="1">
        <v>1</v>
      </c>
      <c r="Y27" s="1">
        <v>0</v>
      </c>
      <c r="Z27" s="1">
        <v>1</v>
      </c>
      <c r="AA27" s="1">
        <v>999</v>
      </c>
    </row>
    <row r="28" spans="1:27" x14ac:dyDescent="0.25">
      <c r="A28" s="1">
        <v>1212</v>
      </c>
      <c r="B28" s="1" t="s">
        <v>2266</v>
      </c>
      <c r="C28" s="1" t="s">
        <v>2267</v>
      </c>
      <c r="D28" s="1" t="s">
        <v>2268</v>
      </c>
      <c r="E28" s="99">
        <v>4000000</v>
      </c>
      <c r="F28" s="1">
        <f t="shared" si="1"/>
        <v>4000000</v>
      </c>
      <c r="G28" s="1">
        <v>0</v>
      </c>
      <c r="H28" s="1" t="s">
        <v>2258</v>
      </c>
      <c r="I28" s="1">
        <v>8</v>
      </c>
      <c r="L28" s="1">
        <v>10</v>
      </c>
      <c r="N28" s="1" t="s">
        <v>2134</v>
      </c>
      <c r="O28" s="1">
        <v>-1</v>
      </c>
      <c r="P28" s="1">
        <v>0</v>
      </c>
      <c r="Q28" s="1">
        <v>0</v>
      </c>
      <c r="R28" s="1">
        <v>-1</v>
      </c>
      <c r="S28" s="1">
        <v>-1</v>
      </c>
      <c r="T28" s="1">
        <v>-1</v>
      </c>
      <c r="U28" s="1">
        <v>0</v>
      </c>
      <c r="V28" s="1">
        <v>-1</v>
      </c>
      <c r="W28" s="99" t="s">
        <v>2269</v>
      </c>
      <c r="X28" s="1">
        <v>1</v>
      </c>
      <c r="Y28" s="1">
        <v>0</v>
      </c>
      <c r="Z28" s="1">
        <v>1</v>
      </c>
      <c r="AA28" s="1">
        <v>999</v>
      </c>
    </row>
    <row r="29" spans="1:27" x14ac:dyDescent="0.25">
      <c r="A29" s="1">
        <v>1209</v>
      </c>
      <c r="B29" s="1" t="s">
        <v>2270</v>
      </c>
      <c r="C29" s="1" t="s">
        <v>2271</v>
      </c>
      <c r="D29" s="1" t="s">
        <v>1978</v>
      </c>
      <c r="E29" s="99">
        <v>12000000</v>
      </c>
      <c r="F29" s="1">
        <f t="shared" si="1"/>
        <v>12000000</v>
      </c>
      <c r="G29" s="1">
        <v>0</v>
      </c>
      <c r="H29" s="1" t="s">
        <v>2258</v>
      </c>
      <c r="I29" s="1">
        <v>8</v>
      </c>
      <c r="L29" s="1">
        <v>30</v>
      </c>
      <c r="N29" s="1" t="s">
        <v>2134</v>
      </c>
      <c r="O29" s="1">
        <v>-1</v>
      </c>
      <c r="P29" s="1">
        <v>0</v>
      </c>
      <c r="Q29" s="1">
        <v>0</v>
      </c>
      <c r="R29" s="1">
        <v>-1</v>
      </c>
      <c r="S29" s="1">
        <v>-1</v>
      </c>
      <c r="T29" s="1">
        <v>-1</v>
      </c>
      <c r="U29" s="1">
        <v>0</v>
      </c>
      <c r="V29" s="1">
        <v>-1</v>
      </c>
      <c r="W29" s="99" t="s">
        <v>2272</v>
      </c>
      <c r="X29" s="1">
        <v>1</v>
      </c>
      <c r="Y29" s="1">
        <v>0</v>
      </c>
      <c r="Z29" s="1">
        <v>1</v>
      </c>
      <c r="AA29" s="1">
        <v>999</v>
      </c>
    </row>
    <row r="30" spans="1:27" x14ac:dyDescent="0.25">
      <c r="A30" s="1">
        <v>1210</v>
      </c>
      <c r="B30" s="1" t="s">
        <v>2273</v>
      </c>
      <c r="C30" s="1" t="s">
        <v>2274</v>
      </c>
      <c r="D30" s="1" t="s">
        <v>1979</v>
      </c>
      <c r="E30" s="99">
        <v>20000000</v>
      </c>
      <c r="F30" s="1">
        <f t="shared" si="1"/>
        <v>20000000</v>
      </c>
      <c r="G30" s="1">
        <v>0</v>
      </c>
      <c r="H30" s="1" t="s">
        <v>2258</v>
      </c>
      <c r="I30" s="1">
        <v>8</v>
      </c>
      <c r="L30" s="1">
        <v>50</v>
      </c>
      <c r="N30" s="1" t="s">
        <v>2134</v>
      </c>
      <c r="O30" s="1">
        <v>-1</v>
      </c>
      <c r="P30" s="1">
        <v>0</v>
      </c>
      <c r="Q30" s="1">
        <v>0</v>
      </c>
      <c r="R30" s="1">
        <v>-1</v>
      </c>
      <c r="S30" s="1">
        <v>-1</v>
      </c>
      <c r="T30" s="1">
        <v>-1</v>
      </c>
      <c r="U30" s="1">
        <v>0</v>
      </c>
      <c r="V30" s="1">
        <v>-1</v>
      </c>
      <c r="W30" s="99" t="s">
        <v>1180</v>
      </c>
      <c r="X30" s="1">
        <v>1</v>
      </c>
      <c r="Y30" s="1">
        <v>0</v>
      </c>
      <c r="Z30" s="1">
        <v>1</v>
      </c>
      <c r="AA30" s="1">
        <v>999</v>
      </c>
    </row>
    <row r="31" spans="1:27" x14ac:dyDescent="0.25">
      <c r="A31" s="1">
        <v>1600</v>
      </c>
      <c r="B31" s="1" t="s">
        <v>2275</v>
      </c>
      <c r="C31" s="1" t="s">
        <v>2276</v>
      </c>
      <c r="D31" s="1" t="s">
        <v>2277</v>
      </c>
      <c r="E31" s="99">
        <v>0</v>
      </c>
      <c r="F31" s="1">
        <f t="shared" si="1"/>
        <v>0</v>
      </c>
      <c r="G31" s="1">
        <v>0</v>
      </c>
      <c r="H31" s="1" t="s">
        <v>2278</v>
      </c>
      <c r="I31" s="1">
        <v>12</v>
      </c>
      <c r="L31" s="1">
        <v>0</v>
      </c>
      <c r="N31" s="1">
        <v>6</v>
      </c>
      <c r="O31" s="1">
        <v>-1</v>
      </c>
      <c r="P31" s="1">
        <v>0</v>
      </c>
      <c r="Q31" s="1">
        <v>0</v>
      </c>
      <c r="R31" s="1">
        <v>-1</v>
      </c>
      <c r="S31" s="1">
        <v>-1</v>
      </c>
      <c r="T31" s="1">
        <v>-1</v>
      </c>
      <c r="U31" s="1">
        <v>0</v>
      </c>
      <c r="V31" s="1">
        <v>-1</v>
      </c>
      <c r="W31" s="99"/>
      <c r="X31" s="1">
        <v>-1</v>
      </c>
      <c r="Y31" s="1">
        <v>0</v>
      </c>
      <c r="Z31" s="1">
        <v>1</v>
      </c>
      <c r="AA31" s="1">
        <v>-1</v>
      </c>
    </row>
    <row r="32" spans="1:27" x14ac:dyDescent="0.25">
      <c r="A32" s="1">
        <v>1601</v>
      </c>
      <c r="B32" s="1" t="s">
        <v>2279</v>
      </c>
      <c r="C32" s="1" t="s">
        <v>2280</v>
      </c>
      <c r="D32" s="1" t="s">
        <v>2281</v>
      </c>
      <c r="E32" s="99">
        <v>0</v>
      </c>
      <c r="F32" s="1">
        <f t="shared" si="1"/>
        <v>0</v>
      </c>
      <c r="G32" s="1">
        <v>0</v>
      </c>
      <c r="H32" s="1" t="s">
        <v>2282</v>
      </c>
      <c r="I32" s="1">
        <v>12</v>
      </c>
      <c r="L32" s="1">
        <v>0</v>
      </c>
      <c r="N32" s="1">
        <v>6</v>
      </c>
      <c r="O32" s="1">
        <v>-1</v>
      </c>
      <c r="P32" s="1">
        <v>0</v>
      </c>
      <c r="Q32" s="1">
        <v>0</v>
      </c>
      <c r="R32" s="1">
        <v>-1</v>
      </c>
      <c r="S32" s="1">
        <v>-1</v>
      </c>
      <c r="T32" s="1">
        <v>-1</v>
      </c>
      <c r="U32" s="1">
        <v>0</v>
      </c>
      <c r="V32" s="1">
        <v>-1</v>
      </c>
      <c r="W32" s="99"/>
      <c r="X32" s="1">
        <v>-1</v>
      </c>
      <c r="Y32" s="1">
        <v>0</v>
      </c>
      <c r="Z32" s="1">
        <v>1</v>
      </c>
      <c r="AA32" s="1">
        <v>-1</v>
      </c>
    </row>
    <row r="33" spans="1:27" x14ac:dyDescent="0.35">
      <c r="A33" s="1">
        <v>1603</v>
      </c>
      <c r="B33" s="1" t="s">
        <v>2283</v>
      </c>
      <c r="C33" s="98" t="s">
        <v>2284</v>
      </c>
      <c r="D33" s="1" t="s">
        <v>2285</v>
      </c>
      <c r="E33" s="1">
        <f>U33*10000*1</f>
        <v>100000</v>
      </c>
      <c r="F33" s="1">
        <f t="shared" si="1"/>
        <v>100000</v>
      </c>
      <c r="G33" s="1">
        <v>0</v>
      </c>
      <c r="H33" s="98" t="s">
        <v>2286</v>
      </c>
      <c r="I33" s="1">
        <v>12</v>
      </c>
      <c r="L33" s="1">
        <v>0</v>
      </c>
      <c r="N33" s="1">
        <v>2</v>
      </c>
      <c r="O33" s="1">
        <v>-1</v>
      </c>
      <c r="P33" s="1">
        <v>0</v>
      </c>
      <c r="Q33" s="1">
        <v>0</v>
      </c>
      <c r="R33" s="1">
        <v>-1</v>
      </c>
      <c r="S33" s="1">
        <v>-1</v>
      </c>
      <c r="T33" s="1">
        <v>-1</v>
      </c>
      <c r="U33" s="1">
        <v>10</v>
      </c>
      <c r="V33" s="1">
        <v>1</v>
      </c>
      <c r="X33" s="1">
        <v>-1</v>
      </c>
      <c r="Y33" s="1">
        <v>0</v>
      </c>
      <c r="Z33" s="56">
        <v>0</v>
      </c>
      <c r="AA33" s="1">
        <v>-1</v>
      </c>
    </row>
    <row r="34" spans="1:27" x14ac:dyDescent="0.35">
      <c r="A34" s="1">
        <v>1604</v>
      </c>
      <c r="B34" s="1" t="s">
        <v>2287</v>
      </c>
      <c r="C34" s="98" t="s">
        <v>2288</v>
      </c>
      <c r="D34" s="1" t="s">
        <v>2289</v>
      </c>
      <c r="E34" s="1">
        <v>0</v>
      </c>
      <c r="F34" s="1">
        <f t="shared" ref="F34:F37" si="2">E34</f>
        <v>0</v>
      </c>
      <c r="G34" s="1">
        <v>0</v>
      </c>
      <c r="H34" s="98" t="s">
        <v>2290</v>
      </c>
      <c r="I34" s="1">
        <v>12</v>
      </c>
      <c r="L34" s="1">
        <v>0</v>
      </c>
      <c r="N34" s="1">
        <v>2</v>
      </c>
      <c r="O34" s="1">
        <v>-1</v>
      </c>
      <c r="P34" s="1">
        <v>0</v>
      </c>
      <c r="Q34" s="1">
        <v>0</v>
      </c>
      <c r="R34" s="1">
        <v>-1</v>
      </c>
      <c r="S34" s="1">
        <v>-1</v>
      </c>
      <c r="T34" s="1">
        <v>-1</v>
      </c>
      <c r="U34" s="1">
        <v>0</v>
      </c>
      <c r="V34" s="1">
        <v>-1</v>
      </c>
      <c r="X34" s="1">
        <v>-1</v>
      </c>
      <c r="Y34" s="1">
        <v>0</v>
      </c>
      <c r="Z34" s="1">
        <v>0</v>
      </c>
      <c r="AA34" s="1">
        <v>-1</v>
      </c>
    </row>
    <row r="35" spans="1:27" x14ac:dyDescent="0.35">
      <c r="A35" s="1">
        <v>1605</v>
      </c>
      <c r="B35" s="1" t="s">
        <v>2291</v>
      </c>
      <c r="C35" s="98" t="s">
        <v>2292</v>
      </c>
      <c r="D35" s="1" t="s">
        <v>2293</v>
      </c>
      <c r="E35" s="1">
        <v>100000</v>
      </c>
      <c r="F35" s="1">
        <f t="shared" si="2"/>
        <v>100000</v>
      </c>
      <c r="G35" s="1">
        <v>0</v>
      </c>
      <c r="H35" s="98" t="s">
        <v>2294</v>
      </c>
      <c r="I35" s="1">
        <v>12</v>
      </c>
      <c r="L35" s="1">
        <v>0</v>
      </c>
      <c r="N35" s="1">
        <v>2</v>
      </c>
      <c r="O35" s="1">
        <v>-1</v>
      </c>
      <c r="P35" s="1">
        <v>0</v>
      </c>
      <c r="Q35" s="1">
        <v>0</v>
      </c>
      <c r="R35" s="1">
        <v>-1</v>
      </c>
      <c r="S35" s="1">
        <v>-1</v>
      </c>
      <c r="T35" s="1">
        <v>-1</v>
      </c>
      <c r="U35" s="1">
        <v>5</v>
      </c>
      <c r="V35" s="1">
        <v>10</v>
      </c>
      <c r="X35" s="1">
        <v>-1</v>
      </c>
      <c r="Y35" s="1">
        <v>0</v>
      </c>
      <c r="Z35" s="56">
        <v>0</v>
      </c>
      <c r="AA35" s="1">
        <v>999</v>
      </c>
    </row>
    <row r="36" spans="1:27" ht="17.25" customHeight="1" x14ac:dyDescent="0.35">
      <c r="A36" s="1">
        <v>1606</v>
      </c>
      <c r="B36" s="1" t="s">
        <v>2295</v>
      </c>
      <c r="C36" s="98" t="s">
        <v>2296</v>
      </c>
      <c r="D36" s="1" t="s">
        <v>2297</v>
      </c>
      <c r="E36" s="1">
        <v>400000</v>
      </c>
      <c r="F36" s="1">
        <f t="shared" si="2"/>
        <v>400000</v>
      </c>
      <c r="G36" s="1">
        <v>0</v>
      </c>
      <c r="H36" s="98" t="s">
        <v>2298</v>
      </c>
      <c r="I36" s="1">
        <v>12</v>
      </c>
      <c r="L36" s="1">
        <v>0</v>
      </c>
      <c r="N36" s="1">
        <v>2</v>
      </c>
      <c r="O36" s="1">
        <v>-1</v>
      </c>
      <c r="P36" s="1">
        <v>0</v>
      </c>
      <c r="Q36" s="1">
        <v>0</v>
      </c>
      <c r="R36" s="1">
        <v>-1</v>
      </c>
      <c r="S36" s="1">
        <v>-1</v>
      </c>
      <c r="T36" s="1">
        <v>-1</v>
      </c>
      <c r="U36" s="1">
        <v>20</v>
      </c>
      <c r="V36" s="1">
        <v>10</v>
      </c>
      <c r="X36" s="1">
        <v>-1</v>
      </c>
      <c r="Y36" s="1">
        <v>0</v>
      </c>
      <c r="Z36" s="56">
        <v>0</v>
      </c>
      <c r="AA36" s="1">
        <v>999</v>
      </c>
    </row>
    <row r="37" spans="1:27" x14ac:dyDescent="0.35">
      <c r="A37" s="1">
        <v>1607</v>
      </c>
      <c r="B37" s="1" t="s">
        <v>2299</v>
      </c>
      <c r="C37" s="98" t="s">
        <v>2300</v>
      </c>
      <c r="D37" s="1" t="s">
        <v>2301</v>
      </c>
      <c r="E37" s="1">
        <v>1000000</v>
      </c>
      <c r="F37" s="1">
        <f t="shared" si="2"/>
        <v>1000000</v>
      </c>
      <c r="G37" s="1">
        <v>0</v>
      </c>
      <c r="H37" s="98" t="s">
        <v>2302</v>
      </c>
      <c r="I37" s="1">
        <v>12</v>
      </c>
      <c r="L37" s="1">
        <v>0</v>
      </c>
      <c r="N37" s="1">
        <v>2</v>
      </c>
      <c r="O37" s="1">
        <v>-1</v>
      </c>
      <c r="P37" s="1">
        <v>0</v>
      </c>
      <c r="Q37" s="1">
        <v>0</v>
      </c>
      <c r="R37" s="1">
        <v>-1</v>
      </c>
      <c r="S37" s="1">
        <v>-1</v>
      </c>
      <c r="T37" s="1">
        <v>-1</v>
      </c>
      <c r="U37" s="1">
        <v>50</v>
      </c>
      <c r="V37" s="1">
        <v>10</v>
      </c>
      <c r="X37" s="1">
        <v>-1</v>
      </c>
      <c r="Y37" s="1">
        <v>0</v>
      </c>
      <c r="Z37" s="56">
        <v>0</v>
      </c>
      <c r="AA37" s="1">
        <v>999</v>
      </c>
    </row>
    <row r="38" spans="1:27" s="59" customFormat="1" x14ac:dyDescent="0.25">
      <c r="A38" s="59">
        <v>2001</v>
      </c>
      <c r="B38" s="59" t="s">
        <v>2303</v>
      </c>
      <c r="C38" s="59" t="s">
        <v>2304</v>
      </c>
      <c r="D38" s="59" t="s">
        <v>2305</v>
      </c>
      <c r="E38" s="59">
        <v>300000</v>
      </c>
      <c r="F38" s="59">
        <f t="shared" si="1"/>
        <v>300000</v>
      </c>
      <c r="G38" s="59">
        <v>0</v>
      </c>
      <c r="H38" s="59" t="s">
        <v>2306</v>
      </c>
      <c r="I38" s="59">
        <v>20</v>
      </c>
      <c r="L38" s="59">
        <v>5</v>
      </c>
      <c r="N38" s="59" t="s">
        <v>2134</v>
      </c>
      <c r="O38" s="59">
        <v>-1</v>
      </c>
      <c r="P38" s="59">
        <v>0</v>
      </c>
      <c r="Q38" s="59">
        <v>0</v>
      </c>
      <c r="R38" s="59">
        <v>-1</v>
      </c>
      <c r="S38" s="59">
        <v>-1</v>
      </c>
      <c r="T38" s="59">
        <v>-1</v>
      </c>
      <c r="U38" s="59">
        <v>0</v>
      </c>
      <c r="V38" s="59">
        <v>-1</v>
      </c>
      <c r="W38" s="103" t="s">
        <v>2040</v>
      </c>
      <c r="X38" s="59">
        <v>1</v>
      </c>
      <c r="Y38" s="59">
        <v>0</v>
      </c>
      <c r="Z38" s="59">
        <v>1</v>
      </c>
      <c r="AA38" s="59">
        <v>999</v>
      </c>
    </row>
    <row r="39" spans="1:27" s="54" customFormat="1" x14ac:dyDescent="0.25">
      <c r="A39" s="54">
        <v>2002</v>
      </c>
      <c r="B39" s="54" t="s">
        <v>2303</v>
      </c>
      <c r="C39" s="54" t="s">
        <v>2307</v>
      </c>
      <c r="D39" s="54" t="s">
        <v>2308</v>
      </c>
      <c r="E39" s="54">
        <v>300000</v>
      </c>
      <c r="F39" s="54">
        <f t="shared" si="1"/>
        <v>300000</v>
      </c>
      <c r="G39" s="54">
        <v>0</v>
      </c>
      <c r="H39" s="54" t="s">
        <v>2309</v>
      </c>
      <c r="I39" s="54">
        <v>20</v>
      </c>
      <c r="L39" s="54">
        <v>4</v>
      </c>
      <c r="N39" s="54" t="s">
        <v>2134</v>
      </c>
      <c r="O39" s="54">
        <v>-1</v>
      </c>
      <c r="P39" s="54">
        <v>0</v>
      </c>
      <c r="Q39" s="54">
        <v>0</v>
      </c>
      <c r="R39" s="54">
        <v>-1</v>
      </c>
      <c r="S39" s="54">
        <v>-1</v>
      </c>
      <c r="T39" s="54">
        <v>-1</v>
      </c>
      <c r="U39" s="54">
        <v>0</v>
      </c>
      <c r="V39" s="54">
        <v>-1</v>
      </c>
      <c r="W39" s="104" t="s">
        <v>2040</v>
      </c>
      <c r="X39" s="54">
        <v>1</v>
      </c>
      <c r="Y39" s="54">
        <v>0</v>
      </c>
      <c r="Z39" s="54">
        <v>1</v>
      </c>
      <c r="AA39" s="54">
        <v>999</v>
      </c>
    </row>
    <row r="40" spans="1:27" x14ac:dyDescent="0.35">
      <c r="A40" s="1">
        <v>1015</v>
      </c>
      <c r="B40" s="1" t="s">
        <v>2310</v>
      </c>
      <c r="C40" s="98" t="s">
        <v>2311</v>
      </c>
      <c r="D40" s="1" t="s">
        <v>1610</v>
      </c>
      <c r="E40" s="99">
        <f>E17/20</f>
        <v>50000</v>
      </c>
      <c r="F40" s="1">
        <f t="shared" ref="F40:F48" si="3">E40</f>
        <v>50000</v>
      </c>
      <c r="G40" s="1">
        <v>0</v>
      </c>
      <c r="H40" s="98" t="s">
        <v>2312</v>
      </c>
      <c r="I40" s="1">
        <v>13</v>
      </c>
      <c r="L40" s="100">
        <v>1</v>
      </c>
      <c r="M40" s="100"/>
      <c r="N40" s="1">
        <v>8</v>
      </c>
      <c r="O40" s="1">
        <v>-1</v>
      </c>
      <c r="P40" s="1">
        <v>0</v>
      </c>
      <c r="Q40" s="1">
        <v>0</v>
      </c>
      <c r="R40" s="1">
        <v>-1</v>
      </c>
      <c r="S40" s="1">
        <v>-1</v>
      </c>
      <c r="T40" s="1">
        <v>-1</v>
      </c>
      <c r="U40" s="1">
        <v>0</v>
      </c>
      <c r="V40" s="1">
        <v>-1</v>
      </c>
      <c r="W40" s="99" t="s">
        <v>2036</v>
      </c>
      <c r="X40" s="1">
        <v>1</v>
      </c>
      <c r="Y40" s="1">
        <v>0</v>
      </c>
      <c r="Z40" s="1">
        <v>1</v>
      </c>
      <c r="AA40" s="1">
        <v>999</v>
      </c>
    </row>
    <row r="41" spans="1:27" x14ac:dyDescent="0.35">
      <c r="A41" s="1">
        <v>1016</v>
      </c>
      <c r="B41" s="1" t="s">
        <v>2313</v>
      </c>
      <c r="C41" s="98" t="s">
        <v>2314</v>
      </c>
      <c r="D41" s="1" t="s">
        <v>1615</v>
      </c>
      <c r="E41" s="99">
        <f>E18/20</f>
        <v>100000</v>
      </c>
      <c r="F41" s="1">
        <f t="shared" si="3"/>
        <v>100000</v>
      </c>
      <c r="G41" s="1">
        <v>0</v>
      </c>
      <c r="H41" s="98" t="s">
        <v>2315</v>
      </c>
      <c r="I41" s="1">
        <v>13</v>
      </c>
      <c r="L41" s="100">
        <v>2</v>
      </c>
      <c r="M41" s="100"/>
      <c r="N41" s="1">
        <v>8</v>
      </c>
      <c r="O41" s="1">
        <v>-1</v>
      </c>
      <c r="P41" s="1">
        <v>0</v>
      </c>
      <c r="Q41" s="1">
        <v>0</v>
      </c>
      <c r="R41" s="1">
        <v>-1</v>
      </c>
      <c r="S41" s="1">
        <v>-1</v>
      </c>
      <c r="T41" s="1">
        <v>-1</v>
      </c>
      <c r="U41" s="1">
        <v>0</v>
      </c>
      <c r="V41" s="1">
        <v>-1</v>
      </c>
      <c r="W41" s="99" t="s">
        <v>2316</v>
      </c>
      <c r="X41" s="1">
        <v>1</v>
      </c>
      <c r="Y41" s="1">
        <v>0</v>
      </c>
      <c r="Z41" s="1">
        <v>1</v>
      </c>
      <c r="AA41" s="1">
        <v>999</v>
      </c>
    </row>
    <row r="42" spans="1:27" x14ac:dyDescent="0.35">
      <c r="A42" s="1">
        <v>1017</v>
      </c>
      <c r="B42" s="1" t="s">
        <v>2317</v>
      </c>
      <c r="C42" s="98" t="s">
        <v>2318</v>
      </c>
      <c r="D42" s="1" t="s">
        <v>1626</v>
      </c>
      <c r="E42" s="99">
        <f>E19/20</f>
        <v>250000</v>
      </c>
      <c r="F42" s="1">
        <f t="shared" si="3"/>
        <v>250000</v>
      </c>
      <c r="G42" s="1">
        <v>0</v>
      </c>
      <c r="H42" s="98" t="s">
        <v>2319</v>
      </c>
      <c r="I42" s="1">
        <v>13</v>
      </c>
      <c r="L42" s="100">
        <v>3</v>
      </c>
      <c r="M42" s="100"/>
      <c r="N42" s="1">
        <v>8</v>
      </c>
      <c r="O42" s="1">
        <v>-1</v>
      </c>
      <c r="P42" s="1">
        <v>0</v>
      </c>
      <c r="Q42" s="1">
        <v>0</v>
      </c>
      <c r="R42" s="1">
        <v>-1</v>
      </c>
      <c r="S42" s="1">
        <v>-1</v>
      </c>
      <c r="T42" s="1">
        <v>-1</v>
      </c>
      <c r="U42" s="1">
        <v>0</v>
      </c>
      <c r="V42" s="1">
        <v>-1</v>
      </c>
      <c r="W42" s="99" t="s">
        <v>2320</v>
      </c>
      <c r="X42" s="1">
        <v>1</v>
      </c>
      <c r="Y42" s="1">
        <v>0</v>
      </c>
      <c r="Z42" s="1">
        <v>1</v>
      </c>
      <c r="AA42" s="1">
        <v>999</v>
      </c>
    </row>
    <row r="43" spans="1:27" x14ac:dyDescent="0.35">
      <c r="A43" s="1">
        <v>1018</v>
      </c>
      <c r="B43" s="1" t="s">
        <v>2321</v>
      </c>
      <c r="C43" s="98" t="s">
        <v>2322</v>
      </c>
      <c r="D43" s="1" t="s">
        <v>1632</v>
      </c>
      <c r="E43" s="99">
        <f>E20/20</f>
        <v>500000</v>
      </c>
      <c r="F43" s="1">
        <f t="shared" si="3"/>
        <v>500000</v>
      </c>
      <c r="G43" s="1">
        <v>0</v>
      </c>
      <c r="H43" s="98" t="s">
        <v>2323</v>
      </c>
      <c r="I43" s="1">
        <v>13</v>
      </c>
      <c r="L43" s="100">
        <v>4</v>
      </c>
      <c r="M43" s="100"/>
      <c r="N43" s="1">
        <v>8</v>
      </c>
      <c r="O43" s="1">
        <v>-1</v>
      </c>
      <c r="P43" s="1">
        <v>0</v>
      </c>
      <c r="Q43" s="1">
        <v>0</v>
      </c>
      <c r="R43" s="1">
        <v>-1</v>
      </c>
      <c r="S43" s="1">
        <v>-1</v>
      </c>
      <c r="T43" s="1">
        <v>-1</v>
      </c>
      <c r="U43" s="1">
        <v>0</v>
      </c>
      <c r="V43" s="1">
        <v>-1</v>
      </c>
      <c r="W43" s="99" t="s">
        <v>2053</v>
      </c>
      <c r="X43" s="1">
        <v>1</v>
      </c>
      <c r="Y43" s="1">
        <v>0</v>
      </c>
      <c r="Z43" s="1">
        <v>1</v>
      </c>
      <c r="AA43" s="1">
        <v>999</v>
      </c>
    </row>
    <row r="44" spans="1:27" x14ac:dyDescent="0.25">
      <c r="A44" s="1">
        <v>2100</v>
      </c>
      <c r="B44" s="1" t="s">
        <v>2324</v>
      </c>
      <c r="C44" s="1" t="s">
        <v>2325</v>
      </c>
      <c r="D44" s="6" t="s">
        <v>2326</v>
      </c>
      <c r="E44" s="1">
        <v>100000</v>
      </c>
      <c r="F44" s="1">
        <f t="shared" si="3"/>
        <v>100000</v>
      </c>
      <c r="G44" s="1">
        <v>0</v>
      </c>
      <c r="H44" s="1" t="s">
        <v>2327</v>
      </c>
      <c r="I44" s="56">
        <v>21</v>
      </c>
      <c r="L44" s="1">
        <v>1</v>
      </c>
      <c r="M44" s="1">
        <v>4000</v>
      </c>
      <c r="N44" s="1">
        <v>3</v>
      </c>
      <c r="O44" s="1">
        <v>-1</v>
      </c>
      <c r="P44" s="1">
        <v>0</v>
      </c>
      <c r="Q44" s="1">
        <v>0</v>
      </c>
      <c r="R44" s="1">
        <v>-1</v>
      </c>
      <c r="S44" s="1">
        <v>-1</v>
      </c>
      <c r="T44" s="1">
        <v>-1</v>
      </c>
      <c r="U44" s="1">
        <v>0</v>
      </c>
      <c r="V44" s="1">
        <v>-1</v>
      </c>
      <c r="W44" s="1" t="str">
        <f>"1|2|"&amp;E44</f>
        <v>1|2|100000</v>
      </c>
      <c r="X44" s="1">
        <v>1</v>
      </c>
      <c r="Y44" s="1">
        <v>0</v>
      </c>
      <c r="Z44" s="1">
        <v>1</v>
      </c>
      <c r="AA44" s="1">
        <v>999</v>
      </c>
    </row>
    <row r="45" spans="1:27" x14ac:dyDescent="0.25">
      <c r="A45" s="1">
        <v>2101</v>
      </c>
      <c r="B45" s="1" t="s">
        <v>2324</v>
      </c>
      <c r="C45" s="1" t="s">
        <v>2328</v>
      </c>
      <c r="D45" s="6" t="s">
        <v>2329</v>
      </c>
      <c r="E45" s="1">
        <v>600000</v>
      </c>
      <c r="F45" s="1">
        <f t="shared" si="3"/>
        <v>600000</v>
      </c>
      <c r="G45" s="1">
        <v>0</v>
      </c>
      <c r="H45" s="1" t="s">
        <v>2330</v>
      </c>
      <c r="I45" s="56">
        <v>21</v>
      </c>
      <c r="L45" s="1">
        <v>3</v>
      </c>
      <c r="M45" s="1">
        <v>4000</v>
      </c>
      <c r="N45" s="1">
        <v>3</v>
      </c>
      <c r="O45" s="1">
        <v>-1</v>
      </c>
      <c r="P45" s="1">
        <v>0</v>
      </c>
      <c r="Q45" s="1">
        <v>0</v>
      </c>
      <c r="R45" s="1">
        <v>-1</v>
      </c>
      <c r="S45" s="1">
        <v>-1</v>
      </c>
      <c r="T45" s="1">
        <v>-1</v>
      </c>
      <c r="U45" s="1">
        <v>0</v>
      </c>
      <c r="V45" s="1">
        <v>-1</v>
      </c>
      <c r="W45" s="1" t="str">
        <f t="shared" ref="W45:W47" si="4">"1|2|"&amp;E45</f>
        <v>1|2|600000</v>
      </c>
      <c r="X45" s="1">
        <v>1</v>
      </c>
      <c r="Y45" s="1">
        <v>0</v>
      </c>
      <c r="Z45" s="1">
        <v>1</v>
      </c>
      <c r="AA45" s="1">
        <v>999</v>
      </c>
    </row>
    <row r="46" spans="1:27" x14ac:dyDescent="0.25">
      <c r="A46" s="1">
        <v>2102</v>
      </c>
      <c r="B46" s="1" t="s">
        <v>2324</v>
      </c>
      <c r="C46" s="1" t="s">
        <v>2331</v>
      </c>
      <c r="D46" s="6" t="s">
        <v>2332</v>
      </c>
      <c r="E46" s="1">
        <v>1000000</v>
      </c>
      <c r="F46" s="1">
        <f t="shared" si="3"/>
        <v>1000000</v>
      </c>
      <c r="G46" s="1">
        <v>0</v>
      </c>
      <c r="H46" s="1" t="s">
        <v>2333</v>
      </c>
      <c r="I46" s="56">
        <v>21</v>
      </c>
      <c r="L46" s="1">
        <v>5</v>
      </c>
      <c r="M46" s="1">
        <v>4000</v>
      </c>
      <c r="N46" s="1">
        <v>3</v>
      </c>
      <c r="O46" s="1">
        <v>-1</v>
      </c>
      <c r="P46" s="1">
        <v>0</v>
      </c>
      <c r="Q46" s="1">
        <v>0</v>
      </c>
      <c r="R46" s="1">
        <v>-1</v>
      </c>
      <c r="S46" s="1">
        <v>-1</v>
      </c>
      <c r="T46" s="1">
        <v>-1</v>
      </c>
      <c r="U46" s="1">
        <v>0</v>
      </c>
      <c r="V46" s="1">
        <v>-1</v>
      </c>
      <c r="W46" s="1" t="str">
        <f t="shared" si="4"/>
        <v>1|2|1000000</v>
      </c>
      <c r="X46" s="1">
        <v>1</v>
      </c>
      <c r="Y46" s="1">
        <v>0</v>
      </c>
      <c r="Z46" s="1">
        <v>1</v>
      </c>
      <c r="AA46" s="1">
        <v>999</v>
      </c>
    </row>
    <row r="47" spans="1:27" x14ac:dyDescent="0.25">
      <c r="A47" s="1">
        <v>2103</v>
      </c>
      <c r="B47" s="1" t="s">
        <v>2324</v>
      </c>
      <c r="C47" s="1" t="s">
        <v>2334</v>
      </c>
      <c r="D47" s="6" t="s">
        <v>2335</v>
      </c>
      <c r="E47" s="1">
        <v>1400000</v>
      </c>
      <c r="F47" s="1">
        <f t="shared" si="3"/>
        <v>1400000</v>
      </c>
      <c r="G47" s="1">
        <v>0</v>
      </c>
      <c r="H47" s="1" t="s">
        <v>2336</v>
      </c>
      <c r="I47" s="56">
        <v>21</v>
      </c>
      <c r="L47" s="1">
        <v>7</v>
      </c>
      <c r="M47" s="1">
        <v>4000</v>
      </c>
      <c r="N47" s="1">
        <v>3</v>
      </c>
      <c r="O47" s="1">
        <v>-1</v>
      </c>
      <c r="P47" s="1">
        <v>0</v>
      </c>
      <c r="Q47" s="1">
        <v>0</v>
      </c>
      <c r="R47" s="1">
        <v>-1</v>
      </c>
      <c r="S47" s="1">
        <v>-1</v>
      </c>
      <c r="T47" s="1">
        <v>-1</v>
      </c>
      <c r="U47" s="1">
        <v>0</v>
      </c>
      <c r="V47" s="1">
        <v>-1</v>
      </c>
      <c r="W47" s="1" t="str">
        <f t="shared" si="4"/>
        <v>1|2|1400000</v>
      </c>
      <c r="X47" s="1">
        <v>1</v>
      </c>
      <c r="Y47" s="1">
        <v>0</v>
      </c>
      <c r="Z47" s="1">
        <v>1</v>
      </c>
      <c r="AA47" s="1">
        <v>999</v>
      </c>
    </row>
    <row r="48" spans="1:27" s="59" customFormat="1" x14ac:dyDescent="0.25">
      <c r="A48" s="59">
        <v>1203</v>
      </c>
      <c r="B48" s="59" t="s">
        <v>2243</v>
      </c>
      <c r="C48" s="59" t="s">
        <v>2337</v>
      </c>
      <c r="D48" s="59" t="s">
        <v>2338</v>
      </c>
      <c r="E48" s="59">
        <v>0</v>
      </c>
      <c r="F48" s="59">
        <f t="shared" si="3"/>
        <v>0</v>
      </c>
      <c r="G48" s="59">
        <v>0</v>
      </c>
      <c r="H48" s="59" t="s">
        <v>2339</v>
      </c>
      <c r="I48" s="59">
        <v>7</v>
      </c>
      <c r="L48" s="59">
        <v>4</v>
      </c>
      <c r="N48" s="59">
        <v>-1</v>
      </c>
      <c r="O48" s="59">
        <v>-1</v>
      </c>
      <c r="P48" s="59">
        <v>0</v>
      </c>
      <c r="Q48" s="59">
        <v>0</v>
      </c>
      <c r="R48" s="59">
        <v>-1</v>
      </c>
      <c r="S48" s="59">
        <v>-1</v>
      </c>
      <c r="T48" s="59">
        <v>-1</v>
      </c>
      <c r="U48" s="59">
        <v>0</v>
      </c>
      <c r="V48" s="59">
        <v>-1</v>
      </c>
      <c r="X48" s="59">
        <v>-1</v>
      </c>
      <c r="Y48" s="59">
        <v>0</v>
      </c>
      <c r="Z48" s="59">
        <v>1</v>
      </c>
      <c r="AA48" s="59">
        <v>-1</v>
      </c>
    </row>
  </sheetData>
  <phoneticPr fontId="64" type="noConversion"/>
  <conditionalFormatting sqref="M3">
    <cfRule type="containsText" dxfId="356" priority="117" operator="containsText" text=" ">
      <formula>NOT(ISERROR(SEARCH(" ",M3)))</formula>
    </cfRule>
  </conditionalFormatting>
  <conditionalFormatting sqref="C7">
    <cfRule type="containsText" dxfId="355" priority="298" operator="containsText" text=" ">
      <formula>NOT(ISERROR(SEARCH(" ",C7)))</formula>
    </cfRule>
  </conditionalFormatting>
  <conditionalFormatting sqref="D7">
    <cfRule type="containsText" dxfId="354" priority="171" operator="containsText" text=" ">
      <formula>NOT(ISERROR(SEARCH(" ",D7)))</formula>
    </cfRule>
  </conditionalFormatting>
  <conditionalFormatting sqref="B8">
    <cfRule type="containsText" dxfId="353" priority="194" operator="containsText" text=" ">
      <formula>NOT(ISERROR(SEARCH(" ",B8)))</formula>
    </cfRule>
  </conditionalFormatting>
  <conditionalFormatting sqref="B9">
    <cfRule type="containsText" dxfId="352" priority="192" operator="containsText" text=" ">
      <formula>NOT(ISERROR(SEARCH(" ",B9)))</formula>
    </cfRule>
  </conditionalFormatting>
  <conditionalFormatting sqref="D9">
    <cfRule type="containsText" dxfId="351" priority="170" operator="containsText" text=" ">
      <formula>NOT(ISERROR(SEARCH(" ",D9)))</formula>
    </cfRule>
  </conditionalFormatting>
  <conditionalFormatting sqref="B10">
    <cfRule type="containsText" dxfId="350" priority="189" operator="containsText" text=" ">
      <formula>NOT(ISERROR(SEARCH(" ",B10)))</formula>
    </cfRule>
  </conditionalFormatting>
  <conditionalFormatting sqref="D10">
    <cfRule type="containsText" dxfId="349" priority="169" operator="containsText" text=" ">
      <formula>NOT(ISERROR(SEARCH(" ",D10)))</formula>
    </cfRule>
  </conditionalFormatting>
  <conditionalFormatting sqref="W10">
    <cfRule type="containsText" dxfId="348" priority="274" operator="containsText" text=" ">
      <formula>NOT(ISERROR(SEARCH(" ",W10)))</formula>
    </cfRule>
  </conditionalFormatting>
  <conditionalFormatting sqref="X10">
    <cfRule type="containsText" dxfId="347" priority="273" operator="containsText" text=" ">
      <formula>NOT(ISERROR(SEARCH(" ",X10)))</formula>
    </cfRule>
  </conditionalFormatting>
  <conditionalFormatting sqref="B11">
    <cfRule type="containsText" dxfId="346" priority="155" operator="containsText" text=" ">
      <formula>NOT(ISERROR(SEARCH(" ",B11)))</formula>
    </cfRule>
  </conditionalFormatting>
  <conditionalFormatting sqref="C11">
    <cfRule type="containsText" dxfId="345" priority="152" operator="containsText" text=" ">
      <formula>NOT(ISERROR(SEARCH(" ",C11)))</formula>
    </cfRule>
  </conditionalFormatting>
  <conditionalFormatting sqref="D11">
    <cfRule type="containsText" dxfId="344" priority="154" operator="containsText" text=" ">
      <formula>NOT(ISERROR(SEARCH(" ",D11)))</formula>
    </cfRule>
  </conditionalFormatting>
  <conditionalFormatting sqref="E11">
    <cfRule type="containsText" dxfId="343" priority="153" operator="containsText" text=" ">
      <formula>NOT(ISERROR(SEARCH(" ",E11)))</formula>
    </cfRule>
  </conditionalFormatting>
  <conditionalFormatting sqref="P11">
    <cfRule type="containsText" dxfId="342" priority="158" operator="containsText" text=" ">
      <formula>NOT(ISERROR(SEARCH(" ",P11)))</formula>
    </cfRule>
  </conditionalFormatting>
  <conditionalFormatting sqref="W11">
    <cfRule type="containsText" dxfId="341" priority="157" operator="containsText" text=" ">
      <formula>NOT(ISERROR(SEARCH(" ",W11)))</formula>
    </cfRule>
  </conditionalFormatting>
  <conditionalFormatting sqref="X11">
    <cfRule type="containsText" dxfId="340" priority="156" operator="containsText" text=" ">
      <formula>NOT(ISERROR(SEARCH(" ",X11)))</formula>
    </cfRule>
  </conditionalFormatting>
  <conditionalFormatting sqref="O16">
    <cfRule type="containsText" dxfId="339" priority="141" operator="containsText" text=" ">
      <formula>NOT(ISERROR(SEARCH(" ",O16)))</formula>
    </cfRule>
  </conditionalFormatting>
  <conditionalFormatting sqref="Q16:R16">
    <cfRule type="containsText" dxfId="338" priority="143" operator="containsText" text=" ">
      <formula>NOT(ISERROR(SEARCH(" ",Q16)))</formula>
    </cfRule>
  </conditionalFormatting>
  <conditionalFormatting sqref="B22">
    <cfRule type="containsText" dxfId="337" priority="147" operator="containsText" text=" ">
      <formula>NOT(ISERROR(SEARCH(" ",B22)))</formula>
    </cfRule>
  </conditionalFormatting>
  <conditionalFormatting sqref="D22">
    <cfRule type="containsText" dxfId="336" priority="146" operator="containsText" text=" ">
      <formula>NOT(ISERROR(SEARCH(" ",D22)))</formula>
    </cfRule>
  </conditionalFormatting>
  <conditionalFormatting sqref="E22">
    <cfRule type="containsText" dxfId="335" priority="145" operator="containsText" text=" ">
      <formula>NOT(ISERROR(SEARCH(" ",E22)))</formula>
    </cfRule>
  </conditionalFormatting>
  <conditionalFormatting sqref="P22">
    <cfRule type="containsText" dxfId="334" priority="150" operator="containsText" text=" ">
      <formula>NOT(ISERROR(SEARCH(" ",P22)))</formula>
    </cfRule>
  </conditionalFormatting>
  <conditionalFormatting sqref="W22">
    <cfRule type="containsText" dxfId="333" priority="149" operator="containsText" text=" ">
      <formula>NOT(ISERROR(SEARCH(" ",W22)))</formula>
    </cfRule>
  </conditionalFormatting>
  <conditionalFormatting sqref="X22">
    <cfRule type="containsText" dxfId="332" priority="148" operator="containsText" text=" ">
      <formula>NOT(ISERROR(SEARCH(" ",X22)))</formula>
    </cfRule>
  </conditionalFormatting>
  <conditionalFormatting sqref="B24">
    <cfRule type="containsText" dxfId="331" priority="186" operator="containsText" text=" ">
      <formula>NOT(ISERROR(SEARCH(" ",B24)))</formula>
    </cfRule>
  </conditionalFormatting>
  <conditionalFormatting sqref="E24">
    <cfRule type="containsText" dxfId="330" priority="160" operator="containsText" text=" ">
      <formula>NOT(ISERROR(SEARCH(" ",E24)))</formula>
    </cfRule>
  </conditionalFormatting>
  <conditionalFormatting sqref="P24">
    <cfRule type="containsText" dxfId="329" priority="203" operator="containsText" text=" ">
      <formula>NOT(ISERROR(SEARCH(" ",P24)))</formula>
    </cfRule>
  </conditionalFormatting>
  <conditionalFormatting sqref="W24">
    <cfRule type="containsText" dxfId="328" priority="201" operator="containsText" text=" ">
      <formula>NOT(ISERROR(SEARCH(" ",W24)))</formula>
    </cfRule>
  </conditionalFormatting>
  <conditionalFormatting sqref="X24">
    <cfRule type="containsText" dxfId="327" priority="200" operator="containsText" text=" ">
      <formula>NOT(ISERROR(SEARCH(" ",X24)))</formula>
    </cfRule>
  </conditionalFormatting>
  <conditionalFormatting sqref="B25">
    <cfRule type="containsText" dxfId="326" priority="188" operator="containsText" text=" ">
      <formula>NOT(ISERROR(SEARCH(" ",B25)))</formula>
    </cfRule>
  </conditionalFormatting>
  <conditionalFormatting sqref="C25">
    <cfRule type="containsText" dxfId="325" priority="246" operator="containsText" text=" ">
      <formula>NOT(ISERROR(SEARCH(" ",C25)))</formula>
    </cfRule>
  </conditionalFormatting>
  <conditionalFormatting sqref="E25">
    <cfRule type="containsText" dxfId="324" priority="163" operator="containsText" text=" ">
      <formula>NOT(ISERROR(SEARCH(" ",E25)))</formula>
    </cfRule>
  </conditionalFormatting>
  <conditionalFormatting sqref="H25">
    <cfRule type="containsText" dxfId="323" priority="245" operator="containsText" text=" ">
      <formula>NOT(ISERROR(SEARCH(" ",H25)))</formula>
    </cfRule>
  </conditionalFormatting>
  <conditionalFormatting sqref="N25">
    <cfRule type="containsText" dxfId="322" priority="242" operator="containsText" text=" ">
      <formula>NOT(ISERROR(SEARCH(" ",N25)))</formula>
    </cfRule>
  </conditionalFormatting>
  <conditionalFormatting sqref="P25">
    <cfRule type="containsText" dxfId="321" priority="248" operator="containsText" text=" ">
      <formula>NOT(ISERROR(SEARCH(" ",P25)))</formula>
    </cfRule>
  </conditionalFormatting>
  <conditionalFormatting sqref="W25">
    <cfRule type="containsText" dxfId="320" priority="198" operator="containsText" text=" ">
      <formula>NOT(ISERROR(SEARCH(" ",W25)))</formula>
    </cfRule>
  </conditionalFormatting>
  <conditionalFormatting sqref="X25">
    <cfRule type="containsText" dxfId="319" priority="243" operator="containsText" text=" ">
      <formula>NOT(ISERROR(SEARCH(" ",X25)))</formula>
    </cfRule>
  </conditionalFormatting>
  <conditionalFormatting sqref="AA25">
    <cfRule type="containsText" dxfId="318" priority="241" operator="containsText" text=" ">
      <formula>NOT(ISERROR(SEARCH(" ",AA25)))</formula>
    </cfRule>
  </conditionalFormatting>
  <conditionalFormatting sqref="N26">
    <cfRule type="containsText" dxfId="317" priority="255" operator="containsText" text=" ">
      <formula>NOT(ISERROR(SEARCH(" ",N26)))</formula>
    </cfRule>
  </conditionalFormatting>
  <conditionalFormatting sqref="N27">
    <cfRule type="containsText" dxfId="316" priority="254" operator="containsText" text=" ">
      <formula>NOT(ISERROR(SEARCH(" ",N27)))</formula>
    </cfRule>
  </conditionalFormatting>
  <conditionalFormatting sqref="C28">
    <cfRule type="containsText" dxfId="315" priority="209" operator="containsText" text=" ">
      <formula>NOT(ISERROR(SEARCH(" ",C28)))</formula>
    </cfRule>
  </conditionalFormatting>
  <conditionalFormatting sqref="E28">
    <cfRule type="containsText" dxfId="314" priority="164" operator="containsText" text=" ">
      <formula>NOT(ISERROR(SEARCH(" ",E28)))</formula>
    </cfRule>
  </conditionalFormatting>
  <conditionalFormatting sqref="H28">
    <cfRule type="containsText" dxfId="313" priority="208" operator="containsText" text=" ">
      <formula>NOT(ISERROR(SEARCH(" ",H28)))</formula>
    </cfRule>
  </conditionalFormatting>
  <conditionalFormatting sqref="N28">
    <cfRule type="containsText" dxfId="312" priority="205" operator="containsText" text=" ">
      <formula>NOT(ISERROR(SEARCH(" ",N28)))</formula>
    </cfRule>
  </conditionalFormatting>
  <conditionalFormatting sqref="P28">
    <cfRule type="containsText" dxfId="311" priority="211" operator="containsText" text=" ">
      <formula>NOT(ISERROR(SEARCH(" ",P28)))</formula>
    </cfRule>
  </conditionalFormatting>
  <conditionalFormatting sqref="W28">
    <cfRule type="containsText" dxfId="310" priority="207" operator="containsText" text=" ">
      <formula>NOT(ISERROR(SEARCH(" ",W28)))</formula>
    </cfRule>
  </conditionalFormatting>
  <conditionalFormatting sqref="X28">
    <cfRule type="containsText" dxfId="309" priority="206" operator="containsText" text=" ">
      <formula>NOT(ISERROR(SEARCH(" ",X28)))</formula>
    </cfRule>
  </conditionalFormatting>
  <conditionalFormatting sqref="AA28">
    <cfRule type="containsText" dxfId="308" priority="204" operator="containsText" text=" ">
      <formula>NOT(ISERROR(SEARCH(" ",AA28)))</formula>
    </cfRule>
  </conditionalFormatting>
  <conditionalFormatting sqref="E29">
    <cfRule type="containsText" dxfId="307" priority="162" operator="containsText" text=" ">
      <formula>NOT(ISERROR(SEARCH(" ",E29)))</formula>
    </cfRule>
  </conditionalFormatting>
  <conditionalFormatting sqref="N29">
    <cfRule type="containsText" dxfId="306" priority="253" operator="containsText" text=" ">
      <formula>NOT(ISERROR(SEARCH(" ",N29)))</formula>
    </cfRule>
  </conditionalFormatting>
  <conditionalFormatting sqref="W29">
    <cfRule type="containsText" dxfId="305" priority="197" operator="containsText" text=" ">
      <formula>NOT(ISERROR(SEARCH(" ",W29)))</formula>
    </cfRule>
  </conditionalFormatting>
  <conditionalFormatting sqref="E30">
    <cfRule type="containsText" dxfId="304" priority="161" operator="containsText" text=" ">
      <formula>NOT(ISERROR(SEARCH(" ",E30)))</formula>
    </cfRule>
  </conditionalFormatting>
  <conditionalFormatting sqref="N30">
    <cfRule type="containsText" dxfId="303" priority="252" operator="containsText" text=" ">
      <formula>NOT(ISERROR(SEARCH(" ",N30)))</formula>
    </cfRule>
  </conditionalFormatting>
  <conditionalFormatting sqref="W30">
    <cfRule type="containsText" dxfId="302" priority="196" operator="containsText" text=" ">
      <formula>NOT(ISERROR(SEARCH(" ",W30)))</formula>
    </cfRule>
  </conditionalFormatting>
  <conditionalFormatting sqref="N31">
    <cfRule type="containsText" dxfId="301" priority="223" operator="containsText" text=" ">
      <formula>NOT(ISERROR(SEARCH(" ",N31)))</formula>
    </cfRule>
  </conditionalFormatting>
  <conditionalFormatting sqref="I32:N32">
    <cfRule type="containsText" dxfId="300" priority="232" operator="containsText" text=" ">
      <formula>NOT(ISERROR(SEARCH(" ",I32)))</formula>
    </cfRule>
  </conditionalFormatting>
  <conditionalFormatting sqref="O32">
    <cfRule type="containsText" dxfId="299" priority="229" operator="containsText" text=" ">
      <formula>NOT(ISERROR(SEARCH(" ",O32)))</formula>
    </cfRule>
  </conditionalFormatting>
  <conditionalFormatting sqref="Q32">
    <cfRule type="containsText" dxfId="298" priority="228" operator="containsText" text=" ">
      <formula>NOT(ISERROR(SEARCH(" ",Q32)))</formula>
    </cfRule>
  </conditionalFormatting>
  <conditionalFormatting sqref="R32">
    <cfRule type="containsText" dxfId="297" priority="227" operator="containsText" text=" ">
      <formula>NOT(ISERROR(SEARCH(" ",R32)))</formula>
    </cfRule>
  </conditionalFormatting>
  <conditionalFormatting sqref="S33:T33">
    <cfRule type="containsText" dxfId="296" priority="135" operator="containsText" text=" ">
      <formula>NOT(ISERROR(SEARCH(" ",S33)))</formula>
    </cfRule>
  </conditionalFormatting>
  <conditionalFormatting sqref="AA33">
    <cfRule type="containsText" dxfId="295" priority="134" operator="containsText" text=" ">
      <formula>NOT(ISERROR(SEARCH(" ",AA33)))</formula>
    </cfRule>
  </conditionalFormatting>
  <conditionalFormatting sqref="A34">
    <cfRule type="duplicateValues" dxfId="294" priority="54"/>
  </conditionalFormatting>
  <conditionalFormatting sqref="F34">
    <cfRule type="containsText" dxfId="293" priority="60" operator="containsText" text=" ">
      <formula>NOT(ISERROR(SEARCH(" ",F34)))</formula>
    </cfRule>
  </conditionalFormatting>
  <conditionalFormatting sqref="G34">
    <cfRule type="containsText" dxfId="292" priority="53" operator="containsText" text=" ">
      <formula>NOT(ISERROR(SEARCH(" ",G34)))</formula>
    </cfRule>
  </conditionalFormatting>
  <conditionalFormatting sqref="H34:N34">
    <cfRule type="containsText" dxfId="291" priority="59" operator="containsText" text=" ">
      <formula>NOT(ISERROR(SEARCH(" ",H34)))</formula>
    </cfRule>
  </conditionalFormatting>
  <conditionalFormatting sqref="S34:T34">
    <cfRule type="containsText" dxfId="290" priority="56" operator="containsText" text=" ">
      <formula>NOT(ISERROR(SEARCH(" ",S34)))</formula>
    </cfRule>
  </conditionalFormatting>
  <conditionalFormatting sqref="U34:V34">
    <cfRule type="containsText" dxfId="289" priority="52" operator="containsText" text=" ">
      <formula>NOT(ISERROR(SEARCH(" ",U34)))</formula>
    </cfRule>
  </conditionalFormatting>
  <conditionalFormatting sqref="AA34">
    <cfRule type="containsText" dxfId="288" priority="55" operator="containsText" text=" ">
      <formula>NOT(ISERROR(SEARCH(" ",AA34)))</formula>
    </cfRule>
  </conditionalFormatting>
  <conditionalFormatting sqref="A35">
    <cfRule type="duplicateValues" dxfId="287" priority="33"/>
  </conditionalFormatting>
  <conditionalFormatting sqref="F35">
    <cfRule type="containsText" dxfId="286" priority="39" operator="containsText" text=" ">
      <formula>NOT(ISERROR(SEARCH(" ",F35)))</formula>
    </cfRule>
  </conditionalFormatting>
  <conditionalFormatting sqref="G35">
    <cfRule type="containsText" dxfId="285" priority="32" operator="containsText" text=" ">
      <formula>NOT(ISERROR(SEARCH(" ",G35)))</formula>
    </cfRule>
  </conditionalFormatting>
  <conditionalFormatting sqref="S35:T35">
    <cfRule type="containsText" dxfId="284" priority="35" operator="containsText" text=" ">
      <formula>NOT(ISERROR(SEARCH(" ",S35)))</formula>
    </cfRule>
  </conditionalFormatting>
  <conditionalFormatting sqref="A36">
    <cfRule type="duplicateValues" dxfId="283" priority="24"/>
  </conditionalFormatting>
  <conditionalFormatting sqref="F36">
    <cfRule type="containsText" dxfId="282" priority="30" operator="containsText" text=" ">
      <formula>NOT(ISERROR(SEARCH(" ",F36)))</formula>
    </cfRule>
  </conditionalFormatting>
  <conditionalFormatting sqref="G36">
    <cfRule type="containsText" dxfId="281" priority="23" operator="containsText" text=" ">
      <formula>NOT(ISERROR(SEARCH(" ",G36)))</formula>
    </cfRule>
  </conditionalFormatting>
  <conditionalFormatting sqref="S36:T36">
    <cfRule type="containsText" dxfId="280" priority="26" operator="containsText" text=" ">
      <formula>NOT(ISERROR(SEARCH(" ",S36)))</formula>
    </cfRule>
  </conditionalFormatting>
  <conditionalFormatting sqref="A37">
    <cfRule type="duplicateValues" dxfId="279" priority="15"/>
  </conditionalFormatting>
  <conditionalFormatting sqref="F37">
    <cfRule type="containsText" dxfId="278" priority="21" operator="containsText" text=" ">
      <formula>NOT(ISERROR(SEARCH(" ",F37)))</formula>
    </cfRule>
  </conditionalFormatting>
  <conditionalFormatting sqref="G37">
    <cfRule type="containsText" dxfId="277" priority="14" operator="containsText" text=" ">
      <formula>NOT(ISERROR(SEARCH(" ",G37)))</formula>
    </cfRule>
  </conditionalFormatting>
  <conditionalFormatting sqref="S37:T37">
    <cfRule type="containsText" dxfId="276" priority="17" operator="containsText" text=" ">
      <formula>NOT(ISERROR(SEARCH(" ",S37)))</formula>
    </cfRule>
  </conditionalFormatting>
  <conditionalFormatting sqref="B38">
    <cfRule type="containsText" dxfId="275" priority="128" operator="containsText" text=" ">
      <formula>NOT(ISERROR(SEARCH(" ",B38)))</formula>
    </cfRule>
  </conditionalFormatting>
  <conditionalFormatting sqref="D38">
    <cfRule type="containsText" dxfId="274" priority="127" operator="containsText" text=" ">
      <formula>NOT(ISERROR(SEARCH(" ",D38)))</formula>
    </cfRule>
  </conditionalFormatting>
  <conditionalFormatting sqref="E38">
    <cfRule type="containsText" dxfId="273" priority="126" operator="containsText" text=" ">
      <formula>NOT(ISERROR(SEARCH(" ",E38)))</formula>
    </cfRule>
  </conditionalFormatting>
  <conditionalFormatting sqref="W38">
    <cfRule type="containsText" dxfId="272" priority="125" operator="containsText" text=" ">
      <formula>NOT(ISERROR(SEARCH(" ",W38)))</formula>
    </cfRule>
  </conditionalFormatting>
  <conditionalFormatting sqref="X38">
    <cfRule type="containsText" dxfId="271" priority="129" operator="containsText" text=" ">
      <formula>NOT(ISERROR(SEARCH(" ",X38)))</formula>
    </cfRule>
  </conditionalFormatting>
  <conditionalFormatting sqref="A39">
    <cfRule type="duplicateValues" dxfId="270" priority="3"/>
  </conditionalFormatting>
  <conditionalFormatting sqref="B39">
    <cfRule type="containsText" dxfId="269" priority="7" operator="containsText" text=" ">
      <formula>NOT(ISERROR(SEARCH(" ",B39)))</formula>
    </cfRule>
  </conditionalFormatting>
  <conditionalFormatting sqref="D39">
    <cfRule type="containsText" dxfId="268" priority="6" operator="containsText" text=" ">
      <formula>NOT(ISERROR(SEARCH(" ",D39)))</formula>
    </cfRule>
  </conditionalFormatting>
  <conditionalFormatting sqref="E39">
    <cfRule type="containsText" dxfId="267" priority="5" operator="containsText" text=" ">
      <formula>NOT(ISERROR(SEARCH(" ",E39)))</formula>
    </cfRule>
  </conditionalFormatting>
  <conditionalFormatting sqref="F39">
    <cfRule type="containsText" dxfId="266" priority="12" operator="containsText" text=" ">
      <formula>NOT(ISERROR(SEARCH(" ",F39)))</formula>
    </cfRule>
  </conditionalFormatting>
  <conditionalFormatting sqref="G39">
    <cfRule type="containsText" dxfId="265" priority="2" operator="containsText" text=" ">
      <formula>NOT(ISERROR(SEARCH(" ",G39)))</formula>
    </cfRule>
  </conditionalFormatting>
  <conditionalFormatting sqref="P39">
    <cfRule type="containsText" dxfId="264" priority="9" operator="containsText" text=" ">
      <formula>NOT(ISERROR(SEARCH(" ",P39)))</formula>
    </cfRule>
  </conditionalFormatting>
  <conditionalFormatting sqref="S39:T39">
    <cfRule type="containsText" dxfId="263" priority="11" operator="containsText" text=" ">
      <formula>NOT(ISERROR(SEARCH(" ",S39)))</formula>
    </cfRule>
  </conditionalFormatting>
  <conditionalFormatting sqref="W39">
    <cfRule type="containsText" dxfId="262" priority="4" operator="containsText" text=" ">
      <formula>NOT(ISERROR(SEARCH(" ",W39)))</formula>
    </cfRule>
  </conditionalFormatting>
  <conditionalFormatting sqref="X39">
    <cfRule type="containsText" dxfId="261" priority="8" operator="containsText" text=" ">
      <formula>NOT(ISERROR(SEARCH(" ",X39)))</formula>
    </cfRule>
  </conditionalFormatting>
  <conditionalFormatting sqref="F44">
    <cfRule type="containsText" dxfId="260" priority="114" operator="containsText" text=" ">
      <formula>NOT(ISERROR(SEARCH(" ",F44)))</formula>
    </cfRule>
  </conditionalFormatting>
  <conditionalFormatting sqref="O44">
    <cfRule type="containsText" dxfId="259" priority="113" operator="containsText" text=" ">
      <formula>NOT(ISERROR(SEARCH(" ",O44)))</formula>
    </cfRule>
  </conditionalFormatting>
  <conditionalFormatting sqref="P44">
    <cfRule type="containsText" dxfId="258" priority="112" operator="containsText" text=" ">
      <formula>NOT(ISERROR(SEARCH(" ",P44)))</formula>
    </cfRule>
  </conditionalFormatting>
  <conditionalFormatting sqref="Q44">
    <cfRule type="containsText" dxfId="257" priority="111" operator="containsText" text=" ">
      <formula>NOT(ISERROR(SEARCH(" ",Q44)))</formula>
    </cfRule>
  </conditionalFormatting>
  <conditionalFormatting sqref="Y44">
    <cfRule type="containsText" dxfId="256" priority="110" operator="containsText" text=" ">
      <formula>NOT(ISERROR(SEARCH(" ",Y44)))</formula>
    </cfRule>
  </conditionalFormatting>
  <conditionalFormatting sqref="AA44">
    <cfRule type="containsText" dxfId="255" priority="109" operator="containsText" text=" ">
      <formula>NOT(ISERROR(SEARCH(" ",AA44)))</formula>
    </cfRule>
  </conditionalFormatting>
  <conditionalFormatting sqref="F45">
    <cfRule type="containsText" dxfId="254" priority="100" operator="containsText" text=" ">
      <formula>NOT(ISERROR(SEARCH(" ",F45)))</formula>
    </cfRule>
  </conditionalFormatting>
  <conditionalFormatting sqref="O45">
    <cfRule type="containsText" dxfId="253" priority="99" operator="containsText" text=" ">
      <formula>NOT(ISERROR(SEARCH(" ",O45)))</formula>
    </cfRule>
  </conditionalFormatting>
  <conditionalFormatting sqref="P45">
    <cfRule type="containsText" dxfId="252" priority="98" operator="containsText" text=" ">
      <formula>NOT(ISERROR(SEARCH(" ",P45)))</formula>
    </cfRule>
  </conditionalFormatting>
  <conditionalFormatting sqref="Q45">
    <cfRule type="containsText" dxfId="251" priority="97" operator="containsText" text=" ">
      <formula>NOT(ISERROR(SEARCH(" ",Q45)))</formula>
    </cfRule>
  </conditionalFormatting>
  <conditionalFormatting sqref="R45">
    <cfRule type="containsText" dxfId="250" priority="104" operator="containsText" text=" ">
      <formula>NOT(ISERROR(SEARCH(" ",R45)))</formula>
    </cfRule>
  </conditionalFormatting>
  <conditionalFormatting sqref="S45:T45">
    <cfRule type="containsText" dxfId="249" priority="105" operator="containsText" text=" ">
      <formula>NOT(ISERROR(SEARCH(" ",S45)))</formula>
    </cfRule>
  </conditionalFormatting>
  <conditionalFormatting sqref="U45:V45">
    <cfRule type="containsText" dxfId="248" priority="103" operator="containsText" text=" ">
      <formula>NOT(ISERROR(SEARCH(" ",U45)))</formula>
    </cfRule>
  </conditionalFormatting>
  <conditionalFormatting sqref="Y45">
    <cfRule type="containsText" dxfId="247" priority="96" operator="containsText" text=" ">
      <formula>NOT(ISERROR(SEARCH(" ",Y45)))</formula>
    </cfRule>
  </conditionalFormatting>
  <conditionalFormatting sqref="AA45">
    <cfRule type="containsText" dxfId="246" priority="95" operator="containsText" text=" ">
      <formula>NOT(ISERROR(SEARCH(" ",AA45)))</formula>
    </cfRule>
  </conditionalFormatting>
  <conditionalFormatting sqref="F46">
    <cfRule type="containsText" dxfId="245" priority="86" operator="containsText" text=" ">
      <formula>NOT(ISERROR(SEARCH(" ",F46)))</formula>
    </cfRule>
  </conditionalFormatting>
  <conditionalFormatting sqref="O46">
    <cfRule type="containsText" dxfId="244" priority="85" operator="containsText" text=" ">
      <formula>NOT(ISERROR(SEARCH(" ",O46)))</formula>
    </cfRule>
  </conditionalFormatting>
  <conditionalFormatting sqref="P46">
    <cfRule type="containsText" dxfId="243" priority="84" operator="containsText" text=" ">
      <formula>NOT(ISERROR(SEARCH(" ",P46)))</formula>
    </cfRule>
  </conditionalFormatting>
  <conditionalFormatting sqref="Q46">
    <cfRule type="containsText" dxfId="242" priority="83" operator="containsText" text=" ">
      <formula>NOT(ISERROR(SEARCH(" ",Q46)))</formula>
    </cfRule>
  </conditionalFormatting>
  <conditionalFormatting sqref="R46">
    <cfRule type="containsText" dxfId="241" priority="90" operator="containsText" text=" ">
      <formula>NOT(ISERROR(SEARCH(" ",R46)))</formula>
    </cfRule>
  </conditionalFormatting>
  <conditionalFormatting sqref="S46:T46">
    <cfRule type="containsText" dxfId="240" priority="91" operator="containsText" text=" ">
      <formula>NOT(ISERROR(SEARCH(" ",S46)))</formula>
    </cfRule>
  </conditionalFormatting>
  <conditionalFormatting sqref="U46:V46">
    <cfRule type="containsText" dxfId="239" priority="89" operator="containsText" text=" ">
      <formula>NOT(ISERROR(SEARCH(" ",U46)))</formula>
    </cfRule>
  </conditionalFormatting>
  <conditionalFormatting sqref="Y46">
    <cfRule type="containsText" dxfId="238" priority="82" operator="containsText" text=" ">
      <formula>NOT(ISERROR(SEARCH(" ",Y46)))</formula>
    </cfRule>
  </conditionalFormatting>
  <conditionalFormatting sqref="AA46">
    <cfRule type="containsText" dxfId="237" priority="81" operator="containsText" text=" ">
      <formula>NOT(ISERROR(SEARCH(" ",AA46)))</formula>
    </cfRule>
  </conditionalFormatting>
  <conditionalFormatting sqref="F47">
    <cfRule type="containsText" dxfId="236" priority="72" operator="containsText" text=" ">
      <formula>NOT(ISERROR(SEARCH(" ",F47)))</formula>
    </cfRule>
  </conditionalFormatting>
  <conditionalFormatting sqref="O47">
    <cfRule type="containsText" dxfId="235" priority="71" operator="containsText" text=" ">
      <formula>NOT(ISERROR(SEARCH(" ",O47)))</formula>
    </cfRule>
  </conditionalFormatting>
  <conditionalFormatting sqref="P47">
    <cfRule type="containsText" dxfId="234" priority="70" operator="containsText" text=" ">
      <formula>NOT(ISERROR(SEARCH(" ",P47)))</formula>
    </cfRule>
  </conditionalFormatting>
  <conditionalFormatting sqref="Q47">
    <cfRule type="containsText" dxfId="233" priority="69" operator="containsText" text=" ">
      <formula>NOT(ISERROR(SEARCH(" ",Q47)))</formula>
    </cfRule>
  </conditionalFormatting>
  <conditionalFormatting sqref="R47">
    <cfRule type="containsText" dxfId="232" priority="76" operator="containsText" text=" ">
      <formula>NOT(ISERROR(SEARCH(" ",R47)))</formula>
    </cfRule>
  </conditionalFormatting>
  <conditionalFormatting sqref="S47:T47">
    <cfRule type="containsText" dxfId="231" priority="77" operator="containsText" text=" ">
      <formula>NOT(ISERROR(SEARCH(" ",S47)))</formula>
    </cfRule>
  </conditionalFormatting>
  <conditionalFormatting sqref="U47:V47">
    <cfRule type="containsText" dxfId="230" priority="75" operator="containsText" text=" ">
      <formula>NOT(ISERROR(SEARCH(" ",U47)))</formula>
    </cfRule>
  </conditionalFormatting>
  <conditionalFormatting sqref="Y47">
    <cfRule type="containsText" dxfId="229" priority="68" operator="containsText" text=" ">
      <formula>NOT(ISERROR(SEARCH(" ",Y47)))</formula>
    </cfRule>
  </conditionalFormatting>
  <conditionalFormatting sqref="AA47">
    <cfRule type="containsText" dxfId="228" priority="67" operator="containsText" text=" ">
      <formula>NOT(ISERROR(SEARCH(" ",AA47)))</formula>
    </cfRule>
  </conditionalFormatting>
  <conditionalFormatting sqref="A48">
    <cfRule type="duplicateValues" dxfId="227" priority="42"/>
  </conditionalFormatting>
  <conditionalFormatting sqref="B48">
    <cfRule type="containsText" dxfId="226" priority="45" operator="containsText" text=" ">
      <formula>NOT(ISERROR(SEARCH(" ",B48)))</formula>
    </cfRule>
  </conditionalFormatting>
  <conditionalFormatting sqref="D48">
    <cfRule type="containsText" dxfId="225" priority="44" operator="containsText" text=" ">
      <formula>NOT(ISERROR(SEARCH(" ",D48)))</formula>
    </cfRule>
  </conditionalFormatting>
  <conditionalFormatting sqref="E48">
    <cfRule type="containsText" dxfId="224" priority="43" operator="containsText" text=" ">
      <formula>NOT(ISERROR(SEARCH(" ",E48)))</formula>
    </cfRule>
  </conditionalFormatting>
  <conditionalFormatting sqref="F48">
    <cfRule type="containsText" dxfId="223" priority="50" operator="containsText" text=" ">
      <formula>NOT(ISERROR(SEARCH(" ",F48)))</formula>
    </cfRule>
  </conditionalFormatting>
  <conditionalFormatting sqref="G48">
    <cfRule type="containsText" dxfId="222" priority="41" operator="containsText" text=" ">
      <formula>NOT(ISERROR(SEARCH(" ",G48)))</formula>
    </cfRule>
  </conditionalFormatting>
  <conditionalFormatting sqref="P48">
    <cfRule type="containsText" dxfId="221" priority="48" operator="containsText" text=" ">
      <formula>NOT(ISERROR(SEARCH(" ",P48)))</formula>
    </cfRule>
  </conditionalFormatting>
  <conditionalFormatting sqref="W48">
    <cfRule type="containsText" dxfId="220" priority="47" operator="containsText" text=" ">
      <formula>NOT(ISERROR(SEARCH(" ",W48)))</formula>
    </cfRule>
  </conditionalFormatting>
  <conditionalFormatting sqref="X48">
    <cfRule type="containsText" dxfId="219" priority="46" operator="containsText" text=" ">
      <formula>NOT(ISERROR(SEARCH(" ",X48)))</formula>
    </cfRule>
  </conditionalFormatting>
  <conditionalFormatting sqref="B40:B43">
    <cfRule type="containsText" dxfId="218" priority="121" operator="containsText" text=" ">
      <formula>NOT(ISERROR(SEARCH(" ",B40)))</formula>
    </cfRule>
  </conditionalFormatting>
  <conditionalFormatting sqref="B44:B47">
    <cfRule type="containsText" dxfId="217" priority="116" operator="containsText" text=" ">
      <formula>NOT(ISERROR(SEARCH(" ",B44)))</formula>
    </cfRule>
  </conditionalFormatting>
  <conditionalFormatting sqref="C26:C27">
    <cfRule type="containsText" dxfId="216" priority="292" operator="containsText" text=" ">
      <formula>NOT(ISERROR(SEARCH(" ",C26)))</formula>
    </cfRule>
  </conditionalFormatting>
  <conditionalFormatting sqref="C29:C30">
    <cfRule type="containsText" dxfId="215" priority="277" operator="containsText" text=" ">
      <formula>NOT(ISERROR(SEARCH(" ",C29)))</formula>
    </cfRule>
  </conditionalFormatting>
  <conditionalFormatting sqref="F7:F11">
    <cfRule type="containsText" dxfId="214" priority="120" operator="containsText" text=" ">
      <formula>NOT(ISERROR(SEARCH(" ",F7)))</formula>
    </cfRule>
  </conditionalFormatting>
  <conditionalFormatting sqref="H26:H27">
    <cfRule type="containsText" dxfId="213" priority="291" operator="containsText" text=" ">
      <formula>NOT(ISERROR(SEARCH(" ",H26)))</formula>
    </cfRule>
  </conditionalFormatting>
  <conditionalFormatting sqref="H29:H30">
    <cfRule type="containsText" dxfId="212" priority="281" operator="containsText" text=" ">
      <formula>NOT(ISERROR(SEARCH(" ",H29)))</formula>
    </cfRule>
  </conditionalFormatting>
  <conditionalFormatting sqref="M1:M2">
    <cfRule type="containsText" dxfId="211" priority="118" operator="containsText" text=" ">
      <formula>NOT(ISERROR(SEARCH(" ",M1)))</formula>
    </cfRule>
  </conditionalFormatting>
  <conditionalFormatting sqref="P31:P32">
    <cfRule type="containsText" dxfId="210" priority="231" operator="containsText" text=" ">
      <formula>NOT(ISERROR(SEARCH(" ",P31)))</formula>
    </cfRule>
  </conditionalFormatting>
  <conditionalFormatting sqref="T1:T3">
    <cfRule type="containsText" dxfId="209" priority="140" operator="containsText" text=" ">
      <formula>NOT(ISERROR(SEARCH(" ",T1)))</formula>
    </cfRule>
  </conditionalFormatting>
  <conditionalFormatting sqref="W31:W32">
    <cfRule type="containsText" dxfId="208" priority="225" operator="containsText" text=" ">
      <formula>NOT(ISERROR(SEARCH(" ",W31)))</formula>
    </cfRule>
  </conditionalFormatting>
  <conditionalFormatting sqref="W44:W47">
    <cfRule type="containsText" dxfId="207" priority="65" operator="containsText" text=" ">
      <formula>NOT(ISERROR(SEARCH(" ",W44)))</formula>
    </cfRule>
  </conditionalFormatting>
  <conditionalFormatting sqref="X29:X30">
    <cfRule type="containsText" dxfId="206" priority="251" operator="containsText" text=" ">
      <formula>NOT(ISERROR(SEARCH(" ",X29)))</formula>
    </cfRule>
  </conditionalFormatting>
  <conditionalFormatting sqref="X31:X32">
    <cfRule type="containsText" dxfId="205" priority="224" operator="containsText" text=" ">
      <formula>NOT(ISERROR(SEARCH(" ",X31)))</formula>
    </cfRule>
  </conditionalFormatting>
  <conditionalFormatting sqref="X44:X47">
    <cfRule type="containsText" dxfId="204" priority="66" operator="containsText" text=" ">
      <formula>NOT(ISERROR(SEARCH(" ",X44)))</formula>
    </cfRule>
  </conditionalFormatting>
  <conditionalFormatting sqref="AA26:AA27">
    <cfRule type="containsText" dxfId="203" priority="250" operator="containsText" text=" ">
      <formula>NOT(ISERROR(SEARCH(" ",AA26)))</formula>
    </cfRule>
  </conditionalFormatting>
  <conditionalFormatting sqref="AA29:AA30">
    <cfRule type="containsText" dxfId="202" priority="249" operator="containsText" text=" ">
      <formula>NOT(ISERROR(SEARCH(" ",AA29)))</formula>
    </cfRule>
  </conditionalFormatting>
  <conditionalFormatting sqref="A38 A40:A47 A1:A33 A49:A1048576">
    <cfRule type="duplicateValues" dxfId="201" priority="122"/>
  </conditionalFormatting>
  <conditionalFormatting sqref="A1:C4 C5:C6 A5:A8 C8 C31:C32 H1:L2 A31:A33 H3:K3 Z38 Z40:Z47 Z6:Z34 AB38:XFD38 AB33:XFD33 M4:V5 H4:L8 H12:N15 H31:H32 N1:S3 A38 U12:V15 M6:R8 U6:V8 Y1:XFD5 Y6:Y8 AA6:XFD8 U1:V3 S21:T32 S6:T11 A44:A47 C44:E44 G44:N44 AB44:XFD44 A49:V1048576 Y49:XFD1048576">
    <cfRule type="containsText" dxfId="200" priority="301" operator="containsText" text=" ">
      <formula>NOT(ISERROR(SEARCH(" ",A1)))</formula>
    </cfRule>
  </conditionalFormatting>
  <conditionalFormatting sqref="D1:D6 D8 E4:G4">
    <cfRule type="containsText" dxfId="199" priority="172" operator="containsText" text=" ">
      <formula>NOT(ISERROR(SEARCH(" ",D1)))</formula>
    </cfRule>
  </conditionalFormatting>
  <conditionalFormatting sqref="E1:G3">
    <cfRule type="containsText" dxfId="198" priority="168" operator="containsText" text=" ">
      <formula>NOT(ISERROR(SEARCH(" ",E1)))</formula>
    </cfRule>
  </conditionalFormatting>
  <conditionalFormatting sqref="W1:W2 W5:W9 W49:W1048576">
    <cfRule type="containsText" dxfId="197" priority="286" operator="containsText" text=" ">
      <formula>NOT(ISERROR(SEARCH(" ",W1)))</formula>
    </cfRule>
  </conditionalFormatting>
  <conditionalFormatting sqref="X1:X9 X49:X1048576">
    <cfRule type="containsText" dxfId="196" priority="285" operator="containsText" text=" ">
      <formula>NOT(ISERROR(SEARCH(" ",X1)))</formula>
    </cfRule>
  </conditionalFormatting>
  <conditionalFormatting sqref="A29:A30 W3 P26:P27 W26:X27 P29:P30">
    <cfRule type="containsText" dxfId="195" priority="284" operator="containsText" text=" ">
      <formula>NOT(ISERROR(SEARCH(" ",A3)))</formula>
    </cfRule>
  </conditionalFormatting>
  <conditionalFormatting sqref="L3 AB31:XFD32">
    <cfRule type="containsText" dxfId="194" priority="300" operator="containsText" text=" ">
      <formula>NOT(ISERROR(SEARCH(" ",L3)))</formula>
    </cfRule>
  </conditionalFormatting>
  <conditionalFormatting sqref="B5:B6 B31:B32">
    <cfRule type="containsText" dxfId="193" priority="195" operator="containsText" text=" ">
      <formula>NOT(ISERROR(SEARCH(" ",B5)))</formula>
    </cfRule>
  </conditionalFormatting>
  <conditionalFormatting sqref="E5:G6 E7:E10 G7:G11">
    <cfRule type="containsText" dxfId="192" priority="167" operator="containsText" text=" ">
      <formula>NOT(ISERROR(SEARCH(" ",E5)))</formula>
    </cfRule>
  </conditionalFormatting>
  <conditionalFormatting sqref="B7 F16:F33 G13:G16 A13:F15 H17:R21 D31:E32 D23:D30 A12:G12 A17:E21 F38 F40:F43 P23 W12:Y15 AA12:XFD15 U17:Y21 AA17:XFD21 W23:X23 P12:P15">
    <cfRule type="containsText" dxfId="191" priority="193" operator="containsText" text=" ">
      <formula>NOT(ISERROR(SEARCH(" ",A7)))</formula>
    </cfRule>
  </conditionalFormatting>
  <conditionalFormatting sqref="C9 H9:R9 A9 U9:V9 Q12:R15 Y9 AA9:XFD9 O12:O15">
    <cfRule type="containsText" dxfId="190" priority="296" operator="containsText" text=" ">
      <formula>NOT(ISERROR(SEARCH(" ",A9)))</formula>
    </cfRule>
  </conditionalFormatting>
  <conditionalFormatting sqref="C10 H10:R10 A10 U10:V10 Y10 AA10:XFD10">
    <cfRule type="containsText" dxfId="189" priority="276" operator="containsText" text=" ">
      <formula>NOT(ISERROR(SEARCH(" ",A10)))</formula>
    </cfRule>
  </conditionalFormatting>
  <conditionalFormatting sqref="A11 H11:O11 U11:V11 Q11:R11 Y11 AA11:XFD11">
    <cfRule type="containsText" dxfId="188" priority="159" operator="containsText" text=" ">
      <formula>NOT(ISERROR(SEARCH(" ",A11)))</formula>
    </cfRule>
  </conditionalFormatting>
  <conditionalFormatting sqref="S12:T20">
    <cfRule type="containsText" dxfId="187" priority="139" operator="containsText" text=" ">
      <formula>NOT(ISERROR(SEARCH(" ",S12)))</formula>
    </cfRule>
  </conditionalFormatting>
  <conditionalFormatting sqref="A16:E16 P16 W16:Y16 AA16:XFD16">
    <cfRule type="containsText" dxfId="186" priority="142" operator="containsText" text=" ">
      <formula>NOT(ISERROR(SEARCH(" ",A16)))</formula>
    </cfRule>
  </conditionalFormatting>
  <conditionalFormatting sqref="I16:N16 U16:V16">
    <cfRule type="containsText" dxfId="185" priority="144" operator="containsText" text=" ">
      <formula>NOT(ISERROR(SEARCH(" ",I16)))</formula>
    </cfRule>
  </conditionalFormatting>
  <conditionalFormatting sqref="G17:G33 G38 G40:G43">
    <cfRule type="containsText" dxfId="184" priority="119" operator="containsText" text=" ">
      <formula>NOT(ISERROR(SEARCH(" ",G17)))</formula>
    </cfRule>
  </conditionalFormatting>
  <conditionalFormatting sqref="C22 A22 H22:O22 U22:V22 Q22:R22 Y22 AA22:XFD22">
    <cfRule type="containsText" dxfId="183" priority="151" operator="containsText" text=" ">
      <formula>NOT(ISERROR(SEARCH(" ",A22)))</formula>
    </cfRule>
  </conditionalFormatting>
  <conditionalFormatting sqref="A23 A26:A27 C23 H23:O23 I26:M27 U26:V27 U23:V23 Q23:R23 O26:O27 Y23 AA23:XFD23 Q26:R27 Y26:Y27 AB26:XFD27">
    <cfRule type="containsText" dxfId="182" priority="294" operator="containsText" text=" ">
      <formula>NOT(ISERROR(SEARCH(" ",A23)))</formula>
    </cfRule>
  </conditionalFormatting>
  <conditionalFormatting sqref="B23 B26:B30">
    <cfRule type="containsText" dxfId="181" priority="191" operator="containsText" text=" ">
      <formula>NOT(ISERROR(SEARCH(" ",B23)))</formula>
    </cfRule>
  </conditionalFormatting>
  <conditionalFormatting sqref="E26:E27 E23">
    <cfRule type="containsText" dxfId="180" priority="166" operator="containsText" text=" ">
      <formula>NOT(ISERROR(SEARCH(" ",E23)))</formula>
    </cfRule>
  </conditionalFormatting>
  <conditionalFormatting sqref="A24 C24 H24:O24 U24:V24 Q24:R24 Y24 AA24:XFD24">
    <cfRule type="containsText" dxfId="179" priority="202" operator="containsText" text=" ">
      <formula>NOT(ISERROR(SEARCH(" ",A24)))</formula>
    </cfRule>
  </conditionalFormatting>
  <conditionalFormatting sqref="A25 I25:M25 Q25:R25 U25:V25 Y25 O25 AB25:XFD25">
    <cfRule type="containsText" dxfId="178" priority="247" operator="containsText" text=" ">
      <formula>NOT(ISERROR(SEARCH(" ",A25)))</formula>
    </cfRule>
  </conditionalFormatting>
  <conditionalFormatting sqref="A28 I28:M28 Q28:R28 U28:V28 Y28 O28 AB28:XFD28">
    <cfRule type="containsText" dxfId="177" priority="210" operator="containsText" text=" ">
      <formula>NOT(ISERROR(SEARCH(" ",A28)))</formula>
    </cfRule>
  </conditionalFormatting>
  <conditionalFormatting sqref="I29:M30 Y29:Y30 U29:V30 Q29:R30 O29:O30 AB29:XFD30">
    <cfRule type="containsText" dxfId="176" priority="283" operator="containsText" text=" ">
      <formula>NOT(ISERROR(SEARCH(" ",I29)))</formula>
    </cfRule>
  </conditionalFormatting>
  <conditionalFormatting sqref="I31:M31 O31 U31:V31 Y31 AA31 Q31:R31">
    <cfRule type="containsText" dxfId="175" priority="230" operator="containsText" text=" ">
      <formula>NOT(ISERROR(SEARCH(" ",I31)))</formula>
    </cfRule>
  </conditionalFormatting>
  <conditionalFormatting sqref="U32:V32 Y32 AA32">
    <cfRule type="containsText" dxfId="174" priority="226" operator="containsText" text=" ">
      <formula>NOT(ISERROR(SEARCH(" ",U32)))</formula>
    </cfRule>
  </conditionalFormatting>
  <conditionalFormatting sqref="B33:E33 W33:Y33 P33">
    <cfRule type="containsText" dxfId="173" priority="136" operator="containsText" text=" ">
      <formula>NOT(ISERROR(SEARCH(" ",B33)))</formula>
    </cfRule>
  </conditionalFormatting>
  <conditionalFormatting sqref="H33:N33 U33:V33">
    <cfRule type="containsText" dxfId="172" priority="138" operator="containsText" text=" ">
      <formula>NOT(ISERROR(SEARCH(" ",H33)))</formula>
    </cfRule>
  </conditionalFormatting>
  <conditionalFormatting sqref="Q33:R33 O33">
    <cfRule type="containsText" dxfId="171" priority="137" operator="containsText" text=" ">
      <formula>NOT(ISERROR(SEARCH(" ",O33)))</formula>
    </cfRule>
  </conditionalFormatting>
  <conditionalFormatting sqref="A34 AB34:XFD34">
    <cfRule type="containsText" dxfId="170" priority="61" operator="containsText" text=" ">
      <formula>NOT(ISERROR(SEARCH(" ",A34)))</formula>
    </cfRule>
  </conditionalFormatting>
  <conditionalFormatting sqref="B34:E34 W34:Y34 P34">
    <cfRule type="containsText" dxfId="169" priority="57" operator="containsText" text=" ">
      <formula>NOT(ISERROR(SEARCH(" ",B34)))</formula>
    </cfRule>
  </conditionalFormatting>
  <conditionalFormatting sqref="Q34:R34 O34">
    <cfRule type="containsText" dxfId="168" priority="58" operator="containsText" text=" ">
      <formula>NOT(ISERROR(SEARCH(" ",O34)))</formula>
    </cfRule>
  </conditionalFormatting>
  <conditionalFormatting sqref="A35 AB35:XFD35 Z35">
    <cfRule type="containsText" dxfId="167" priority="40" operator="containsText" text=" ">
      <formula>NOT(ISERROR(SEARCH(" ",A35)))</formula>
    </cfRule>
  </conditionalFormatting>
  <conditionalFormatting sqref="B35:E35 W35:Y35 P35">
    <cfRule type="containsText" dxfId="166" priority="36" operator="containsText" text=" ">
      <formula>NOT(ISERROR(SEARCH(" ",B35)))</formula>
    </cfRule>
  </conditionalFormatting>
  <conditionalFormatting sqref="H35:N35 U35:V35">
    <cfRule type="containsText" dxfId="165" priority="38" operator="containsText" text=" ">
      <formula>NOT(ISERROR(SEARCH(" ",H35)))</formula>
    </cfRule>
  </conditionalFormatting>
  <conditionalFormatting sqref="Q35:R35 O35">
    <cfRule type="containsText" dxfId="164" priority="37" operator="containsText" text=" ">
      <formula>NOT(ISERROR(SEARCH(" ",O35)))</formula>
    </cfRule>
  </conditionalFormatting>
  <conditionalFormatting sqref="A36 AB36:XFD36 Z36">
    <cfRule type="containsText" dxfId="163" priority="31" operator="containsText" text=" ">
      <formula>NOT(ISERROR(SEARCH(" ",A36)))</formula>
    </cfRule>
  </conditionalFormatting>
  <conditionalFormatting sqref="B36:E36 W36:Y36 P36">
    <cfRule type="containsText" dxfId="162" priority="27" operator="containsText" text=" ">
      <formula>NOT(ISERROR(SEARCH(" ",B36)))</formula>
    </cfRule>
  </conditionalFormatting>
  <conditionalFormatting sqref="H36:N36 U36:V36">
    <cfRule type="containsText" dxfId="161" priority="29" operator="containsText" text=" ">
      <formula>NOT(ISERROR(SEARCH(" ",H36)))</formula>
    </cfRule>
  </conditionalFormatting>
  <conditionalFormatting sqref="Q36:R36 O36">
    <cfRule type="containsText" dxfId="160" priority="28" operator="containsText" text=" ">
      <formula>NOT(ISERROR(SEARCH(" ",O36)))</formula>
    </cfRule>
  </conditionalFormatting>
  <conditionalFormatting sqref="A37 AB37:XFD37 Z37">
    <cfRule type="containsText" dxfId="159" priority="22" operator="containsText" text=" ">
      <formula>NOT(ISERROR(SEARCH(" ",A37)))</formula>
    </cfRule>
  </conditionalFormatting>
  <conditionalFormatting sqref="B37:E37 W37:Y37 P37">
    <cfRule type="containsText" dxfId="158" priority="18" operator="containsText" text=" ">
      <formula>NOT(ISERROR(SEARCH(" ",B37)))</formula>
    </cfRule>
  </conditionalFormatting>
  <conditionalFormatting sqref="H37:N37 U37:V37">
    <cfRule type="containsText" dxfId="157" priority="20" operator="containsText" text=" ">
      <formula>NOT(ISERROR(SEARCH(" ",H37)))</formula>
    </cfRule>
  </conditionalFormatting>
  <conditionalFormatting sqref="Q37:R37 O37">
    <cfRule type="containsText" dxfId="156" priority="19" operator="containsText" text=" ">
      <formula>NOT(ISERROR(SEARCH(" ",O37)))</formula>
    </cfRule>
  </conditionalFormatting>
  <conditionalFormatting sqref="C38 H38:O38 Y38 Y40:Y43 AA38 Q38:R38 Q40:R43 U38:V38 O40:O43 R44">
    <cfRule type="containsText" dxfId="155" priority="132" operator="containsText" text=" ">
      <formula>NOT(ISERROR(SEARCH(" ",C38)))</formula>
    </cfRule>
  </conditionalFormatting>
  <conditionalFormatting sqref="P38 P40:P43">
    <cfRule type="containsText" dxfId="154" priority="131" operator="containsText" text=" ">
      <formula>NOT(ISERROR(SEARCH(" ",P38)))</formula>
    </cfRule>
  </conditionalFormatting>
  <conditionalFormatting sqref="S38:T38 S40:T44">
    <cfRule type="containsText" dxfId="153" priority="133" operator="containsText" text=" ">
      <formula>NOT(ISERROR(SEARCH(" ",S38)))</formula>
    </cfRule>
  </conditionalFormatting>
  <conditionalFormatting sqref="Z39 AB39:XFD39 A39">
    <cfRule type="containsText" dxfId="152" priority="13" operator="containsText" text=" ">
      <formula>NOT(ISERROR(SEARCH(" ",A39)))</formula>
    </cfRule>
  </conditionalFormatting>
  <conditionalFormatting sqref="C39 H39:O39 Y39 AA39 Q39:R39 U39:V39">
    <cfRule type="containsText" dxfId="151" priority="10" operator="containsText" text=" ">
      <formula>NOT(ISERROR(SEARCH(" ",C39)))</formula>
    </cfRule>
  </conditionalFormatting>
  <conditionalFormatting sqref="A40:A43 N40:N43 C40:E43 AA40:XFD43 U44:V44 U40:X43 H40:K43">
    <cfRule type="containsText" dxfId="150" priority="124" operator="containsText" text=" ">
      <formula>NOT(ISERROR(SEARCH(" ",A40)))</formula>
    </cfRule>
  </conditionalFormatting>
  <conditionalFormatting sqref="C45:E45 AB45:XFD45 G45:N45">
    <cfRule type="containsText" dxfId="149" priority="108" operator="containsText" text=" ">
      <formula>NOT(ISERROR(SEARCH(" ",C45)))</formula>
    </cfRule>
  </conditionalFormatting>
  <conditionalFormatting sqref="C46:E46 AB46:XFD46 G46:N46">
    <cfRule type="containsText" dxfId="148" priority="94" operator="containsText" text=" ">
      <formula>NOT(ISERROR(SEARCH(" ",C46)))</formula>
    </cfRule>
  </conditionalFormatting>
  <conditionalFormatting sqref="C47:E47 AB47:XFD47 G47:N47">
    <cfRule type="containsText" dxfId="147" priority="80" operator="containsText" text=" ">
      <formula>NOT(ISERROR(SEARCH(" ",C47)))</formula>
    </cfRule>
  </conditionalFormatting>
  <conditionalFormatting sqref="C48 AA48:XFD48 Y48 Q48:R48 U48:V48 H48:O48 A48">
    <cfRule type="containsText" dxfId="146" priority="49" operator="containsText" text=" ">
      <formula>NOT(ISERROR(SEARCH(" ",A48)))</formula>
    </cfRule>
  </conditionalFormatting>
  <conditionalFormatting sqref="S48:T48 Z48">
    <cfRule type="containsText" dxfId="145" priority="51" operator="containsText" text=" ">
      <formula>NOT(ISERROR(SEARCH(" ",S48)))</formula>
    </cfRule>
  </conditionalFormatting>
  <conditionalFormatting sqref="AA35:AA37">
    <cfRule type="containsText" dxfId="144" priority="1" operator="containsText" text=" ">
      <formula>NOT(ISERROR(SEARCH(" ",AA35)))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5"/>
  <sheetViews>
    <sheetView workbookViewId="0">
      <selection activeCell="B5" sqref="B5"/>
    </sheetView>
  </sheetViews>
  <sheetFormatPr defaultColWidth="9" defaultRowHeight="15.6" x14ac:dyDescent="0.25"/>
  <cols>
    <col min="1" max="1" width="9.88671875" style="1" customWidth="1"/>
    <col min="2" max="2" width="25.21875" style="1" customWidth="1"/>
    <col min="3" max="3" width="20.77734375" style="1" customWidth="1"/>
    <col min="4" max="4" width="26.44140625" style="1" customWidth="1"/>
    <col min="5" max="5" width="17.44140625" style="1" customWidth="1"/>
    <col min="6" max="6" width="20.44140625" style="1" customWidth="1"/>
    <col min="7" max="7" width="11.88671875" style="1" customWidth="1"/>
    <col min="8" max="8" width="13.44140625" style="1" customWidth="1"/>
    <col min="9" max="9" width="10.44140625" style="1" customWidth="1"/>
    <col min="10" max="10" width="14.6640625" style="1" customWidth="1"/>
    <col min="11" max="11" width="9" style="1"/>
    <col min="12" max="12" width="14" style="1" customWidth="1"/>
    <col min="13" max="13" width="19.88671875" style="1" customWidth="1"/>
    <col min="14" max="14" width="14" style="1" customWidth="1"/>
    <col min="15" max="15" width="11.21875" style="1" customWidth="1"/>
    <col min="16" max="16" width="12" style="1" customWidth="1"/>
    <col min="17" max="16384" width="9" style="1"/>
  </cols>
  <sheetData>
    <row r="1" spans="1:17" x14ac:dyDescent="0.35">
      <c r="A1" s="2" t="s">
        <v>0</v>
      </c>
      <c r="B1" s="2" t="s">
        <v>976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88" t="s">
        <v>0</v>
      </c>
      <c r="I1" s="88" t="s">
        <v>0</v>
      </c>
      <c r="J1" s="88" t="s">
        <v>0</v>
      </c>
      <c r="K1" s="91" t="s">
        <v>0</v>
      </c>
      <c r="L1" s="91" t="s">
        <v>0</v>
      </c>
      <c r="M1" s="92" t="s">
        <v>0</v>
      </c>
      <c r="N1" s="92" t="s">
        <v>0</v>
      </c>
      <c r="O1" s="2" t="s">
        <v>0</v>
      </c>
      <c r="P1" s="2" t="s">
        <v>0</v>
      </c>
    </row>
    <row r="2" spans="1:17" x14ac:dyDescent="0.35">
      <c r="A2" s="2" t="s">
        <v>11</v>
      </c>
      <c r="B2" s="2" t="s">
        <v>12</v>
      </c>
      <c r="C2" s="2" t="s">
        <v>14</v>
      </c>
      <c r="D2" s="2" t="s">
        <v>14</v>
      </c>
      <c r="E2" s="2" t="s">
        <v>11</v>
      </c>
      <c r="F2" s="2" t="s">
        <v>11</v>
      </c>
      <c r="G2" s="2" t="s">
        <v>14</v>
      </c>
      <c r="H2" s="88" t="s">
        <v>11</v>
      </c>
      <c r="I2" s="88" t="s">
        <v>11</v>
      </c>
      <c r="J2" s="88" t="s">
        <v>11</v>
      </c>
      <c r="K2" s="91" t="s">
        <v>11</v>
      </c>
      <c r="L2" s="91" t="s">
        <v>11</v>
      </c>
      <c r="M2" s="92" t="s">
        <v>14</v>
      </c>
      <c r="N2" s="92" t="s">
        <v>11</v>
      </c>
      <c r="O2" s="2" t="s">
        <v>11</v>
      </c>
      <c r="P2" s="2" t="s">
        <v>11</v>
      </c>
      <c r="Q2" s="1" t="s">
        <v>2143</v>
      </c>
    </row>
    <row r="3" spans="1:17" x14ac:dyDescent="0.35">
      <c r="A3" s="2" t="s">
        <v>2120</v>
      </c>
      <c r="B3" s="2" t="s">
        <v>1437</v>
      </c>
      <c r="C3" s="2" t="s">
        <v>2144</v>
      </c>
      <c r="D3" s="2" t="s">
        <v>2149</v>
      </c>
      <c r="E3" s="2" t="s">
        <v>2150</v>
      </c>
      <c r="F3" s="2" t="s">
        <v>2153</v>
      </c>
      <c r="G3" s="2" t="s">
        <v>2155</v>
      </c>
      <c r="H3" s="88" t="s">
        <v>2156</v>
      </c>
      <c r="I3" s="88" t="s">
        <v>2158</v>
      </c>
      <c r="J3" s="88" t="s">
        <v>2159</v>
      </c>
      <c r="K3" s="91" t="s">
        <v>2162</v>
      </c>
      <c r="L3" s="91" t="s">
        <v>2163</v>
      </c>
      <c r="M3" s="92" t="s">
        <v>2164</v>
      </c>
      <c r="N3" s="92" t="s">
        <v>2165</v>
      </c>
      <c r="O3" s="2" t="s">
        <v>2166</v>
      </c>
      <c r="P3" s="2" t="s">
        <v>1816</v>
      </c>
    </row>
    <row r="4" spans="1:17" s="69" customFormat="1" ht="92.4" x14ac:dyDescent="0.25">
      <c r="A4" s="60" t="s">
        <v>2340</v>
      </c>
      <c r="B4" s="89" t="s">
        <v>2341</v>
      </c>
      <c r="C4" s="60" t="s">
        <v>2170</v>
      </c>
      <c r="D4" s="60" t="s">
        <v>2174</v>
      </c>
      <c r="E4" s="60" t="s">
        <v>2342</v>
      </c>
      <c r="F4" s="60" t="s">
        <v>2343</v>
      </c>
      <c r="G4" s="89" t="s">
        <v>2344</v>
      </c>
      <c r="H4" s="90" t="s">
        <v>2345</v>
      </c>
      <c r="I4" s="90" t="s">
        <v>2182</v>
      </c>
      <c r="J4" s="90" t="s">
        <v>2183</v>
      </c>
      <c r="K4" s="93" t="s">
        <v>2186</v>
      </c>
      <c r="L4" s="93" t="s">
        <v>2187</v>
      </c>
      <c r="M4" s="94" t="s">
        <v>2188</v>
      </c>
      <c r="N4" s="94" t="s">
        <v>2189</v>
      </c>
      <c r="O4" s="60" t="s">
        <v>2190</v>
      </c>
      <c r="P4" s="60" t="s">
        <v>2192</v>
      </c>
      <c r="Q4" s="65" t="s">
        <v>2193</v>
      </c>
    </row>
    <row r="5" spans="1:17" x14ac:dyDescent="0.25">
      <c r="A5" s="1">
        <v>1204</v>
      </c>
      <c r="B5" s="1" t="s">
        <v>2346</v>
      </c>
      <c r="C5" s="1" t="s">
        <v>2347</v>
      </c>
      <c r="D5" s="1" t="s">
        <v>2348</v>
      </c>
      <c r="E5" s="1">
        <f>'道具|Item'!I23</f>
        <v>0</v>
      </c>
      <c r="F5" s="1">
        <f>'道具|Item'!L23</f>
        <v>0</v>
      </c>
      <c r="G5" s="1">
        <f>'道具|Item'!N23</f>
        <v>6</v>
      </c>
      <c r="H5" s="1">
        <f>'道具|Item'!O23</f>
        <v>-1</v>
      </c>
      <c r="I5" s="1">
        <f>'道具|Item'!Q23</f>
        <v>0</v>
      </c>
      <c r="J5" s="1">
        <f>'道具|Item'!R23</f>
        <v>-1</v>
      </c>
      <c r="K5" s="1">
        <f>'道具|Item'!U23</f>
        <v>0</v>
      </c>
      <c r="L5" s="1">
        <f>'道具|Item'!V23</f>
        <v>-1</v>
      </c>
      <c r="M5" s="1">
        <f>'道具|Item'!W23</f>
        <v>0</v>
      </c>
      <c r="N5" s="1">
        <f>'道具|Item'!X23</f>
        <v>-1</v>
      </c>
      <c r="O5" s="1">
        <f>'道具|Item'!Y23</f>
        <v>0</v>
      </c>
      <c r="P5" s="1">
        <f>'道具|Item'!AA23</f>
        <v>-1</v>
      </c>
    </row>
  </sheetData>
  <phoneticPr fontId="64" type="noConversion"/>
  <conditionalFormatting sqref="M3">
    <cfRule type="containsText" dxfId="143" priority="6" operator="containsText" text=" ">
      <formula>NOT(ISERROR(SEARCH(" ",M3)))</formula>
    </cfRule>
  </conditionalFormatting>
  <conditionalFormatting sqref="A5:XFD5">
    <cfRule type="containsText" dxfId="142" priority="16" operator="containsText" text=" ">
      <formula>NOT(ISERROR(SEARCH(" ",A5)))</formula>
    </cfRule>
  </conditionalFormatting>
  <conditionalFormatting sqref="M1:M2">
    <cfRule type="containsText" dxfId="141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40" priority="23" operator="containsText" text=" ">
      <formula>NOT(ISERROR(SEARCH(" ",A1)))</formula>
    </cfRule>
  </conditionalFormatting>
  <conditionalFormatting sqref="F3 N1:N4 M6:N1048576">
    <cfRule type="containsText" dxfId="139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30"/>
  <sheetViews>
    <sheetView workbookViewId="0">
      <selection activeCell="F13" sqref="F13"/>
    </sheetView>
  </sheetViews>
  <sheetFormatPr defaultColWidth="9" defaultRowHeight="15.6" x14ac:dyDescent="0.25"/>
  <cols>
    <col min="1" max="1" width="9.88671875" style="1" customWidth="1"/>
    <col min="2" max="2" width="16.44140625" style="1" customWidth="1"/>
    <col min="3" max="3" width="17.88671875" style="1" customWidth="1"/>
    <col min="4" max="4" width="16.44140625" style="1" customWidth="1"/>
    <col min="5" max="5" width="15.109375" style="1" customWidth="1"/>
    <col min="6" max="6" width="32" style="1" customWidth="1"/>
    <col min="7" max="7" width="21.6640625" style="1" customWidth="1"/>
    <col min="8" max="8" width="19.77734375" style="1" customWidth="1"/>
    <col min="9" max="12" width="9" style="1"/>
    <col min="13" max="13" width="10.109375" style="1" customWidth="1"/>
    <col min="14" max="14" width="10.6640625" style="1" customWidth="1"/>
    <col min="15" max="15" width="11.88671875" style="1" customWidth="1"/>
    <col min="16" max="16" width="10.109375" style="1" customWidth="1"/>
    <col min="17" max="17" width="12.33203125" style="1" customWidth="1"/>
    <col min="18" max="16384" width="9" style="1"/>
  </cols>
  <sheetData>
    <row r="1" spans="1:16" x14ac:dyDescent="0.35">
      <c r="A1" s="2" t="s">
        <v>0</v>
      </c>
      <c r="B1" s="2" t="s">
        <v>0</v>
      </c>
      <c r="C1" s="2" t="s">
        <v>0</v>
      </c>
      <c r="D1" s="2" t="s">
        <v>0</v>
      </c>
      <c r="E1" s="51" t="s">
        <v>0</v>
      </c>
      <c r="F1" s="30" t="s">
        <v>0</v>
      </c>
      <c r="G1" s="77" t="s">
        <v>0</v>
      </c>
      <c r="H1" s="30" t="s">
        <v>0</v>
      </c>
    </row>
    <row r="2" spans="1:16" x14ac:dyDescent="0.35">
      <c r="A2" s="2" t="s">
        <v>11</v>
      </c>
      <c r="B2" s="2" t="s">
        <v>11</v>
      </c>
      <c r="C2" s="2" t="s">
        <v>11</v>
      </c>
      <c r="D2" s="2" t="s">
        <v>14</v>
      </c>
      <c r="E2" s="51" t="s">
        <v>11</v>
      </c>
      <c r="F2" s="30" t="s">
        <v>14</v>
      </c>
      <c r="G2" s="77" t="s">
        <v>11</v>
      </c>
      <c r="H2" s="30" t="s">
        <v>14</v>
      </c>
    </row>
    <row r="3" spans="1:16" x14ac:dyDescent="0.35">
      <c r="A3" s="2" t="s">
        <v>113</v>
      </c>
      <c r="B3" s="2" t="s">
        <v>2349</v>
      </c>
      <c r="C3" s="2" t="s">
        <v>2350</v>
      </c>
      <c r="D3" s="2" t="s">
        <v>1183</v>
      </c>
      <c r="E3" s="51" t="s">
        <v>2351</v>
      </c>
      <c r="F3" s="30" t="s">
        <v>36</v>
      </c>
      <c r="G3" s="78" t="s">
        <v>2352</v>
      </c>
      <c r="H3" s="30" t="s">
        <v>141</v>
      </c>
    </row>
    <row r="4" spans="1:16" s="69" customFormat="1" ht="79.2" x14ac:dyDescent="0.25">
      <c r="A4" s="34" t="s">
        <v>141</v>
      </c>
      <c r="B4" s="34" t="s">
        <v>2353</v>
      </c>
      <c r="C4" s="79" t="s">
        <v>2354</v>
      </c>
      <c r="D4" s="79" t="s">
        <v>1221</v>
      </c>
      <c r="E4" s="80" t="s">
        <v>2355</v>
      </c>
      <c r="F4" s="4" t="s">
        <v>2356</v>
      </c>
      <c r="G4" s="78" t="s">
        <v>2357</v>
      </c>
      <c r="H4" s="4" t="s">
        <v>2358</v>
      </c>
      <c r="J4" s="12" t="s">
        <v>2359</v>
      </c>
    </row>
    <row r="5" spans="1:16" x14ac:dyDescent="0.35">
      <c r="A5" s="63">
        <v>1</v>
      </c>
      <c r="B5" s="81">
        <v>0</v>
      </c>
      <c r="C5" s="81">
        <v>0</v>
      </c>
      <c r="D5" s="82">
        <v>2</v>
      </c>
      <c r="E5" s="83">
        <v>1</v>
      </c>
      <c r="F5" s="63" t="s">
        <v>2360</v>
      </c>
      <c r="G5" s="63">
        <v>1</v>
      </c>
      <c r="H5" s="84"/>
    </row>
    <row r="6" spans="1:16" x14ac:dyDescent="0.35">
      <c r="A6" s="63">
        <v>2</v>
      </c>
      <c r="B6" s="81" t="s">
        <v>280</v>
      </c>
      <c r="C6" s="81" t="s">
        <v>280</v>
      </c>
      <c r="D6" s="82">
        <v>2</v>
      </c>
      <c r="E6" s="83">
        <v>1</v>
      </c>
      <c r="F6" s="63" t="s">
        <v>2361</v>
      </c>
      <c r="G6" s="63">
        <v>1</v>
      </c>
      <c r="H6" s="63" t="s">
        <v>2362</v>
      </c>
      <c r="I6" s="1" t="s">
        <v>2363</v>
      </c>
      <c r="M6" s="1">
        <v>2000</v>
      </c>
      <c r="N6" s="1">
        <f>150*M6</f>
        <v>300000</v>
      </c>
      <c r="O6" s="12">
        <v>6000</v>
      </c>
      <c r="P6" s="12">
        <f>150*O6</f>
        <v>900000</v>
      </c>
    </row>
    <row r="7" spans="1:16" x14ac:dyDescent="0.35">
      <c r="A7" s="63">
        <v>3</v>
      </c>
      <c r="B7" s="81" t="s">
        <v>425</v>
      </c>
      <c r="C7" s="81" t="s">
        <v>425</v>
      </c>
      <c r="D7" s="82">
        <v>2</v>
      </c>
      <c r="E7" s="83">
        <v>1</v>
      </c>
      <c r="F7" s="63" t="s">
        <v>2364</v>
      </c>
      <c r="G7" s="63">
        <v>0</v>
      </c>
      <c r="H7" s="63"/>
      <c r="L7" s="1" t="s">
        <v>2364</v>
      </c>
    </row>
    <row r="8" spans="1:16" x14ac:dyDescent="0.35">
      <c r="A8" s="63">
        <v>4</v>
      </c>
      <c r="B8" s="81" t="s">
        <v>266</v>
      </c>
      <c r="C8" s="81" t="s">
        <v>266</v>
      </c>
      <c r="D8" s="82">
        <v>2</v>
      </c>
      <c r="E8" s="83">
        <v>1</v>
      </c>
      <c r="F8" s="63" t="s">
        <v>2040</v>
      </c>
      <c r="G8" s="63">
        <v>0</v>
      </c>
      <c r="H8" s="84"/>
      <c r="L8" s="1" t="s">
        <v>2040</v>
      </c>
    </row>
    <row r="9" spans="1:16" x14ac:dyDescent="0.35">
      <c r="A9" s="63">
        <v>5</v>
      </c>
      <c r="B9" s="81" t="s">
        <v>541</v>
      </c>
      <c r="C9" s="81" t="s">
        <v>541</v>
      </c>
      <c r="D9" s="82">
        <v>2</v>
      </c>
      <c r="E9" s="83">
        <v>1</v>
      </c>
      <c r="F9" s="63" t="s">
        <v>2053</v>
      </c>
      <c r="G9" s="63">
        <v>0</v>
      </c>
      <c r="H9" s="84"/>
      <c r="L9" s="1" t="s">
        <v>2053</v>
      </c>
    </row>
    <row r="10" spans="1:16" x14ac:dyDescent="0.35">
      <c r="A10" s="63">
        <v>6</v>
      </c>
      <c r="B10" s="81" t="s">
        <v>368</v>
      </c>
      <c r="C10" s="81" t="s">
        <v>368</v>
      </c>
      <c r="D10" s="82">
        <v>2</v>
      </c>
      <c r="E10" s="83">
        <v>1</v>
      </c>
      <c r="F10" s="63" t="s">
        <v>2320</v>
      </c>
      <c r="G10" s="63">
        <v>0</v>
      </c>
      <c r="H10" s="84"/>
      <c r="L10" s="1" t="s">
        <v>2320</v>
      </c>
    </row>
    <row r="11" spans="1:16" x14ac:dyDescent="0.35">
      <c r="A11" s="63">
        <v>7</v>
      </c>
      <c r="B11" s="81" t="s">
        <v>548</v>
      </c>
      <c r="C11" s="81" t="s">
        <v>548</v>
      </c>
      <c r="D11" s="82">
        <v>2</v>
      </c>
      <c r="E11" s="83">
        <v>1</v>
      </c>
      <c r="F11" s="63" t="s">
        <v>2365</v>
      </c>
      <c r="G11" s="63">
        <v>0</v>
      </c>
      <c r="H11" s="84"/>
      <c r="L11" s="1" t="s">
        <v>2365</v>
      </c>
    </row>
    <row r="12" spans="1:16" x14ac:dyDescent="0.35">
      <c r="A12" s="63">
        <v>8</v>
      </c>
      <c r="B12" s="81">
        <v>-1</v>
      </c>
      <c r="C12" s="81">
        <f>B12</f>
        <v>-1</v>
      </c>
      <c r="D12" s="82">
        <v>2</v>
      </c>
      <c r="E12" s="83">
        <v>1</v>
      </c>
      <c r="F12" s="63" t="s">
        <v>2036</v>
      </c>
      <c r="G12" s="63">
        <v>0</v>
      </c>
      <c r="H12" s="84"/>
      <c r="L12" s="1" t="s">
        <v>2036</v>
      </c>
    </row>
    <row r="13" spans="1:16" x14ac:dyDescent="0.35">
      <c r="A13" s="63">
        <v>9</v>
      </c>
      <c r="B13" s="81">
        <v>0</v>
      </c>
      <c r="C13" s="81">
        <v>0</v>
      </c>
      <c r="D13" s="85">
        <v>3</v>
      </c>
      <c r="E13" s="83">
        <v>1</v>
      </c>
      <c r="F13" s="63" t="s">
        <v>812</v>
      </c>
      <c r="G13" s="63">
        <v>1</v>
      </c>
      <c r="H13" s="86"/>
    </row>
    <row r="14" spans="1:16" x14ac:dyDescent="0.35">
      <c r="A14" s="63">
        <v>10</v>
      </c>
      <c r="B14" s="81" t="s">
        <v>280</v>
      </c>
      <c r="C14" s="81" t="s">
        <v>280</v>
      </c>
      <c r="D14" s="85">
        <v>3</v>
      </c>
      <c r="E14" s="83">
        <v>1</v>
      </c>
      <c r="F14" s="63" t="s">
        <v>2366</v>
      </c>
      <c r="G14" s="63">
        <v>1</v>
      </c>
      <c r="H14" s="63" t="s">
        <v>2367</v>
      </c>
      <c r="M14" s="1">
        <v>5000</v>
      </c>
      <c r="N14" s="1">
        <f>150*M14</f>
        <v>750000</v>
      </c>
      <c r="O14" s="12">
        <v>15000</v>
      </c>
      <c r="P14" s="12">
        <f>150*O14</f>
        <v>2250000</v>
      </c>
    </row>
    <row r="15" spans="1:16" x14ac:dyDescent="0.35">
      <c r="A15" s="63">
        <v>11</v>
      </c>
      <c r="B15" s="81" t="s">
        <v>425</v>
      </c>
      <c r="C15" s="81" t="s">
        <v>425</v>
      </c>
      <c r="D15" s="85">
        <v>3</v>
      </c>
      <c r="E15" s="83">
        <v>1</v>
      </c>
      <c r="F15" s="63" t="s">
        <v>2361</v>
      </c>
      <c r="G15" s="63">
        <v>1</v>
      </c>
      <c r="H15" s="84"/>
      <c r="M15" s="1">
        <v>2000</v>
      </c>
      <c r="N15" s="1">
        <f>150*M15</f>
        <v>300000</v>
      </c>
      <c r="O15" s="12">
        <v>6000</v>
      </c>
      <c r="P15" s="12">
        <f>150*O15</f>
        <v>900000</v>
      </c>
    </row>
    <row r="16" spans="1:16" x14ac:dyDescent="0.35">
      <c r="A16" s="63">
        <v>12</v>
      </c>
      <c r="B16" s="81" t="s">
        <v>266</v>
      </c>
      <c r="C16" s="81" t="s">
        <v>266</v>
      </c>
      <c r="D16" s="85">
        <v>3</v>
      </c>
      <c r="E16" s="83">
        <v>1</v>
      </c>
      <c r="F16" s="63" t="s">
        <v>1136</v>
      </c>
      <c r="G16" s="63">
        <v>0</v>
      </c>
      <c r="H16" s="84"/>
      <c r="L16" s="63" t="s">
        <v>1136</v>
      </c>
    </row>
    <row r="17" spans="1:16" x14ac:dyDescent="0.35">
      <c r="A17" s="63">
        <v>13</v>
      </c>
      <c r="B17" s="81" t="s">
        <v>541</v>
      </c>
      <c r="C17" s="81" t="s">
        <v>541</v>
      </c>
      <c r="D17" s="85">
        <v>3</v>
      </c>
      <c r="E17" s="83">
        <v>1</v>
      </c>
      <c r="F17" s="63" t="s">
        <v>2364</v>
      </c>
      <c r="G17" s="63">
        <v>0</v>
      </c>
      <c r="H17" s="84"/>
      <c r="L17" s="63" t="s">
        <v>2364</v>
      </c>
    </row>
    <row r="18" spans="1:16" x14ac:dyDescent="0.35">
      <c r="A18" s="63">
        <v>14</v>
      </c>
      <c r="B18" s="81" t="s">
        <v>368</v>
      </c>
      <c r="C18" s="81" t="s">
        <v>368</v>
      </c>
      <c r="D18" s="85">
        <v>3</v>
      </c>
      <c r="E18" s="83">
        <v>1</v>
      </c>
      <c r="F18" s="63" t="s">
        <v>2040</v>
      </c>
      <c r="G18" s="63">
        <v>0</v>
      </c>
      <c r="H18" s="86"/>
      <c r="L18" s="63" t="s">
        <v>2040</v>
      </c>
    </row>
    <row r="19" spans="1:16" x14ac:dyDescent="0.35">
      <c r="A19" s="63">
        <v>15</v>
      </c>
      <c r="B19" s="81" t="s">
        <v>548</v>
      </c>
      <c r="C19" s="81" t="s">
        <v>548</v>
      </c>
      <c r="D19" s="85">
        <v>3</v>
      </c>
      <c r="E19" s="83">
        <v>1</v>
      </c>
      <c r="F19" s="63" t="s">
        <v>2053</v>
      </c>
      <c r="G19" s="63">
        <v>0</v>
      </c>
      <c r="H19" s="86"/>
      <c r="L19" s="63" t="s">
        <v>2053</v>
      </c>
    </row>
    <row r="20" spans="1:16" x14ac:dyDescent="0.35">
      <c r="A20" s="63">
        <v>16</v>
      </c>
      <c r="B20" s="81" t="s">
        <v>399</v>
      </c>
      <c r="C20" s="81" t="s">
        <v>412</v>
      </c>
      <c r="D20" s="85">
        <v>3</v>
      </c>
      <c r="E20" s="83">
        <v>1</v>
      </c>
      <c r="F20" s="63" t="s">
        <v>2320</v>
      </c>
      <c r="G20" s="63">
        <v>0</v>
      </c>
      <c r="H20" s="86"/>
      <c r="L20" s="63" t="s">
        <v>2320</v>
      </c>
    </row>
    <row r="21" spans="1:16" x14ac:dyDescent="0.35">
      <c r="A21" s="63">
        <v>17</v>
      </c>
      <c r="B21" s="81">
        <v>-1</v>
      </c>
      <c r="C21" s="81">
        <f>B21</f>
        <v>-1</v>
      </c>
      <c r="D21" s="85">
        <v>3</v>
      </c>
      <c r="E21" s="83">
        <v>1</v>
      </c>
      <c r="F21" s="63" t="s">
        <v>2316</v>
      </c>
      <c r="G21" s="63">
        <v>0</v>
      </c>
      <c r="H21" s="86"/>
      <c r="L21" s="63" t="s">
        <v>2316</v>
      </c>
    </row>
    <row r="22" spans="1:16" x14ac:dyDescent="0.35">
      <c r="A22" s="63">
        <v>18</v>
      </c>
      <c r="B22" s="81">
        <v>0</v>
      </c>
      <c r="C22" s="81">
        <v>0</v>
      </c>
      <c r="D22" s="87" t="s">
        <v>2368</v>
      </c>
      <c r="E22" s="83">
        <v>1</v>
      </c>
      <c r="F22" s="63" t="s">
        <v>2369</v>
      </c>
      <c r="G22" s="63">
        <v>1</v>
      </c>
      <c r="H22" s="86"/>
    </row>
    <row r="23" spans="1:16" x14ac:dyDescent="0.35">
      <c r="A23" s="63">
        <v>19</v>
      </c>
      <c r="B23" s="81" t="s">
        <v>280</v>
      </c>
      <c r="C23" s="81" t="s">
        <v>280</v>
      </c>
      <c r="D23" s="87" t="s">
        <v>2368</v>
      </c>
      <c r="E23" s="83">
        <v>1</v>
      </c>
      <c r="F23" s="63" t="s">
        <v>2370</v>
      </c>
      <c r="G23" s="63">
        <v>1</v>
      </c>
      <c r="H23" s="63" t="s">
        <v>2367</v>
      </c>
      <c r="M23" s="1">
        <v>10000</v>
      </c>
      <c r="N23" s="1">
        <f>150*M23</f>
        <v>1500000</v>
      </c>
      <c r="O23" s="12">
        <v>30000</v>
      </c>
      <c r="P23" s="12">
        <f>150*O23</f>
        <v>4500000</v>
      </c>
    </row>
    <row r="24" spans="1:16" x14ac:dyDescent="0.35">
      <c r="A24" s="63">
        <v>20</v>
      </c>
      <c r="B24" s="81" t="s">
        <v>425</v>
      </c>
      <c r="C24" s="81" t="s">
        <v>425</v>
      </c>
      <c r="D24" s="87" t="s">
        <v>2368</v>
      </c>
      <c r="E24" s="83">
        <v>1</v>
      </c>
      <c r="F24" s="63" t="s">
        <v>2366</v>
      </c>
      <c r="G24" s="63">
        <v>1</v>
      </c>
      <c r="H24" s="84"/>
      <c r="M24" s="1">
        <v>5000</v>
      </c>
      <c r="N24" s="1">
        <f>150*M24</f>
        <v>750000</v>
      </c>
      <c r="O24" s="12">
        <v>15000</v>
      </c>
      <c r="P24" s="12">
        <f>150*O24</f>
        <v>2250000</v>
      </c>
    </row>
    <row r="25" spans="1:16" x14ac:dyDescent="0.35">
      <c r="A25" s="63">
        <v>21</v>
      </c>
      <c r="B25" s="81" t="s">
        <v>266</v>
      </c>
      <c r="C25" s="81" t="s">
        <v>266</v>
      </c>
      <c r="D25" s="87" t="s">
        <v>2368</v>
      </c>
      <c r="E25" s="83">
        <v>1</v>
      </c>
      <c r="F25" s="63" t="s">
        <v>2371</v>
      </c>
      <c r="G25" s="63">
        <v>0</v>
      </c>
      <c r="H25" s="84"/>
      <c r="L25" s="63" t="s">
        <v>2371</v>
      </c>
    </row>
    <row r="26" spans="1:16" x14ac:dyDescent="0.35">
      <c r="A26" s="63">
        <v>22</v>
      </c>
      <c r="B26" s="81" t="s">
        <v>541</v>
      </c>
      <c r="C26" s="81" t="s">
        <v>541</v>
      </c>
      <c r="D26" s="87" t="s">
        <v>2368</v>
      </c>
      <c r="E26" s="83">
        <v>1</v>
      </c>
      <c r="F26" s="63" t="s">
        <v>1123</v>
      </c>
      <c r="G26" s="63">
        <v>0</v>
      </c>
      <c r="H26" s="84"/>
      <c r="L26" s="63" t="s">
        <v>1123</v>
      </c>
    </row>
    <row r="27" spans="1:16" x14ac:dyDescent="0.35">
      <c r="A27" s="63">
        <v>23</v>
      </c>
      <c r="B27" s="81" t="s">
        <v>368</v>
      </c>
      <c r="C27" s="81" t="s">
        <v>368</v>
      </c>
      <c r="D27" s="87" t="s">
        <v>2368</v>
      </c>
      <c r="E27" s="83">
        <v>1</v>
      </c>
      <c r="F27" s="63" t="s">
        <v>2372</v>
      </c>
      <c r="G27" s="63">
        <v>0</v>
      </c>
      <c r="H27" s="86"/>
      <c r="L27" s="63" t="s">
        <v>2372</v>
      </c>
    </row>
    <row r="28" spans="1:16" x14ac:dyDescent="0.35">
      <c r="A28" s="63">
        <v>24</v>
      </c>
      <c r="B28" s="81" t="s">
        <v>548</v>
      </c>
      <c r="C28" s="81" t="s">
        <v>548</v>
      </c>
      <c r="D28" s="87" t="s">
        <v>2368</v>
      </c>
      <c r="E28" s="83">
        <v>1</v>
      </c>
      <c r="F28" s="63" t="s">
        <v>2373</v>
      </c>
      <c r="G28" s="63">
        <v>0</v>
      </c>
      <c r="H28" s="86"/>
      <c r="L28" s="63" t="s">
        <v>2373</v>
      </c>
    </row>
    <row r="29" spans="1:16" x14ac:dyDescent="0.35">
      <c r="A29" s="63">
        <v>25</v>
      </c>
      <c r="B29" s="81" t="s">
        <v>399</v>
      </c>
      <c r="C29" s="81" t="s">
        <v>412</v>
      </c>
      <c r="D29" s="87" t="s">
        <v>2368</v>
      </c>
      <c r="E29" s="83">
        <v>1</v>
      </c>
      <c r="F29" s="63" t="s">
        <v>2040</v>
      </c>
      <c r="G29" s="63">
        <v>0</v>
      </c>
      <c r="H29" s="86"/>
      <c r="L29" s="63" t="s">
        <v>2040</v>
      </c>
    </row>
    <row r="30" spans="1:16" x14ac:dyDescent="0.35">
      <c r="A30" s="63">
        <v>26</v>
      </c>
      <c r="B30" s="81">
        <v>-1</v>
      </c>
      <c r="C30" s="81">
        <f>B30</f>
        <v>-1</v>
      </c>
      <c r="D30" s="87" t="s">
        <v>2368</v>
      </c>
      <c r="E30" s="83">
        <v>1</v>
      </c>
      <c r="F30" s="63" t="s">
        <v>2374</v>
      </c>
      <c r="G30" s="63">
        <v>0</v>
      </c>
      <c r="H30" s="86"/>
      <c r="L30" s="63" t="s">
        <v>2374</v>
      </c>
    </row>
  </sheetData>
  <phoneticPr fontId="64" type="noConversion"/>
  <conditionalFormatting sqref="D2">
    <cfRule type="containsText" dxfId="138" priority="112" operator="containsText" text=" ">
      <formula>NOT(ISERROR(SEARCH(" ",D2)))</formula>
    </cfRule>
  </conditionalFormatting>
  <conditionalFormatting sqref="F6">
    <cfRule type="containsText" dxfId="137" priority="44" operator="containsText" text=" ">
      <formula>NOT(ISERROR(SEARCH(" ",F6)))</formula>
    </cfRule>
  </conditionalFormatting>
  <conditionalFormatting sqref="H6">
    <cfRule type="containsText" dxfId="136" priority="225" operator="containsText" text=" ">
      <formula>NOT(ISERROR(SEARCH(" ",H6)))</formula>
    </cfRule>
  </conditionalFormatting>
  <conditionalFormatting sqref="N6">
    <cfRule type="containsText" dxfId="135" priority="5" operator="containsText" text=" ">
      <formula>NOT(ISERROR(SEARCH(" ",N6)))</formula>
    </cfRule>
  </conditionalFormatting>
  <conditionalFormatting sqref="O6">
    <cfRule type="containsText" dxfId="134" priority="2" operator="containsText" text=" ">
      <formula>NOT(ISERROR(SEARCH(" ",O6)))</formula>
    </cfRule>
  </conditionalFormatting>
  <conditionalFormatting sqref="P6">
    <cfRule type="containsText" dxfId="133" priority="1" operator="containsText" text=" ">
      <formula>NOT(ISERROR(SEARCH(" ",P6)))</formula>
    </cfRule>
  </conditionalFormatting>
  <conditionalFormatting sqref="F7">
    <cfRule type="containsText" dxfId="132" priority="43" operator="containsText" text=" ">
      <formula>NOT(ISERROR(SEARCH(" ",F7)))</formula>
    </cfRule>
  </conditionalFormatting>
  <conditionalFormatting sqref="H7">
    <cfRule type="containsText" dxfId="131" priority="239" operator="containsText" text=" ">
      <formula>NOT(ISERROR(SEARCH(" ",H7)))</formula>
    </cfRule>
  </conditionalFormatting>
  <conditionalFormatting sqref="F8">
    <cfRule type="containsText" dxfId="130" priority="49" operator="containsText" text=" ">
      <formula>NOT(ISERROR(SEARCH(" ",F8)))</formula>
    </cfRule>
  </conditionalFormatting>
  <conditionalFormatting sqref="Q8">
    <cfRule type="containsText" dxfId="129" priority="50" operator="containsText" text=" ">
      <formula>NOT(ISERROR(SEARCH(" ",Q8)))</formula>
    </cfRule>
  </conditionalFormatting>
  <conditionalFormatting sqref="F9">
    <cfRule type="containsText" dxfId="128" priority="47" operator="containsText" text=" ">
      <formula>NOT(ISERROR(SEARCH(" ",F9)))</formula>
    </cfRule>
  </conditionalFormatting>
  <conditionalFormatting sqref="F10">
    <cfRule type="containsText" dxfId="127" priority="46" operator="containsText" text=" ">
      <formula>NOT(ISERROR(SEARCH(" ",F10)))</formula>
    </cfRule>
  </conditionalFormatting>
  <conditionalFormatting sqref="F11">
    <cfRule type="containsText" dxfId="126" priority="45" operator="containsText" text=" ">
      <formula>NOT(ISERROR(SEARCH(" ",F11)))</formula>
    </cfRule>
  </conditionalFormatting>
  <conditionalFormatting sqref="B12:C12">
    <cfRule type="containsText" dxfId="125" priority="33" operator="containsText" text=" ">
      <formula>NOT(ISERROR(SEARCH(" ",B12)))</formula>
    </cfRule>
  </conditionalFormatting>
  <conditionalFormatting sqref="F12">
    <cfRule type="containsText" dxfId="124" priority="29" operator="containsText" text=" ">
      <formula>NOT(ISERROR(SEARCH(" ",F12)))</formula>
    </cfRule>
  </conditionalFormatting>
  <conditionalFormatting sqref="F13:G13">
    <cfRule type="containsText" dxfId="123" priority="36" operator="containsText" text=" ">
      <formula>NOT(ISERROR(SEARCH(" ",F13)))</formula>
    </cfRule>
  </conditionalFormatting>
  <conditionalFormatting sqref="F14:G14">
    <cfRule type="containsText" dxfId="122" priority="35" operator="containsText" text=" ">
      <formula>NOT(ISERROR(SEARCH(" ",F14)))</formula>
    </cfRule>
  </conditionalFormatting>
  <conditionalFormatting sqref="H14">
    <cfRule type="containsText" dxfId="121" priority="226" operator="containsText" text=" ">
      <formula>NOT(ISERROR(SEARCH(" ",H14)))</formula>
    </cfRule>
  </conditionalFormatting>
  <conditionalFormatting sqref="F15:G15">
    <cfRule type="containsText" dxfId="120" priority="39" operator="containsText" text=" ">
      <formula>NOT(ISERROR(SEARCH(" ",F15)))</formula>
    </cfRule>
  </conditionalFormatting>
  <conditionalFormatting sqref="B21:C21">
    <cfRule type="containsText" dxfId="119" priority="14" operator="containsText" text=" ">
      <formula>NOT(ISERROR(SEARCH(" ",B21)))</formula>
    </cfRule>
  </conditionalFormatting>
  <conditionalFormatting sqref="F21">
    <cfRule type="containsText" dxfId="118" priority="23" operator="containsText" text=" ">
      <formula>NOT(ISERROR(SEARCH(" ",F21)))</formula>
    </cfRule>
  </conditionalFormatting>
  <conditionalFormatting sqref="H21">
    <cfRule type="containsText" dxfId="117" priority="27" operator="containsText" text=" ">
      <formula>NOT(ISERROR(SEARCH(" ",H21)))</formula>
    </cfRule>
  </conditionalFormatting>
  <conditionalFormatting sqref="L21">
    <cfRule type="containsText" dxfId="116" priority="11" operator="containsText" text=" ">
      <formula>NOT(ISERROR(SEARCH(" ",L21)))</formula>
    </cfRule>
  </conditionalFormatting>
  <conditionalFormatting sqref="F22:G22">
    <cfRule type="containsText" dxfId="115" priority="37" operator="containsText" text=" ">
      <formula>NOT(ISERROR(SEARCH(" ",F22)))</formula>
    </cfRule>
  </conditionalFormatting>
  <conditionalFormatting sqref="F23:G23">
    <cfRule type="containsText" dxfId="114" priority="41" operator="containsText" text=" ">
      <formula>NOT(ISERROR(SEARCH(" ",F23)))</formula>
    </cfRule>
  </conditionalFormatting>
  <conditionalFormatting sqref="H23">
    <cfRule type="containsText" dxfId="113" priority="118" operator="containsText" text=" ">
      <formula>NOT(ISERROR(SEARCH(" ",H23)))</formula>
    </cfRule>
  </conditionalFormatting>
  <conditionalFormatting sqref="F24:G24">
    <cfRule type="containsText" dxfId="112" priority="42" operator="containsText" text=" ">
      <formula>NOT(ISERROR(SEARCH(" ",F24)))</formula>
    </cfRule>
  </conditionalFormatting>
  <conditionalFormatting sqref="B30:C30">
    <cfRule type="containsText" dxfId="111" priority="13" operator="containsText" text=" ">
      <formula>NOT(ISERROR(SEARCH(" ",B30)))</formula>
    </cfRule>
  </conditionalFormatting>
  <conditionalFormatting sqref="F30">
    <cfRule type="containsText" dxfId="110" priority="17" operator="containsText" text=" ">
      <formula>NOT(ISERROR(SEARCH(" ",F30)))</formula>
    </cfRule>
  </conditionalFormatting>
  <conditionalFormatting sqref="L30">
    <cfRule type="containsText" dxfId="109" priority="9" operator="containsText" text=" ">
      <formula>NOT(ISERROR(SEARCH(" ",L30)))</formula>
    </cfRule>
  </conditionalFormatting>
  <conditionalFormatting sqref="L16:L20">
    <cfRule type="containsText" dxfId="108" priority="12" operator="containsText" text=" ">
      <formula>NOT(ISERROR(SEARCH(" ",L16)))</formula>
    </cfRule>
  </conditionalFormatting>
  <conditionalFormatting sqref="L25:L29">
    <cfRule type="containsText" dxfId="107" priority="10" operator="containsText" text=" ">
      <formula>NOT(ISERROR(SEARCH(" ",L25)))</formula>
    </cfRule>
  </conditionalFormatting>
  <conditionalFormatting sqref="N14:N15">
    <cfRule type="containsText" dxfId="106" priority="6" operator="containsText" text=" ">
      <formula>NOT(ISERROR(SEARCH(" ",N14)))</formula>
    </cfRule>
  </conditionalFormatting>
  <conditionalFormatting sqref="O14:O15">
    <cfRule type="containsText" dxfId="105" priority="4" operator="containsText" text=" ">
      <formula>NOT(ISERROR(SEARCH(" ",O14)))</formula>
    </cfRule>
  </conditionalFormatting>
  <conditionalFormatting sqref="P14:P15">
    <cfRule type="containsText" dxfId="104" priority="3" operator="containsText" text=" ">
      <formula>NOT(ISERROR(SEARCH(" ",P14)))</formula>
    </cfRule>
  </conditionalFormatting>
  <conditionalFormatting sqref="A29:A30 A23:A24 A17:A18 B14:C20 A6:C6 A5 A11:A12 B7:C11 E2 A2:C2 A1:E1 H18:K20 I6:M6 I14:M15 K4:XFD4 I4 I21:K21 R8:XFD8 Q9:XFD12 Q14:XFD21 H31:XFD1048576 I1:XFD3 I16:K17 M16:N21 Q6:XFD7">
    <cfRule type="containsText" dxfId="103" priority="246" operator="containsText" text=" ">
      <formula>NOT(ISERROR(SEARCH(" ",A1)))</formula>
    </cfRule>
  </conditionalFormatting>
  <conditionalFormatting sqref="A25:A28 A3:E4 A31:G1048576 A19:A22 A13:A16 A7:A10 Q22:XFD30 O7:P13 J4 N8 I8:L8 I9:N12 I7:N7 I25:K30 M25:N30 I22:N24 O16:P30">
    <cfRule type="containsText" dxfId="102" priority="230" operator="containsText" text=" ">
      <formula>NOT(ISERROR(SEARCH(" ",A3)))</formula>
    </cfRule>
  </conditionalFormatting>
  <conditionalFormatting sqref="B5:C5 I5:XFD5">
    <cfRule type="containsText" dxfId="101" priority="234" operator="containsText" text=" ">
      <formula>NOT(ISERROR(SEARCH(" ",B5)))</formula>
    </cfRule>
  </conditionalFormatting>
  <conditionalFormatting sqref="F5:G5 G6:G12">
    <cfRule type="containsText" dxfId="100" priority="38" operator="containsText" text=" ">
      <formula>NOT(ISERROR(SEARCH(" ",F5)))</formula>
    </cfRule>
  </conditionalFormatting>
  <conditionalFormatting sqref="B13:C13 H13:N13 Q13:XFD13">
    <cfRule type="containsText" dxfId="99" priority="229" operator="containsText" text=" ">
      <formula>NOT(ISERROR(SEARCH(" ",B13)))</formula>
    </cfRule>
  </conditionalFormatting>
  <conditionalFormatting sqref="F16:G16 F17:F20 G17:G21">
    <cfRule type="containsText" dxfId="98" priority="48" operator="containsText" text=" ">
      <formula>NOT(ISERROR(SEARCH(" ",F16)))</formula>
    </cfRule>
  </conditionalFormatting>
  <conditionalFormatting sqref="B22:C22 H22">
    <cfRule type="containsText" dxfId="97" priority="121" operator="containsText" text=" ">
      <formula>NOT(ISERROR(SEARCH(" ",B22)))</formula>
    </cfRule>
  </conditionalFormatting>
  <conditionalFormatting sqref="B23:C29 H27:H30">
    <cfRule type="containsText" dxfId="96" priority="127" operator="containsText" text=" ">
      <formula>NOT(ISERROR(SEARCH(" ",B23)))</formula>
    </cfRule>
  </conditionalFormatting>
  <conditionalFormatting sqref="F25:G25 F26:F29 G26:G30">
    <cfRule type="containsText" dxfId="95" priority="40" operator="containsText" text=" ">
      <formula>NOT(ISERROR(SEARCH(" ",F25)))</formula>
    </cfRule>
  </conditionalFormatting>
  <pageMargins left="0.69930555555555596" right="0.69930555555555596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9"/>
  <sheetViews>
    <sheetView workbookViewId="0">
      <selection activeCell="E1" sqref="E1:E4"/>
    </sheetView>
  </sheetViews>
  <sheetFormatPr defaultColWidth="9" defaultRowHeight="15.6" x14ac:dyDescent="0.35"/>
  <cols>
    <col min="1" max="1" width="9" style="1"/>
    <col min="2" max="2" width="11.33203125" style="1" customWidth="1"/>
    <col min="3" max="3" width="15.33203125" style="1" customWidth="1"/>
    <col min="4" max="5" width="15" style="1" customWidth="1"/>
    <col min="6" max="6" width="9" style="1"/>
    <col min="7" max="7" width="14.6640625" style="39" customWidth="1"/>
    <col min="8" max="8" width="16" style="1" customWidth="1"/>
    <col min="9" max="16384" width="9" style="1"/>
  </cols>
  <sheetData>
    <row r="1" spans="1:8" x14ac:dyDescent="0.35">
      <c r="A1" s="2" t="s">
        <v>1</v>
      </c>
      <c r="B1" s="2" t="s">
        <v>1</v>
      </c>
      <c r="C1" s="2" t="s">
        <v>1</v>
      </c>
      <c r="D1" s="71" t="s">
        <v>1</v>
      </c>
      <c r="F1" s="1" t="s">
        <v>2375</v>
      </c>
    </row>
    <row r="2" spans="1:8" x14ac:dyDescent="0.35">
      <c r="A2" s="2" t="s">
        <v>11</v>
      </c>
      <c r="B2" s="2" t="s">
        <v>11</v>
      </c>
      <c r="C2" s="2" t="s">
        <v>13</v>
      </c>
      <c r="D2" s="72" t="s">
        <v>11</v>
      </c>
      <c r="F2" s="1" t="s">
        <v>2376</v>
      </c>
      <c r="G2" s="73">
        <v>100</v>
      </c>
    </row>
    <row r="3" spans="1:8" x14ac:dyDescent="0.35">
      <c r="A3" s="2" t="s">
        <v>141</v>
      </c>
      <c r="B3" s="2" t="s">
        <v>2377</v>
      </c>
      <c r="C3" s="2" t="s">
        <v>2378</v>
      </c>
      <c r="D3" s="72" t="s">
        <v>2379</v>
      </c>
      <c r="H3" s="1" t="s">
        <v>2380</v>
      </c>
    </row>
    <row r="4" spans="1:8" ht="52.8" x14ac:dyDescent="0.35">
      <c r="A4" s="2" t="s">
        <v>2381</v>
      </c>
      <c r="B4" s="2" t="s">
        <v>2382</v>
      </c>
      <c r="C4" s="2" t="s">
        <v>2383</v>
      </c>
      <c r="D4" s="74" t="s">
        <v>2384</v>
      </c>
      <c r="F4" s="1" t="s">
        <v>2385</v>
      </c>
      <c r="G4" s="1" t="s">
        <v>947</v>
      </c>
      <c r="H4" s="75">
        <f>SUM(H5:H19)</f>
        <v>800.00000000000011</v>
      </c>
    </row>
    <row r="5" spans="1:8" x14ac:dyDescent="0.35">
      <c r="A5" s="1">
        <v>1</v>
      </c>
      <c r="B5" s="1">
        <f>$G$2*F5</f>
        <v>100</v>
      </c>
      <c r="C5" s="1">
        <f>G5/SUM($G$5:$G$19)</f>
        <v>0</v>
      </c>
      <c r="D5" s="1">
        <v>0</v>
      </c>
      <c r="F5" s="1">
        <v>1</v>
      </c>
      <c r="G5" s="76">
        <v>0</v>
      </c>
      <c r="H5" s="1">
        <f t="shared" ref="H5:H16" si="0">C5*B5</f>
        <v>0</v>
      </c>
    </row>
    <row r="6" spans="1:8" x14ac:dyDescent="0.35">
      <c r="A6" s="1">
        <v>2</v>
      </c>
      <c r="B6" s="1">
        <f t="shared" ref="B6:B19" si="1">$G$2*F6</f>
        <v>200</v>
      </c>
      <c r="C6" s="1">
        <f t="shared" ref="C6:C19" si="2">G6/SUM($G$5:$G$19)</f>
        <v>0</v>
      </c>
      <c r="D6" s="1">
        <v>0</v>
      </c>
      <c r="F6" s="1">
        <v>2</v>
      </c>
      <c r="G6" s="76">
        <v>0</v>
      </c>
      <c r="H6" s="1">
        <f t="shared" si="0"/>
        <v>0</v>
      </c>
    </row>
    <row r="7" spans="1:8" x14ac:dyDescent="0.35">
      <c r="A7" s="1">
        <v>3</v>
      </c>
      <c r="B7" s="1">
        <f t="shared" si="1"/>
        <v>300</v>
      </c>
      <c r="C7" s="1">
        <f t="shared" si="2"/>
        <v>3.8834951456310676E-2</v>
      </c>
      <c r="D7" s="1">
        <v>1</v>
      </c>
      <c r="F7" s="1">
        <v>3</v>
      </c>
      <c r="G7" s="76">
        <v>4</v>
      </c>
      <c r="H7" s="1">
        <f t="shared" si="0"/>
        <v>11.650485436893202</v>
      </c>
    </row>
    <row r="8" spans="1:8" x14ac:dyDescent="0.35">
      <c r="A8" s="1">
        <v>4</v>
      </c>
      <c r="B8" s="1">
        <f t="shared" si="1"/>
        <v>400</v>
      </c>
      <c r="C8" s="1">
        <f t="shared" si="2"/>
        <v>4.8543689320388349E-2</v>
      </c>
      <c r="D8" s="1">
        <v>1</v>
      </c>
      <c r="F8" s="1">
        <v>4</v>
      </c>
      <c r="G8" s="76">
        <v>5</v>
      </c>
      <c r="H8" s="1">
        <f t="shared" si="0"/>
        <v>19.417475728155338</v>
      </c>
    </row>
    <row r="9" spans="1:8" x14ac:dyDescent="0.35">
      <c r="A9" s="1">
        <v>5</v>
      </c>
      <c r="B9" s="1">
        <f t="shared" si="1"/>
        <v>500</v>
      </c>
      <c r="C9" s="1">
        <f t="shared" si="2"/>
        <v>9.7087378640776698E-2</v>
      </c>
      <c r="D9" s="1">
        <v>1</v>
      </c>
      <c r="F9" s="1">
        <v>5</v>
      </c>
      <c r="G9" s="76">
        <v>10</v>
      </c>
      <c r="H9" s="1">
        <f t="shared" si="0"/>
        <v>48.543689320388346</v>
      </c>
    </row>
    <row r="10" spans="1:8" x14ac:dyDescent="0.35">
      <c r="A10" s="1">
        <v>6</v>
      </c>
      <c r="B10" s="1">
        <f t="shared" si="1"/>
        <v>600</v>
      </c>
      <c r="C10" s="1">
        <f t="shared" si="2"/>
        <v>0.14563106796116504</v>
      </c>
      <c r="D10" s="1">
        <v>0</v>
      </c>
      <c r="F10" s="1">
        <v>6</v>
      </c>
      <c r="G10" s="76">
        <v>15</v>
      </c>
      <c r="H10" s="1">
        <f t="shared" si="0"/>
        <v>87.378640776699029</v>
      </c>
    </row>
    <row r="11" spans="1:8" x14ac:dyDescent="0.35">
      <c r="A11" s="1">
        <v>7</v>
      </c>
      <c r="B11" s="1">
        <f t="shared" si="1"/>
        <v>700</v>
      </c>
      <c r="C11" s="1">
        <f t="shared" si="2"/>
        <v>0.1553398058252427</v>
      </c>
      <c r="D11" s="1">
        <v>0</v>
      </c>
      <c r="F11" s="1">
        <v>7</v>
      </c>
      <c r="G11" s="76">
        <v>16</v>
      </c>
      <c r="H11" s="1">
        <f t="shared" si="0"/>
        <v>108.7378640776699</v>
      </c>
    </row>
    <row r="12" spans="1:8" x14ac:dyDescent="0.35">
      <c r="A12" s="1">
        <v>8</v>
      </c>
      <c r="B12" s="1">
        <f t="shared" si="1"/>
        <v>800</v>
      </c>
      <c r="C12" s="1">
        <f t="shared" si="2"/>
        <v>0.14563106796116504</v>
      </c>
      <c r="D12" s="1">
        <v>0</v>
      </c>
      <c r="F12" s="1">
        <v>8</v>
      </c>
      <c r="G12" s="76">
        <v>15</v>
      </c>
      <c r="H12" s="1">
        <f t="shared" si="0"/>
        <v>116.50485436893203</v>
      </c>
    </row>
    <row r="13" spans="1:8" x14ac:dyDescent="0.35">
      <c r="A13" s="1">
        <v>9</v>
      </c>
      <c r="B13" s="1">
        <f t="shared" si="1"/>
        <v>900</v>
      </c>
      <c r="C13" s="1">
        <f t="shared" si="2"/>
        <v>9.7087378640776698E-2</v>
      </c>
      <c r="D13" s="1">
        <v>0</v>
      </c>
      <c r="F13" s="1">
        <v>9</v>
      </c>
      <c r="G13" s="76">
        <v>10</v>
      </c>
      <c r="H13" s="1">
        <f t="shared" si="0"/>
        <v>87.378640776699029</v>
      </c>
    </row>
    <row r="14" spans="1:8" x14ac:dyDescent="0.35">
      <c r="A14" s="1">
        <v>10</v>
      </c>
      <c r="B14" s="1">
        <f t="shared" si="1"/>
        <v>1000</v>
      </c>
      <c r="C14" s="1">
        <f t="shared" si="2"/>
        <v>7.7669902912621352E-2</v>
      </c>
      <c r="D14" s="1">
        <v>0</v>
      </c>
      <c r="F14" s="1">
        <v>10</v>
      </c>
      <c r="G14" s="76">
        <v>8</v>
      </c>
      <c r="H14" s="1">
        <f t="shared" si="0"/>
        <v>77.669902912621353</v>
      </c>
    </row>
    <row r="15" spans="1:8" x14ac:dyDescent="0.35">
      <c r="A15" s="1">
        <v>11</v>
      </c>
      <c r="B15" s="1">
        <f t="shared" si="1"/>
        <v>1100</v>
      </c>
      <c r="C15" s="1">
        <f t="shared" si="2"/>
        <v>5.8252427184466021E-2</v>
      </c>
      <c r="D15" s="1">
        <v>0</v>
      </c>
      <c r="F15" s="1">
        <v>11</v>
      </c>
      <c r="G15" s="76">
        <v>6</v>
      </c>
      <c r="H15" s="1">
        <f t="shared" si="0"/>
        <v>64.077669902912618</v>
      </c>
    </row>
    <row r="16" spans="1:8" x14ac:dyDescent="0.35">
      <c r="A16" s="1">
        <v>12</v>
      </c>
      <c r="B16" s="1">
        <f t="shared" si="1"/>
        <v>1200</v>
      </c>
      <c r="C16" s="1">
        <f t="shared" si="2"/>
        <v>4.8543689320388349E-2</v>
      </c>
      <c r="D16" s="1">
        <v>0</v>
      </c>
      <c r="F16" s="1">
        <v>12</v>
      </c>
      <c r="G16" s="76">
        <v>5</v>
      </c>
      <c r="H16" s="1">
        <f t="shared" si="0"/>
        <v>58.252427184466022</v>
      </c>
    </row>
    <row r="17" spans="1:8" x14ac:dyDescent="0.35">
      <c r="A17" s="1">
        <v>13</v>
      </c>
      <c r="B17" s="1">
        <f t="shared" si="1"/>
        <v>1300</v>
      </c>
      <c r="C17" s="1">
        <f t="shared" si="2"/>
        <v>3.8834951456310676E-2</v>
      </c>
      <c r="D17" s="1">
        <v>0</v>
      </c>
      <c r="F17" s="1">
        <v>13</v>
      </c>
      <c r="G17" s="76">
        <v>4</v>
      </c>
      <c r="H17" s="1">
        <f t="shared" ref="H17:H19" si="3">C17*B17</f>
        <v>50.485436893203882</v>
      </c>
    </row>
    <row r="18" spans="1:8" x14ac:dyDescent="0.35">
      <c r="A18" s="1">
        <v>14</v>
      </c>
      <c r="B18" s="1">
        <f t="shared" si="1"/>
        <v>1400</v>
      </c>
      <c r="C18" s="1">
        <f t="shared" si="2"/>
        <v>2.9126213592233011E-2</v>
      </c>
      <c r="D18" s="1">
        <v>0</v>
      </c>
      <c r="F18" s="1">
        <v>14</v>
      </c>
      <c r="G18" s="76">
        <v>3</v>
      </c>
      <c r="H18" s="1">
        <f t="shared" si="3"/>
        <v>40.776699029126213</v>
      </c>
    </row>
    <row r="19" spans="1:8" x14ac:dyDescent="0.35">
      <c r="A19" s="1">
        <v>15</v>
      </c>
      <c r="B19" s="1">
        <f t="shared" si="1"/>
        <v>1500</v>
      </c>
      <c r="C19" s="1">
        <f t="shared" si="2"/>
        <v>1.9417475728155338E-2</v>
      </c>
      <c r="D19" s="1">
        <v>0</v>
      </c>
      <c r="F19" s="1">
        <v>15</v>
      </c>
      <c r="G19" s="76">
        <v>2</v>
      </c>
      <c r="H19" s="1">
        <f t="shared" si="3"/>
        <v>29.126213592233007</v>
      </c>
    </row>
  </sheetData>
  <phoneticPr fontId="64" type="noConversion"/>
  <conditionalFormatting sqref="C2">
    <cfRule type="containsText" dxfId="94" priority="4" operator="containsText" text=" ">
      <formula>NOT(ISERROR(SEARCH(" ",C2)))</formula>
    </cfRule>
  </conditionalFormatting>
  <conditionalFormatting sqref="C3">
    <cfRule type="containsText" dxfId="93" priority="6" operator="containsText" text=" ">
      <formula>NOT(ISERROR(SEARCH(" ",C3)))</formula>
    </cfRule>
  </conditionalFormatting>
  <conditionalFormatting sqref="D4">
    <cfRule type="containsText" dxfId="92" priority="2" operator="containsText" text=" ">
      <formula>NOT(ISERROR(SEARCH(" ",D4)))</formula>
    </cfRule>
  </conditionalFormatting>
  <conditionalFormatting sqref="D1:D3">
    <cfRule type="containsText" dxfId="91" priority="3" operator="containsText" text=" ">
      <formula>NOT(ISERROR(SEARCH(" ",D1)))</formula>
    </cfRule>
  </conditionalFormatting>
  <conditionalFormatting sqref="E1:E4">
    <cfRule type="containsText" dxfId="90" priority="1" operator="containsText" text=" ">
      <formula>NOT(ISERROR(SEARCH(" ",E1)))</formula>
    </cfRule>
  </conditionalFormatting>
  <conditionalFormatting sqref="A1:C1 G4 A2:B3 A20:F1048576 F8 F10 F12 F14 F16 D6:F6 H1:XFD1 J2:XFD2 F2 H2 F18 H3:XFD1048576 A4:C19 D7:E19">
    <cfRule type="containsText" dxfId="89" priority="7" operator="containsText" text=" ">
      <formula>NOT(ISERROR(SEARCH(" ",A1)))</formula>
    </cfRule>
  </conditionalFormatting>
  <conditionalFormatting sqref="F1 F7 F9 F11 F13 F15 D5:F5 F19 F17 F3:F4">
    <cfRule type="containsText" dxfId="88" priority="5" operator="containsText" text=" ">
      <formula>NOT(ISERROR(SEARCH(" ",D1)))</formula>
    </cfRule>
  </conditionalFormatting>
  <pageMargins left="0.69930555555555596" right="0.69930555555555596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A1:AA26"/>
  <sheetViews>
    <sheetView workbookViewId="0">
      <selection activeCell="S26" sqref="S26"/>
    </sheetView>
  </sheetViews>
  <sheetFormatPr defaultColWidth="9" defaultRowHeight="15.6" x14ac:dyDescent="0.35"/>
  <cols>
    <col min="1" max="1" width="8.21875" style="39" customWidth="1"/>
    <col min="2" max="2" width="9" style="39"/>
    <col min="3" max="3" width="29" style="39" customWidth="1"/>
    <col min="4" max="4" width="11.21875" style="39" customWidth="1"/>
    <col min="5" max="5" width="9" style="39"/>
    <col min="6" max="6" width="9" style="1" customWidth="1"/>
    <col min="7" max="7" width="7.44140625" style="1" customWidth="1"/>
    <col min="8" max="8" width="6.21875" style="1" customWidth="1"/>
    <col min="9" max="9" width="6.44140625" style="1" customWidth="1"/>
    <col min="10" max="10" width="9" style="1"/>
    <col min="11" max="12" width="7.44140625" style="1" customWidth="1"/>
    <col min="13" max="13" width="5.88671875" style="1" customWidth="1"/>
    <col min="14" max="14" width="4.44140625" style="1" customWidth="1"/>
    <col min="15" max="15" width="9" style="1"/>
    <col min="16" max="16" width="9.33203125" style="1" customWidth="1"/>
    <col min="17" max="17" width="7.44140625" style="1" customWidth="1"/>
    <col min="18" max="18" width="6.21875" style="1" customWidth="1"/>
    <col min="19" max="19" width="4.44140625" style="1" customWidth="1"/>
    <col min="20" max="22" width="9" style="1"/>
    <col min="23" max="23" width="11.6640625" style="1" customWidth="1"/>
    <col min="24" max="27" width="9" style="1"/>
    <col min="28" max="16384" width="9" style="39"/>
  </cols>
  <sheetData>
    <row r="1" spans="1:27" x14ac:dyDescent="0.35">
      <c r="A1" s="2" t="s">
        <v>0</v>
      </c>
      <c r="B1" s="2" t="s">
        <v>0</v>
      </c>
      <c r="C1" s="2" t="s">
        <v>0</v>
      </c>
    </row>
    <row r="2" spans="1:27" x14ac:dyDescent="0.35">
      <c r="A2" s="2" t="s">
        <v>11</v>
      </c>
      <c r="B2" s="2" t="s">
        <v>11</v>
      </c>
      <c r="C2" s="2" t="s">
        <v>14</v>
      </c>
      <c r="F2" s="64" t="s">
        <v>2386</v>
      </c>
      <c r="G2" s="65"/>
      <c r="H2" s="65"/>
      <c r="K2" s="65"/>
      <c r="L2" s="65"/>
      <c r="M2" s="65"/>
      <c r="P2" s="65"/>
      <c r="Q2" s="65"/>
      <c r="R2" s="65"/>
    </row>
    <row r="3" spans="1:27" x14ac:dyDescent="0.35">
      <c r="A3" s="2" t="s">
        <v>113</v>
      </c>
      <c r="B3" s="2" t="s">
        <v>2387</v>
      </c>
      <c r="C3" s="2" t="s">
        <v>2388</v>
      </c>
      <c r="F3" s="788" t="s">
        <v>2389</v>
      </c>
      <c r="G3" s="788"/>
      <c r="H3" s="788"/>
      <c r="I3" s="788"/>
      <c r="J3" s="788"/>
      <c r="K3" s="789" t="s">
        <v>2390</v>
      </c>
      <c r="L3" s="789"/>
      <c r="M3" s="789"/>
      <c r="N3" s="789"/>
      <c r="O3" s="789"/>
      <c r="P3" s="790" t="s">
        <v>2391</v>
      </c>
      <c r="Q3" s="790"/>
      <c r="R3" s="790"/>
      <c r="S3" s="790"/>
      <c r="T3" s="790"/>
    </row>
    <row r="4" spans="1:27" x14ac:dyDescent="0.35">
      <c r="A4" s="60" t="s">
        <v>2392</v>
      </c>
      <c r="B4" s="60" t="s">
        <v>2393</v>
      </c>
      <c r="C4" s="60" t="s">
        <v>2394</v>
      </c>
      <c r="F4" s="66" t="s">
        <v>1395</v>
      </c>
      <c r="G4" s="66" t="s">
        <v>1396</v>
      </c>
      <c r="H4" s="66" t="s">
        <v>1397</v>
      </c>
      <c r="I4" s="66" t="s">
        <v>114</v>
      </c>
      <c r="J4" s="66" t="s">
        <v>1958</v>
      </c>
      <c r="K4" s="66" t="s">
        <v>1395</v>
      </c>
      <c r="L4" s="66" t="s">
        <v>1396</v>
      </c>
      <c r="M4" s="66" t="s">
        <v>1397</v>
      </c>
      <c r="N4" s="66" t="s">
        <v>114</v>
      </c>
      <c r="O4" s="66" t="s">
        <v>1958</v>
      </c>
      <c r="P4" s="66" t="s">
        <v>1395</v>
      </c>
      <c r="Q4" s="66" t="s">
        <v>1396</v>
      </c>
      <c r="R4" s="66" t="s">
        <v>1397</v>
      </c>
      <c r="S4" s="66" t="s">
        <v>114</v>
      </c>
      <c r="T4" s="66" t="s">
        <v>1958</v>
      </c>
      <c r="U4" s="69"/>
      <c r="V4" s="69"/>
      <c r="W4" s="11">
        <f>'抽奖|MoonBless'!DN4</f>
        <v>0</v>
      </c>
      <c r="X4" s="70" t="str">
        <f>'抽奖|MoonBless'!DO4</f>
        <v>人民币价值</v>
      </c>
      <c r="Y4" s="70" t="str">
        <f>'抽奖|MoonBless'!DP4</f>
        <v>价值
钻石价值</v>
      </c>
      <c r="Z4" s="70" t="str">
        <f>'抽奖|MoonBless'!DQ4</f>
        <v>物品类型</v>
      </c>
      <c r="AA4" s="11" t="str">
        <f>'抽奖|MoonBless'!DR4</f>
        <v>id</v>
      </c>
    </row>
    <row r="5" spans="1:27" x14ac:dyDescent="0.35">
      <c r="A5" s="39">
        <v>1</v>
      </c>
      <c r="B5" s="39">
        <v>10</v>
      </c>
      <c r="C5" s="1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67" t="s">
        <v>177</v>
      </c>
      <c r="G5" s="68">
        <f>VLOOKUP(F5,W:AA,4,0)</f>
        <v>1</v>
      </c>
      <c r="H5" s="68">
        <f>VLOOKUP(F5,W:AA,5,0)</f>
        <v>2</v>
      </c>
      <c r="I5" s="67">
        <v>20000</v>
      </c>
      <c r="J5" s="6">
        <f>VLOOKUP(F5,W:AA,2,0)*I5</f>
        <v>0.1</v>
      </c>
      <c r="K5" s="67" t="s">
        <v>1369</v>
      </c>
      <c r="L5" s="68">
        <f>VLOOKUP(K5,W:AA,4,0)</f>
        <v>1</v>
      </c>
      <c r="M5" s="68">
        <f>VLOOKUP(K5,W:AA,5,0)</f>
        <v>1</v>
      </c>
      <c r="N5" s="67">
        <v>20</v>
      </c>
      <c r="O5" s="6">
        <f>VLOOKUP(K5,W:AA,2,0)*N5</f>
        <v>2</v>
      </c>
      <c r="P5" s="67" t="s">
        <v>1401</v>
      </c>
      <c r="Q5" s="68">
        <f>VLOOKUP(P5,W:AA,4,0)</f>
        <v>2</v>
      </c>
      <c r="R5" s="68">
        <f>VLOOKUP(P5,W:AA,5,0)</f>
        <v>1001</v>
      </c>
      <c r="S5" s="67">
        <v>10</v>
      </c>
      <c r="T5" s="6">
        <f>VLOOKUP(P5,W:AA,2,0)*S5</f>
        <v>1</v>
      </c>
      <c r="W5" s="11" t="str">
        <f>'抽奖|MoonBless'!DN5</f>
        <v>人民币</v>
      </c>
      <c r="X5" s="11">
        <f>'抽奖|MoonBless'!DO5</f>
        <v>1</v>
      </c>
      <c r="Y5" s="11">
        <f>'抽奖|MoonBless'!DP5</f>
        <v>20</v>
      </c>
      <c r="Z5" s="11">
        <f>'抽奖|MoonBless'!DQ5</f>
        <v>1</v>
      </c>
      <c r="AA5" s="11">
        <f>'抽奖|MoonBless'!DR5</f>
        <v>0</v>
      </c>
    </row>
    <row r="6" spans="1:27" x14ac:dyDescent="0.35">
      <c r="A6" s="39">
        <v>2</v>
      </c>
      <c r="B6" s="39">
        <v>30</v>
      </c>
      <c r="C6" s="1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67" t="s">
        <v>1974</v>
      </c>
      <c r="G6" s="68">
        <f>VLOOKUP(F6,W:AA,4,0)</f>
        <v>2</v>
      </c>
      <c r="H6" s="68">
        <f>VLOOKUP(F6,W:AA,5,0)</f>
        <v>1005</v>
      </c>
      <c r="I6" s="67">
        <v>1</v>
      </c>
      <c r="J6" s="6">
        <f>VLOOKUP(F6,W:AA,2,0)*I6</f>
        <v>5</v>
      </c>
      <c r="K6" s="67" t="s">
        <v>1369</v>
      </c>
      <c r="L6" s="68">
        <f>VLOOKUP(K6,W:AA,4,0)</f>
        <v>1</v>
      </c>
      <c r="M6" s="68">
        <f>VLOOKUP(K6,W:AA,5,0)</f>
        <v>1</v>
      </c>
      <c r="N6" s="67">
        <v>50</v>
      </c>
      <c r="O6" s="6">
        <f>VLOOKUP(K6,W:AA,2,0)*N6</f>
        <v>5</v>
      </c>
      <c r="P6" s="67" t="s">
        <v>1401</v>
      </c>
      <c r="Q6" s="68">
        <f>VLOOKUP(P6,W:AA,4,0)</f>
        <v>2</v>
      </c>
      <c r="R6" s="68">
        <f>VLOOKUP(P6,W:AA,5,0)</f>
        <v>1001</v>
      </c>
      <c r="S6" s="67">
        <v>30</v>
      </c>
      <c r="T6" s="6">
        <f>VLOOKUP(P6,W:AA,2,0)*S6</f>
        <v>3</v>
      </c>
      <c r="W6" s="11" t="str">
        <f>'抽奖|MoonBless'!DN6</f>
        <v>钻石</v>
      </c>
      <c r="X6" s="11">
        <f>'抽奖|MoonBless'!DO6</f>
        <v>0.1</v>
      </c>
      <c r="Y6" s="11">
        <f>'抽奖|MoonBless'!DP6</f>
        <v>2</v>
      </c>
      <c r="Z6" s="11">
        <f>'抽奖|MoonBless'!DQ6</f>
        <v>1</v>
      </c>
      <c r="AA6" s="11">
        <f>'抽奖|MoonBless'!DR6</f>
        <v>1</v>
      </c>
    </row>
    <row r="7" spans="1:27" x14ac:dyDescent="0.35">
      <c r="A7" s="39">
        <v>3</v>
      </c>
      <c r="B7" s="39">
        <v>100</v>
      </c>
      <c r="C7" s="1" t="str">
        <f t="shared" si="0"/>
        <v>2|1005|1,1|1|200,2|1001|50</v>
      </c>
      <c r="F7" s="67" t="s">
        <v>1974</v>
      </c>
      <c r="G7" s="68">
        <f>VLOOKUP(F7,W:AA,4,0)</f>
        <v>2</v>
      </c>
      <c r="H7" s="68">
        <f>VLOOKUP(F7,W:AA,5,0)</f>
        <v>1005</v>
      </c>
      <c r="I7" s="67">
        <v>1</v>
      </c>
      <c r="J7" s="6">
        <f>VLOOKUP(F7,W:AA,2,0)*I7</f>
        <v>5</v>
      </c>
      <c r="K7" s="67" t="s">
        <v>1369</v>
      </c>
      <c r="L7" s="68">
        <f>VLOOKUP(K7,W:AA,4,0)</f>
        <v>1</v>
      </c>
      <c r="M7" s="68">
        <f>VLOOKUP(K7,W:AA,5,0)</f>
        <v>1</v>
      </c>
      <c r="N7" s="67">
        <v>200</v>
      </c>
      <c r="O7" s="6">
        <f>VLOOKUP(K7,W:AA,2,0)*N7</f>
        <v>20</v>
      </c>
      <c r="P7" s="67" t="s">
        <v>1401</v>
      </c>
      <c r="Q7" s="68">
        <f>VLOOKUP(P7,W:AA,4,0)</f>
        <v>2</v>
      </c>
      <c r="R7" s="68">
        <f>VLOOKUP(P7,W:AA,5,0)</f>
        <v>1001</v>
      </c>
      <c r="S7" s="67">
        <v>50</v>
      </c>
      <c r="T7" s="6">
        <f>VLOOKUP(P7,W:AA,2,0)*S7</f>
        <v>5</v>
      </c>
      <c r="W7" s="11" t="str">
        <f>'抽奖|MoonBless'!DN7</f>
        <v>金币</v>
      </c>
      <c r="X7" s="11">
        <f>'抽奖|MoonBless'!DO7</f>
        <v>5.0000000000000004E-6</v>
      </c>
      <c r="Y7" s="11">
        <f>'抽奖|MoonBless'!DP7</f>
        <v>1E-4</v>
      </c>
      <c r="Z7" s="11">
        <f>'抽奖|MoonBless'!DQ7</f>
        <v>1</v>
      </c>
      <c r="AA7" s="11">
        <f>'抽奖|MoonBless'!DR7</f>
        <v>2</v>
      </c>
    </row>
    <row r="8" spans="1:27" x14ac:dyDescent="0.35">
      <c r="C8" s="1"/>
      <c r="F8" s="67"/>
      <c r="G8" s="68"/>
      <c r="H8" s="68"/>
      <c r="I8" s="67"/>
      <c r="J8" s="6"/>
      <c r="K8" s="67"/>
      <c r="L8" s="68"/>
      <c r="M8" s="68"/>
      <c r="N8" s="67"/>
      <c r="O8" s="6"/>
      <c r="P8" s="67"/>
      <c r="Q8" s="68"/>
      <c r="R8" s="68"/>
      <c r="S8" s="67"/>
      <c r="T8" s="6"/>
      <c r="W8" s="11" t="str">
        <f>'抽奖|MoonBless'!DN8</f>
        <v>锁定</v>
      </c>
      <c r="X8" s="11">
        <f>'抽奖|MoonBless'!DO8</f>
        <v>0.1</v>
      </c>
      <c r="Y8" s="11">
        <f>'抽奖|MoonBless'!DP8</f>
        <v>2</v>
      </c>
      <c r="Z8" s="11">
        <f>'抽奖|MoonBless'!DQ8</f>
        <v>2</v>
      </c>
      <c r="AA8" s="11">
        <f>'抽奖|MoonBless'!DR8</f>
        <v>1001</v>
      </c>
    </row>
    <row r="9" spans="1:27" x14ac:dyDescent="0.35">
      <c r="C9" s="1"/>
      <c r="F9" s="67"/>
      <c r="G9" s="68"/>
      <c r="H9" s="68"/>
      <c r="I9" s="67"/>
      <c r="J9" s="6"/>
      <c r="K9" s="67"/>
      <c r="L9" s="68"/>
      <c r="M9" s="68"/>
      <c r="N9" s="67"/>
      <c r="O9" s="6"/>
      <c r="P9" s="67"/>
      <c r="Q9" s="68"/>
      <c r="R9" s="68"/>
      <c r="S9" s="67"/>
      <c r="T9" s="6"/>
      <c r="W9" s="11" t="str">
        <f>'抽奖|MoonBless'!DN9</f>
        <v>冰冻</v>
      </c>
      <c r="X9" s="11">
        <f>'抽奖|MoonBless'!DO9</f>
        <v>0.25</v>
      </c>
      <c r="Y9" s="11">
        <f>'抽奖|MoonBless'!DP9</f>
        <v>5</v>
      </c>
      <c r="Z9" s="11">
        <f>'抽奖|MoonBless'!DQ9</f>
        <v>2</v>
      </c>
      <c r="AA9" s="11">
        <f>'抽奖|MoonBless'!DR9</f>
        <v>1002</v>
      </c>
    </row>
    <row r="10" spans="1:27" x14ac:dyDescent="0.35">
      <c r="C10" s="1"/>
      <c r="F10" s="67"/>
      <c r="G10" s="68"/>
      <c r="H10" s="68"/>
      <c r="I10" s="67"/>
      <c r="J10" s="6"/>
      <c r="K10" s="67"/>
      <c r="L10" s="68"/>
      <c r="M10" s="68"/>
      <c r="N10" s="67"/>
      <c r="O10" s="6"/>
      <c r="P10" s="67"/>
      <c r="Q10" s="68"/>
      <c r="R10" s="68"/>
      <c r="S10" s="67"/>
      <c r="T10" s="6"/>
      <c r="W10" s="11" t="str">
        <f>'抽奖|MoonBless'!DN10</f>
        <v>狂暴</v>
      </c>
      <c r="X10" s="11">
        <f>'抽奖|MoonBless'!DO10</f>
        <v>0.5</v>
      </c>
      <c r="Y10" s="11">
        <f>'抽奖|MoonBless'!DP10</f>
        <v>10</v>
      </c>
      <c r="Z10" s="11">
        <f>'抽奖|MoonBless'!DQ10</f>
        <v>2</v>
      </c>
      <c r="AA10" s="11">
        <f>'抽奖|MoonBless'!DR10</f>
        <v>1003</v>
      </c>
    </row>
    <row r="11" spans="1:27" x14ac:dyDescent="0.35">
      <c r="C11" s="1"/>
      <c r="F11" s="67"/>
      <c r="G11" s="68"/>
      <c r="H11" s="68"/>
      <c r="I11" s="67"/>
      <c r="J11" s="6"/>
      <c r="K11" s="67"/>
      <c r="L11" s="68"/>
      <c r="M11" s="68"/>
      <c r="N11" s="67"/>
      <c r="O11" s="6"/>
      <c r="P11" s="67"/>
      <c r="Q11" s="68"/>
      <c r="R11" s="68"/>
      <c r="S11" s="67"/>
      <c r="T11" s="6"/>
      <c r="W11" s="11" t="str">
        <f>'抽奖|MoonBless'!DN11</f>
        <v>召唤</v>
      </c>
      <c r="X11" s="11">
        <f>'抽奖|MoonBless'!DO11</f>
        <v>0.1</v>
      </c>
      <c r="Y11" s="11">
        <f>'抽奖|MoonBless'!DP11</f>
        <v>2</v>
      </c>
      <c r="Z11" s="11">
        <f>'抽奖|MoonBless'!DQ11</f>
        <v>2</v>
      </c>
      <c r="AA11" s="11">
        <f>'抽奖|MoonBless'!DR11</f>
        <v>1004</v>
      </c>
    </row>
    <row r="12" spans="1:27" x14ac:dyDescent="0.35">
      <c r="W12" s="11" t="str">
        <f>'抽奖|MoonBless'!DN12</f>
        <v>福卡</v>
      </c>
      <c r="X12" s="11">
        <f>'抽奖|MoonBless'!DO12</f>
        <v>7.5000000000000002E-4</v>
      </c>
      <c r="Y12" s="11">
        <f>'抽奖|MoonBless'!DP12</f>
        <v>1.5000000000000001E-2</v>
      </c>
      <c r="Z12" s="11">
        <f>'抽奖|MoonBless'!DQ12</f>
        <v>2</v>
      </c>
      <c r="AA12" s="11">
        <f>'抽奖|MoonBless'!DR12</f>
        <v>1204</v>
      </c>
    </row>
    <row r="13" spans="1:27" x14ac:dyDescent="0.35">
      <c r="W13" s="11" t="str">
        <f>'抽奖|MoonBless'!DN13</f>
        <v>超级武器1</v>
      </c>
      <c r="X13" s="11">
        <f>'抽奖|MoonBless'!DO13</f>
        <v>5</v>
      </c>
      <c r="Y13" s="11">
        <f>'抽奖|MoonBless'!DP13</f>
        <v>100</v>
      </c>
      <c r="Z13" s="11">
        <f>'抽奖|MoonBless'!DQ13</f>
        <v>2</v>
      </c>
      <c r="AA13" s="11">
        <f>'抽奖|MoonBless'!DR13</f>
        <v>1005</v>
      </c>
    </row>
    <row r="14" spans="1:27" x14ac:dyDescent="0.35">
      <c r="W14" s="11" t="str">
        <f>'抽奖|MoonBless'!DN14</f>
        <v>超级武器2</v>
      </c>
      <c r="X14" s="11">
        <f>'抽奖|MoonBless'!DO14</f>
        <v>10</v>
      </c>
      <c r="Y14" s="11">
        <f>'抽奖|MoonBless'!DP14</f>
        <v>200</v>
      </c>
      <c r="Z14" s="11">
        <f>'抽奖|MoonBless'!DQ14</f>
        <v>2</v>
      </c>
      <c r="AA14" s="11">
        <f>'抽奖|MoonBless'!DR14</f>
        <v>1006</v>
      </c>
    </row>
    <row r="15" spans="1:27" x14ac:dyDescent="0.35">
      <c r="W15" s="11" t="str">
        <f>'抽奖|MoonBless'!DN15</f>
        <v>超级武器3</v>
      </c>
      <c r="X15" s="11">
        <f>'抽奖|MoonBless'!DO15</f>
        <v>25</v>
      </c>
      <c r="Y15" s="11">
        <f>'抽奖|MoonBless'!DP15</f>
        <v>500</v>
      </c>
      <c r="Z15" s="11">
        <f>'抽奖|MoonBless'!DQ15</f>
        <v>2</v>
      </c>
      <c r="AA15" s="11">
        <f>'抽奖|MoonBless'!DR15</f>
        <v>1007</v>
      </c>
    </row>
    <row r="16" spans="1:27" x14ac:dyDescent="0.35">
      <c r="W16" s="11" t="str">
        <f>'抽奖|MoonBless'!DN16</f>
        <v>超级武器4</v>
      </c>
      <c r="X16" s="11">
        <f>'抽奖|MoonBless'!DO16</f>
        <v>50</v>
      </c>
      <c r="Y16" s="11">
        <f>'抽奖|MoonBless'!DP16</f>
        <v>1000</v>
      </c>
      <c r="Z16" s="11">
        <f>'抽奖|MoonBless'!DQ16</f>
        <v>2</v>
      </c>
      <c r="AA16" s="11">
        <f>'抽奖|MoonBless'!DR16</f>
        <v>1008</v>
      </c>
    </row>
    <row r="17" spans="23:27" x14ac:dyDescent="0.35">
      <c r="W17" s="11" t="str">
        <f>'抽奖|MoonBless'!DN17</f>
        <v>5元话费卡</v>
      </c>
      <c r="X17" s="11">
        <f>'抽奖|MoonBless'!DO17</f>
        <v>5</v>
      </c>
      <c r="Y17" s="11">
        <f>'抽奖|MoonBless'!DP17</f>
        <v>100</v>
      </c>
      <c r="Z17" s="11">
        <f>'抽奖|MoonBless'!DQ17</f>
        <v>2</v>
      </c>
      <c r="AA17" s="11">
        <f>'抽奖|MoonBless'!DR17</f>
        <v>1206</v>
      </c>
    </row>
    <row r="18" spans="23:27" x14ac:dyDescent="0.35">
      <c r="W18" s="11" t="str">
        <f>'抽奖|MoonBless'!DN18</f>
        <v>2元话费卡</v>
      </c>
      <c r="X18" s="11">
        <f>'抽奖|MoonBless'!DO18</f>
        <v>2</v>
      </c>
      <c r="Y18" s="11">
        <f>'抽奖|MoonBless'!DP18</f>
        <v>40</v>
      </c>
      <c r="Z18" s="11">
        <f>'抽奖|MoonBless'!DQ18</f>
        <v>2</v>
      </c>
      <c r="AA18" s="11">
        <f>'抽奖|MoonBless'!DR18</f>
        <v>1205</v>
      </c>
    </row>
    <row r="19" spans="23:27" x14ac:dyDescent="0.35">
      <c r="W19" s="11" t="str">
        <f>'抽奖|MoonBless'!DN19</f>
        <v>高压锅</v>
      </c>
      <c r="X19" s="11">
        <f>'抽奖|MoonBless'!DO19</f>
        <v>200</v>
      </c>
      <c r="Y19" s="11">
        <f>'抽奖|MoonBless'!DP19</f>
        <v>4000</v>
      </c>
      <c r="Z19" s="11">
        <f>'抽奖|MoonBless'!DQ19</f>
        <v>2</v>
      </c>
      <c r="AA19" s="11">
        <f>'抽奖|MoonBless'!DR19</f>
        <v>1208</v>
      </c>
    </row>
    <row r="20" spans="23:27" x14ac:dyDescent="0.35">
      <c r="W20" s="1" t="str">
        <f>'抽奖|MoonBless'!DN20</f>
        <v>30元话费卡</v>
      </c>
      <c r="X20" s="1">
        <f>'抽奖|MoonBless'!DO20</f>
        <v>30</v>
      </c>
      <c r="Y20" s="1">
        <f>'抽奖|MoonBless'!DP20</f>
        <v>600</v>
      </c>
      <c r="Z20" s="1">
        <f>'抽奖|MoonBless'!DQ20</f>
        <v>2</v>
      </c>
      <c r="AA20" s="1">
        <f>'抽奖|MoonBless'!DR20</f>
        <v>1209</v>
      </c>
    </row>
    <row r="21" spans="23:27" x14ac:dyDescent="0.35">
      <c r="W21" s="1" t="str">
        <f>'抽奖|MoonBless'!DN21</f>
        <v>50元话费卡</v>
      </c>
      <c r="X21" s="1">
        <f>'抽奖|MoonBless'!DO21</f>
        <v>50</v>
      </c>
      <c r="Y21" s="1">
        <f>'抽奖|MoonBless'!DP21</f>
        <v>1000</v>
      </c>
      <c r="Z21" s="1">
        <f>'抽奖|MoonBless'!DQ21</f>
        <v>2</v>
      </c>
      <c r="AA21" s="1">
        <f>'抽奖|MoonBless'!DR21</f>
        <v>1210</v>
      </c>
    </row>
    <row r="22" spans="23:27" x14ac:dyDescent="0.35">
      <c r="W22" s="1" t="str">
        <f>'抽奖|MoonBless'!DN22</f>
        <v>活跃度</v>
      </c>
      <c r="X22" s="1">
        <f>'抽奖|MoonBless'!DO22</f>
        <v>1</v>
      </c>
      <c r="Y22" s="1">
        <f>'抽奖|MoonBless'!DP22</f>
        <v>20</v>
      </c>
      <c r="Z22" s="1">
        <f>'抽奖|MoonBless'!DQ22</f>
        <v>1</v>
      </c>
      <c r="AA22" s="1">
        <f>'抽奖|MoonBless'!DR22</f>
        <v>6</v>
      </c>
    </row>
    <row r="23" spans="23:27" x14ac:dyDescent="0.35">
      <c r="W23" s="1" t="str">
        <f>'抽奖|MoonBless'!DN23</f>
        <v>红包【恭】</v>
      </c>
      <c r="X23" s="1">
        <f>'抽奖|MoonBless'!DO23</f>
        <v>1</v>
      </c>
      <c r="Y23" s="1">
        <f>'抽奖|MoonBless'!DP23</f>
        <v>20</v>
      </c>
      <c r="Z23" s="1">
        <f>'抽奖|MoonBless'!DQ23</f>
        <v>2</v>
      </c>
      <c r="AA23" s="1">
        <f>'抽奖|MoonBless'!DR23</f>
        <v>1301</v>
      </c>
    </row>
    <row r="24" spans="23:27" x14ac:dyDescent="0.35">
      <c r="W24" s="1" t="str">
        <f>'抽奖|MoonBless'!DN24</f>
        <v>红包【喜】</v>
      </c>
      <c r="X24" s="1">
        <f>'抽奖|MoonBless'!DO24</f>
        <v>1</v>
      </c>
      <c r="Y24" s="1">
        <f>'抽奖|MoonBless'!DP24</f>
        <v>20</v>
      </c>
      <c r="Z24" s="1">
        <f>'抽奖|MoonBless'!DQ24</f>
        <v>2</v>
      </c>
      <c r="AA24" s="1">
        <f>'抽奖|MoonBless'!DR24</f>
        <v>1302</v>
      </c>
    </row>
    <row r="25" spans="23:27" x14ac:dyDescent="0.35">
      <c r="W25" s="1" t="str">
        <f>'抽奖|MoonBless'!DN25</f>
        <v>红包【发】</v>
      </c>
      <c r="X25" s="1">
        <f>'抽奖|MoonBless'!DO25</f>
        <v>1</v>
      </c>
      <c r="Y25" s="1">
        <f>'抽奖|MoonBless'!DP25</f>
        <v>20</v>
      </c>
      <c r="Z25" s="1">
        <f>'抽奖|MoonBless'!DQ25</f>
        <v>2</v>
      </c>
      <c r="AA25" s="1">
        <f>'抽奖|MoonBless'!DR25</f>
        <v>1303</v>
      </c>
    </row>
    <row r="26" spans="23:27" x14ac:dyDescent="0.35">
      <c r="W26" s="1" t="str">
        <f>'抽奖|MoonBless'!DN26</f>
        <v>红包【财】</v>
      </c>
      <c r="X26" s="1">
        <f>'抽奖|MoonBless'!DO26</f>
        <v>1</v>
      </c>
      <c r="Y26" s="1">
        <f>'抽奖|MoonBless'!DP26</f>
        <v>20</v>
      </c>
      <c r="Z26" s="1">
        <f>'抽奖|MoonBless'!DQ26</f>
        <v>2</v>
      </c>
      <c r="AA26" s="1">
        <f>'抽奖|MoonBless'!DR26</f>
        <v>1304</v>
      </c>
    </row>
  </sheetData>
  <mergeCells count="3">
    <mergeCell ref="F3:J3"/>
    <mergeCell ref="K3:O3"/>
    <mergeCell ref="P3:T3"/>
  </mergeCells>
  <phoneticPr fontId="64" type="noConversion"/>
  <conditionalFormatting sqref="F12:J12">
    <cfRule type="containsText" dxfId="87" priority="23" operator="containsText" text=" ">
      <formula>NOT(ISERROR(SEARCH(" ",F12)))</formula>
    </cfRule>
  </conditionalFormatting>
  <conditionalFormatting sqref="K12:O12">
    <cfRule type="containsText" dxfId="86" priority="18" operator="containsText" text=" ">
      <formula>NOT(ISERROR(SEARCH(" ",K12)))</formula>
    </cfRule>
  </conditionalFormatting>
  <conditionalFormatting sqref="P12:T12">
    <cfRule type="containsText" dxfId="85" priority="13" operator="containsText" text=" ">
      <formula>NOT(ISERROR(SEARCH(" ",P12)))</formula>
    </cfRule>
  </conditionalFormatting>
  <conditionalFormatting sqref="Z12">
    <cfRule type="containsText" dxfId="84" priority="31" operator="containsText" text=" ">
      <formula>NOT(ISERROR(SEARCH(" ",Z12)))</formula>
    </cfRule>
  </conditionalFormatting>
  <conditionalFormatting sqref="W17">
    <cfRule type="containsText" dxfId="83" priority="28" operator="containsText" text=" ">
      <formula>NOT(ISERROR(SEARCH(" ",W17)))</formula>
    </cfRule>
  </conditionalFormatting>
  <conditionalFormatting sqref="W18">
    <cfRule type="containsText" dxfId="82" priority="27" operator="containsText" text=" ">
      <formula>NOT(ISERROR(SEARCH(" ",W18)))</formula>
    </cfRule>
  </conditionalFormatting>
  <conditionalFormatting sqref="Z19">
    <cfRule type="containsText" dxfId="81" priority="26" operator="containsText" text=" ">
      <formula>NOT(ISERROR(SEARCH(" ",Z19)))</formula>
    </cfRule>
  </conditionalFormatting>
  <conditionalFormatting sqref="C5:C11">
    <cfRule type="containsText" dxfId="80" priority="24" operator="containsText" text=" ">
      <formula>NOT(ISERROR(SEARCH(" ",C5)))</formula>
    </cfRule>
  </conditionalFormatting>
  <conditionalFormatting sqref="I8:I9">
    <cfRule type="containsText" dxfId="79" priority="12" operator="containsText" text=" ">
      <formula>NOT(ISERROR(SEARCH(" ",I8)))</formula>
    </cfRule>
  </conditionalFormatting>
  <conditionalFormatting sqref="I10:I11">
    <cfRule type="containsText" dxfId="78" priority="6" operator="containsText" text=" ">
      <formula>NOT(ISERROR(SEARCH(" ",I10)))</formula>
    </cfRule>
  </conditionalFormatting>
  <conditionalFormatting sqref="N6:N7">
    <cfRule type="containsText" dxfId="77" priority="21" operator="containsText" text=" ">
      <formula>NOT(ISERROR(SEARCH(" ",N6)))</formula>
    </cfRule>
  </conditionalFormatting>
  <conditionalFormatting sqref="N8:N9">
    <cfRule type="containsText" dxfId="76" priority="10" operator="containsText" text=" ">
      <formula>NOT(ISERROR(SEARCH(" ",N8)))</formula>
    </cfRule>
  </conditionalFormatting>
  <conditionalFormatting sqref="N10:N11">
    <cfRule type="containsText" dxfId="75" priority="4" operator="containsText" text=" ">
      <formula>NOT(ISERROR(SEARCH(" ",N10)))</formula>
    </cfRule>
  </conditionalFormatting>
  <conditionalFormatting sqref="S6:S7">
    <cfRule type="containsText" dxfId="74" priority="16" operator="containsText" text=" ">
      <formula>NOT(ISERROR(SEARCH(" ",S6)))</formula>
    </cfRule>
  </conditionalFormatting>
  <conditionalFormatting sqref="S8:S9">
    <cfRule type="containsText" dxfId="73" priority="8" operator="containsText" text=" ">
      <formula>NOT(ISERROR(SEARCH(" ",S8)))</formula>
    </cfRule>
  </conditionalFormatting>
  <conditionalFormatting sqref="S10:S11">
    <cfRule type="containsText" dxfId="72" priority="2" operator="containsText" text=" ">
      <formula>NOT(ISERROR(SEARCH(" ",S10)))</formula>
    </cfRule>
  </conditionalFormatting>
  <conditionalFormatting sqref="X8:X11">
    <cfRule type="containsText" dxfId="71" priority="32" operator="containsText" text=" ">
      <formula>NOT(ISERROR(SEARCH(" ",X8)))</formula>
    </cfRule>
  </conditionalFormatting>
  <conditionalFormatting sqref="X13:X16">
    <cfRule type="containsText" dxfId="70" priority="29" operator="containsText" text=" ">
      <formula>NOT(ISERROR(SEARCH(" ",X13)))</formula>
    </cfRule>
  </conditionalFormatting>
  <conditionalFormatting sqref="Z8:Z11">
    <cfRule type="containsText" dxfId="69" priority="33" operator="containsText" text=" ">
      <formula>NOT(ISERROR(SEARCH(" ",Z8)))</formula>
    </cfRule>
  </conditionalFormatting>
  <conditionalFormatting sqref="Z13:Z16">
    <cfRule type="containsText" dxfId="68" priority="30" operator="containsText" text=" ">
      <formula>NOT(ISERROR(SEARCH(" ",Z13)))</formula>
    </cfRule>
  </conditionalFormatting>
  <conditionalFormatting sqref="E1:E11 A12:E1048576 AB1:XFD1048576 A5:B11">
    <cfRule type="containsText" dxfId="67" priority="43" operator="containsText" text=" ">
      <formula>NOT(ISERROR(SEARCH(" ",A1)))</formula>
    </cfRule>
  </conditionalFormatting>
  <conditionalFormatting sqref="F1:J2 F4:J5 J6:J7 F3 U4:V5 U1:W3 F6:H7">
    <cfRule type="containsText" dxfId="66" priority="35" operator="containsText" text=" ">
      <formula>NOT(ISERROR(SEARCH(" ",F1)))</formula>
    </cfRule>
  </conditionalFormatting>
  <conditionalFormatting sqref="K1:O2 K4:O5 K6:M7 O6:O7 K3">
    <cfRule type="containsText" dxfId="65" priority="20" operator="containsText" text=" ">
      <formula>NOT(ISERROR(SEARCH(" ",K1)))</formula>
    </cfRule>
  </conditionalFormatting>
  <conditionalFormatting sqref="P1:T2 T6:T7 P3 P4:T5 P6:R7">
    <cfRule type="containsText" dxfId="64" priority="15" operator="containsText" text=" ">
      <formula>NOT(ISERROR(SEARCH(" ",P1)))</formula>
    </cfRule>
  </conditionalFormatting>
  <conditionalFormatting sqref="Y8:Y11 W5:Z7 W8:W11 W12:Y12 W13:W16 Y13:Y16 X17:Z18 W19:Y19 W4:AA4">
    <cfRule type="containsText" dxfId="63" priority="34" operator="containsText" text=" ">
      <formula>NOT(ISERROR(SEARCH(" ",W4)))</formula>
    </cfRule>
  </conditionalFormatting>
  <conditionalFormatting sqref="AA5 F15:J1048576 AA12:AA19 U12:V19 U20:AA1048576">
    <cfRule type="containsText" dxfId="62" priority="42" operator="containsText" text=" ">
      <formula>NOT(ISERROR(SEARCH(" ",F5)))</formula>
    </cfRule>
  </conditionalFormatting>
  <conditionalFormatting sqref="V7 I6:I7 AA7">
    <cfRule type="containsText" dxfId="61" priority="40" operator="containsText" text=" ">
      <formula>NOT(ISERROR(SEARCH(" ",I6)))</formula>
    </cfRule>
  </conditionalFormatting>
  <conditionalFormatting sqref="U6:V6 U7:U11 AA6">
    <cfRule type="containsText" dxfId="60" priority="41" operator="containsText" text=" ">
      <formula>NOT(ISERROR(SEARCH(" ",U6)))</formula>
    </cfRule>
  </conditionalFormatting>
  <conditionalFormatting sqref="J8:J9 F8:H9">
    <cfRule type="containsText" dxfId="59" priority="11" operator="containsText" text=" ">
      <formula>NOT(ISERROR(SEARCH(" ",F8)))</formula>
    </cfRule>
  </conditionalFormatting>
  <conditionalFormatting sqref="K8:M9 O8:O9">
    <cfRule type="containsText" dxfId="58" priority="9" operator="containsText" text=" ">
      <formula>NOT(ISERROR(SEARCH(" ",K8)))</formula>
    </cfRule>
  </conditionalFormatting>
  <conditionalFormatting sqref="T8:T9 P8:R9">
    <cfRule type="containsText" dxfId="57" priority="7" operator="containsText" text=" ">
      <formula>NOT(ISERROR(SEARCH(" ",P8)))</formula>
    </cfRule>
  </conditionalFormatting>
  <conditionalFormatting sqref="V8 AA8">
    <cfRule type="containsText" dxfId="56" priority="39" operator="containsText" text=" ">
      <formula>NOT(ISERROR(SEARCH(" ",V8)))</formula>
    </cfRule>
  </conditionalFormatting>
  <conditionalFormatting sqref="V9 AA9">
    <cfRule type="containsText" dxfId="55" priority="38" operator="containsText" text=" ">
      <formula>NOT(ISERROR(SEARCH(" ",V9)))</formula>
    </cfRule>
  </conditionalFormatting>
  <conditionalFormatting sqref="J10:J11 F10:H11">
    <cfRule type="containsText" dxfId="54" priority="5" operator="containsText" text=" ">
      <formula>NOT(ISERROR(SEARCH(" ",F10)))</formula>
    </cfRule>
  </conditionalFormatting>
  <conditionalFormatting sqref="K10:M11 O10:O11">
    <cfRule type="containsText" dxfId="53" priority="3" operator="containsText" text=" ">
      <formula>NOT(ISERROR(SEARCH(" ",K10)))</formula>
    </cfRule>
  </conditionalFormatting>
  <conditionalFormatting sqref="T10:T11 P10:R11">
    <cfRule type="containsText" dxfId="52" priority="1" operator="containsText" text=" ">
      <formula>NOT(ISERROR(SEARCH(" ",P10)))</formula>
    </cfRule>
  </conditionalFormatting>
  <conditionalFormatting sqref="V10 AA10">
    <cfRule type="containsText" dxfId="51" priority="37" operator="containsText" text=" ">
      <formula>NOT(ISERROR(SEARCH(" ",V10)))</formula>
    </cfRule>
  </conditionalFormatting>
  <conditionalFormatting sqref="V11 AA11">
    <cfRule type="containsText" dxfId="50" priority="36" operator="containsText" text=" ">
      <formula>NOT(ISERROR(SEARCH(" ",V11)))</formula>
    </cfRule>
  </conditionalFormatting>
  <conditionalFormatting sqref="F13:J14">
    <cfRule type="containsText" dxfId="49" priority="25" operator="containsText" text=" ">
      <formula>NOT(ISERROR(SEARCH(" ",F13)))</formula>
    </cfRule>
  </conditionalFormatting>
  <conditionalFormatting sqref="K13:O14">
    <cfRule type="containsText" dxfId="48" priority="19" operator="containsText" text=" ">
      <formula>NOT(ISERROR(SEARCH(" ",K13)))</formula>
    </cfRule>
  </conditionalFormatting>
  <conditionalFormatting sqref="P13:T14">
    <cfRule type="containsText" dxfId="47" priority="14" operator="containsText" text=" ">
      <formula>NOT(ISERROR(SEARCH(" ",P13)))</formula>
    </cfRule>
  </conditionalFormatting>
  <conditionalFormatting sqref="K15:O1048576">
    <cfRule type="containsText" dxfId="46" priority="22" operator="containsText" text=" ">
      <formula>NOT(ISERROR(SEARCH(" ",K15)))</formula>
    </cfRule>
  </conditionalFormatting>
  <conditionalFormatting sqref="P15:T1048576">
    <cfRule type="containsText" dxfId="45" priority="17" operator="containsText" text=" ">
      <formula>NOT(ISERROR(SEARCH(" ",P15)))</formula>
    </cfRule>
  </conditionalFormatting>
  <pageMargins left="0.69930555555555596" right="0.69930555555555596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0000"/>
  </sheetPr>
  <dimension ref="A1:M9"/>
  <sheetViews>
    <sheetView workbookViewId="0">
      <selection activeCell="U37" sqref="U37"/>
    </sheetView>
  </sheetViews>
  <sheetFormatPr defaultColWidth="9" defaultRowHeight="15.6" x14ac:dyDescent="0.35"/>
  <cols>
    <col min="1" max="1" width="9" style="39"/>
    <col min="2" max="2" width="14.21875" style="39" customWidth="1"/>
    <col min="3" max="3" width="11.77734375" style="39" customWidth="1"/>
    <col min="4" max="9" width="9" style="39"/>
    <col min="10" max="10" width="14.77734375" style="39" customWidth="1"/>
    <col min="11" max="12" width="12.88671875" style="39" customWidth="1"/>
    <col min="13" max="16384" width="9" style="39"/>
  </cols>
  <sheetData>
    <row r="1" spans="1:13" x14ac:dyDescent="0.35">
      <c r="A1" s="2" t="s">
        <v>1</v>
      </c>
      <c r="B1" s="2" t="s">
        <v>1</v>
      </c>
      <c r="C1" s="2" t="s">
        <v>1</v>
      </c>
      <c r="F1" s="39" t="s">
        <v>2395</v>
      </c>
    </row>
    <row r="2" spans="1:13" x14ac:dyDescent="0.35">
      <c r="A2" s="2" t="s">
        <v>11</v>
      </c>
      <c r="B2" s="2" t="s">
        <v>11</v>
      </c>
      <c r="C2" s="2" t="s">
        <v>11</v>
      </c>
    </row>
    <row r="3" spans="1:13" x14ac:dyDescent="0.35">
      <c r="A3" s="2" t="s">
        <v>141</v>
      </c>
      <c r="B3" s="2" t="s">
        <v>2396</v>
      </c>
      <c r="C3" s="2" t="s">
        <v>142</v>
      </c>
    </row>
    <row r="4" spans="1:13" ht="52.8" x14ac:dyDescent="0.35">
      <c r="A4" s="60" t="s">
        <v>2381</v>
      </c>
      <c r="B4" s="60" t="s">
        <v>2397</v>
      </c>
      <c r="C4" s="60" t="s">
        <v>2398</v>
      </c>
    </row>
    <row r="5" spans="1:13" x14ac:dyDescent="0.35">
      <c r="A5" s="39">
        <v>1</v>
      </c>
      <c r="B5" s="39">
        <v>0</v>
      </c>
      <c r="C5" s="61">
        <v>5000</v>
      </c>
      <c r="I5" s="62" t="s">
        <v>2399</v>
      </c>
      <c r="J5" s="62" t="s">
        <v>2400</v>
      </c>
      <c r="K5" s="62" t="s">
        <v>2401</v>
      </c>
      <c r="L5" s="62" t="s">
        <v>2402</v>
      </c>
      <c r="M5" s="62" t="s">
        <v>2403</v>
      </c>
    </row>
    <row r="6" spans="1:13" x14ac:dyDescent="0.35">
      <c r="A6" s="39">
        <v>2</v>
      </c>
      <c r="B6" s="39">
        <v>250</v>
      </c>
      <c r="C6" s="61">
        <f>C5</f>
        <v>5000</v>
      </c>
      <c r="I6" s="39">
        <v>1000</v>
      </c>
      <c r="J6" s="39">
        <f>C5</f>
        <v>5000</v>
      </c>
      <c r="K6" s="63">
        <v>10</v>
      </c>
      <c r="L6" s="39">
        <v>0</v>
      </c>
      <c r="M6" s="39">
        <f>(J6/(I6*(1/K6))+L6)*0.96</f>
        <v>48</v>
      </c>
    </row>
    <row r="7" spans="1:13" x14ac:dyDescent="0.35">
      <c r="A7" s="39">
        <v>3</v>
      </c>
      <c r="B7" s="39">
        <v>500</v>
      </c>
      <c r="C7" s="61">
        <f t="shared" ref="C7:C9" si="0">C6</f>
        <v>5000</v>
      </c>
      <c r="I7" s="39">
        <f>I6</f>
        <v>1000</v>
      </c>
      <c r="J7" s="39">
        <f>C6</f>
        <v>5000</v>
      </c>
      <c r="K7" s="39">
        <v>200</v>
      </c>
      <c r="L7" s="39">
        <v>0</v>
      </c>
      <c r="M7" s="39">
        <f>(J7/(I7*(1/K7))+L7)*0.96</f>
        <v>960</v>
      </c>
    </row>
    <row r="8" spans="1:13" x14ac:dyDescent="0.35">
      <c r="A8" s="39">
        <v>4</v>
      </c>
      <c r="B8" s="39">
        <v>1000</v>
      </c>
      <c r="C8" s="61">
        <f t="shared" si="0"/>
        <v>5000</v>
      </c>
      <c r="I8" s="39">
        <f t="shared" ref="I8:I9" si="1">I7</f>
        <v>1000</v>
      </c>
      <c r="J8" s="61">
        <f>C7</f>
        <v>5000</v>
      </c>
      <c r="K8" s="61">
        <v>500</v>
      </c>
      <c r="L8" s="61">
        <v>0</v>
      </c>
      <c r="M8" s="61">
        <f>(J8/(I8*(1/K8))+L8)*0.96</f>
        <v>2400</v>
      </c>
    </row>
    <row r="9" spans="1:13" x14ac:dyDescent="0.35">
      <c r="A9" s="39">
        <v>5</v>
      </c>
      <c r="B9" s="39">
        <v>3000</v>
      </c>
      <c r="C9" s="61">
        <f t="shared" si="0"/>
        <v>5000</v>
      </c>
      <c r="I9" s="39">
        <f t="shared" si="1"/>
        <v>1000</v>
      </c>
      <c r="J9" s="39">
        <f>C8</f>
        <v>5000</v>
      </c>
      <c r="K9" s="39">
        <v>5000</v>
      </c>
      <c r="L9" s="39">
        <v>0</v>
      </c>
      <c r="M9" s="39">
        <f>(J9/(I9*(1/K9))+L9)*0.96</f>
        <v>24000</v>
      </c>
    </row>
  </sheetData>
  <phoneticPr fontId="64" type="noConversion"/>
  <conditionalFormatting sqref="K6">
    <cfRule type="containsText" dxfId="44" priority="1" operator="containsText" text=" ">
      <formula>NOT(ISERROR(SEARCH(" ",K6)))</formula>
    </cfRule>
    <cfRule type="containsText" dxfId="43" priority="2" operator="containsText" text=" ">
      <formula>NOT(ISERROR(SEARCH(" ",K6)))</formula>
    </cfRule>
  </conditionalFormatting>
  <conditionalFormatting sqref="A1:C4">
    <cfRule type="containsText" dxfId="42" priority="4" operator="containsText" text=" ">
      <formula>NOT(ISERROR(SEARCH(" ",A1)))</formula>
    </cfRule>
  </conditionalFormatting>
  <pageMargins left="0.69930555555555596" right="0.69930555555555596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345"/>
  <sheetViews>
    <sheetView topLeftCell="A316" workbookViewId="0">
      <selection activeCell="B344" sqref="B344"/>
    </sheetView>
  </sheetViews>
  <sheetFormatPr defaultColWidth="9" defaultRowHeight="15.6" x14ac:dyDescent="0.25"/>
  <cols>
    <col min="1" max="1" width="32.77734375" style="1" customWidth="1"/>
    <col min="2" max="2" width="36.77734375" style="58" customWidth="1"/>
    <col min="3" max="3" width="26.44140625" style="1" customWidth="1"/>
    <col min="4" max="4" width="51.77734375" style="1" customWidth="1"/>
    <col min="5" max="5" width="9.6640625" style="1" customWidth="1"/>
    <col min="6" max="6" width="9" style="1"/>
    <col min="7" max="7" width="17.21875" style="1" customWidth="1"/>
    <col min="8" max="8" width="11.6640625" style="1" customWidth="1"/>
    <col min="9" max="9" width="10.44140625" style="1" customWidth="1"/>
    <col min="10" max="10" width="8.88671875" style="1" customWidth="1"/>
    <col min="11" max="11" width="8" style="1" customWidth="1"/>
    <col min="12" max="12" width="9.33203125" style="1" customWidth="1"/>
    <col min="13" max="13" width="8.44140625" style="1" customWidth="1"/>
    <col min="14" max="14" width="10.109375" style="1" customWidth="1"/>
    <col min="15" max="15" width="9" style="1"/>
    <col min="16" max="17" width="10.109375" style="1" customWidth="1"/>
    <col min="18" max="18" width="10.44140625" style="1" customWidth="1"/>
    <col min="19" max="19" width="10" style="1" customWidth="1"/>
    <col min="20" max="20" width="11.6640625" style="1" customWidth="1"/>
    <col min="21" max="21" width="8.21875" style="1" customWidth="1"/>
    <col min="22" max="22" width="11.44140625" style="1" customWidth="1"/>
    <col min="23" max="24" width="10.44140625" style="1" customWidth="1"/>
    <col min="25" max="25" width="7.109375" style="1" customWidth="1"/>
    <col min="26" max="26" width="10.44140625" style="1" customWidth="1"/>
    <col min="27" max="27" width="7.77734375" style="1" customWidth="1"/>
    <col min="28" max="28" width="10.44140625" style="1" customWidth="1"/>
    <col min="29" max="29" width="7.109375" style="1" customWidth="1"/>
    <col min="30" max="30" width="9.33203125" style="1" customWidth="1"/>
    <col min="31" max="31" width="8.77734375" style="1" customWidth="1"/>
    <col min="32" max="32" width="9" style="1"/>
    <col min="33" max="33" width="10.109375" style="1" customWidth="1"/>
    <col min="34" max="34" width="9.33203125" style="1" customWidth="1"/>
    <col min="35" max="16384" width="9" style="1"/>
  </cols>
  <sheetData>
    <row r="1" spans="1:16" x14ac:dyDescent="0.35">
      <c r="A1" s="2" t="s">
        <v>140</v>
      </c>
      <c r="B1" s="597" t="s">
        <v>0</v>
      </c>
    </row>
    <row r="2" spans="1:16" x14ac:dyDescent="0.35">
      <c r="A2" s="2" t="s">
        <v>14</v>
      </c>
      <c r="B2" s="597" t="s">
        <v>14</v>
      </c>
    </row>
    <row r="3" spans="1:16" x14ac:dyDescent="0.35">
      <c r="A3" s="2" t="s">
        <v>141</v>
      </c>
      <c r="B3" s="597" t="s">
        <v>142</v>
      </c>
    </row>
    <row r="4" spans="1:16" ht="26.4" x14ac:dyDescent="0.35">
      <c r="A4" s="60" t="s">
        <v>143</v>
      </c>
      <c r="B4" s="598" t="s">
        <v>144</v>
      </c>
      <c r="D4" s="39" t="s">
        <v>145</v>
      </c>
    </row>
    <row r="5" spans="1:16" ht="16.2" x14ac:dyDescent="0.35">
      <c r="A5" s="524" t="s">
        <v>146</v>
      </c>
      <c r="B5" s="109">
        <v>6</v>
      </c>
      <c r="D5" s="39" t="s">
        <v>147</v>
      </c>
      <c r="E5" s="1">
        <v>6</v>
      </c>
    </row>
    <row r="6" spans="1:16" ht="16.2" x14ac:dyDescent="0.35">
      <c r="A6" s="524" t="s">
        <v>148</v>
      </c>
      <c r="B6" s="109">
        <f>1800/1280</f>
        <v>1.40625</v>
      </c>
      <c r="D6" s="39" t="s">
        <v>149</v>
      </c>
    </row>
    <row r="7" spans="1:16" ht="16.2" x14ac:dyDescent="0.35">
      <c r="A7" s="524" t="s">
        <v>150</v>
      </c>
      <c r="B7" s="109">
        <v>0.7</v>
      </c>
      <c r="D7" s="39" t="s">
        <v>151</v>
      </c>
    </row>
    <row r="8" spans="1:16" ht="16.2" x14ac:dyDescent="0.35">
      <c r="A8" s="524" t="s">
        <v>152</v>
      </c>
      <c r="B8" s="599">
        <v>5.0000000000000001E-3</v>
      </c>
      <c r="D8" s="39" t="s">
        <v>153</v>
      </c>
    </row>
    <row r="9" spans="1:16" ht="16.2" x14ac:dyDescent="0.35">
      <c r="A9" s="524" t="s">
        <v>154</v>
      </c>
      <c r="B9" s="600" t="s">
        <v>155</v>
      </c>
      <c r="D9" s="39" t="s">
        <v>156</v>
      </c>
    </row>
    <row r="10" spans="1:16" ht="16.2" x14ac:dyDescent="0.35">
      <c r="A10" s="524" t="s">
        <v>157</v>
      </c>
      <c r="B10" s="600" t="s">
        <v>158</v>
      </c>
      <c r="D10" s="39" t="s">
        <v>159</v>
      </c>
      <c r="E10"/>
    </row>
    <row r="11" spans="1:16" ht="16.2" x14ac:dyDescent="0.35">
      <c r="A11" s="524" t="s">
        <v>160</v>
      </c>
      <c r="B11" s="600" t="s">
        <v>161</v>
      </c>
      <c r="D11" s="39" t="s">
        <v>162</v>
      </c>
    </row>
    <row r="12" spans="1:16" ht="16.2" x14ac:dyDescent="0.4">
      <c r="A12" s="56" t="s">
        <v>163</v>
      </c>
      <c r="B12" s="601" t="s">
        <v>164</v>
      </c>
      <c r="C12" s="1" t="s">
        <v>165</v>
      </c>
      <c r="D12" s="1" t="s">
        <v>166</v>
      </c>
      <c r="I12" s="39" t="s">
        <v>167</v>
      </c>
    </row>
    <row r="13" spans="1:16" ht="16.2" x14ac:dyDescent="0.25">
      <c r="A13" s="56" t="s">
        <v>168</v>
      </c>
      <c r="B13" s="602">
        <f>N15</f>
        <v>4000</v>
      </c>
      <c r="C13" s="1" t="s">
        <v>165</v>
      </c>
      <c r="D13" s="1" t="s">
        <v>169</v>
      </c>
      <c r="I13" s="1" t="s">
        <v>170</v>
      </c>
    </row>
    <row r="14" spans="1:16" x14ac:dyDescent="0.25">
      <c r="A14" s="56" t="s">
        <v>171</v>
      </c>
      <c r="B14" s="603" t="s">
        <v>172</v>
      </c>
      <c r="C14" s="1" t="s">
        <v>165</v>
      </c>
      <c r="D14" s="1" t="s">
        <v>173</v>
      </c>
      <c r="K14" s="47" t="s">
        <v>174</v>
      </c>
      <c r="L14" s="48" t="s">
        <v>175</v>
      </c>
      <c r="M14" s="48" t="s">
        <v>176</v>
      </c>
      <c r="N14" s="50" t="s">
        <v>177</v>
      </c>
    </row>
    <row r="15" spans="1:16" ht="16.2" x14ac:dyDescent="0.25">
      <c r="A15" s="56" t="s">
        <v>178</v>
      </c>
      <c r="B15" s="603" t="s">
        <v>179</v>
      </c>
      <c r="C15" s="1" t="s">
        <v>180</v>
      </c>
      <c r="D15" s="1" t="s">
        <v>181</v>
      </c>
      <c r="K15" s="10">
        <v>0</v>
      </c>
      <c r="L15" s="11">
        <v>0</v>
      </c>
      <c r="M15" s="11">
        <v>1</v>
      </c>
      <c r="N15" s="19">
        <v>4000</v>
      </c>
      <c r="O15" s="1">
        <f>L15+N15</f>
        <v>4000</v>
      </c>
      <c r="P15" s="1">
        <f>O15*66</f>
        <v>264000</v>
      </c>
    </row>
    <row r="16" spans="1:16" ht="16.2" x14ac:dyDescent="0.25">
      <c r="A16" s="56" t="s">
        <v>182</v>
      </c>
      <c r="B16" s="58" t="s">
        <v>183</v>
      </c>
      <c r="D16" s="1" t="s">
        <v>184</v>
      </c>
      <c r="F16"/>
      <c r="K16" s="10">
        <v>1</v>
      </c>
      <c r="L16" s="11">
        <v>0</v>
      </c>
      <c r="M16" s="11">
        <v>30</v>
      </c>
      <c r="N16" s="19">
        <v>4000</v>
      </c>
      <c r="O16" s="1">
        <f t="shared" ref="O16:O19" si="0">L16+N16</f>
        <v>4000</v>
      </c>
      <c r="P16" s="1">
        <f t="shared" ref="P16:P19" si="1">O16*66</f>
        <v>264000</v>
      </c>
    </row>
    <row r="17" spans="1:16" ht="16.2" x14ac:dyDescent="0.25">
      <c r="A17" s="1" t="s">
        <v>185</v>
      </c>
      <c r="B17" s="58" t="s">
        <v>186</v>
      </c>
      <c r="D17" s="1" t="s">
        <v>187</v>
      </c>
      <c r="K17" s="10">
        <v>2</v>
      </c>
      <c r="L17" s="11">
        <v>0</v>
      </c>
      <c r="M17" s="11">
        <v>100</v>
      </c>
      <c r="N17" s="19">
        <v>4000</v>
      </c>
      <c r="O17" s="1">
        <f t="shared" si="0"/>
        <v>4000</v>
      </c>
      <c r="P17" s="1">
        <f t="shared" si="1"/>
        <v>264000</v>
      </c>
    </row>
    <row r="18" spans="1:16" ht="16.2" x14ac:dyDescent="0.25">
      <c r="A18" s="1" t="s">
        <v>188</v>
      </c>
      <c r="B18" s="58" t="s">
        <v>189</v>
      </c>
      <c r="D18" s="1" t="s">
        <v>190</v>
      </c>
      <c r="K18" s="10">
        <v>3</v>
      </c>
      <c r="L18" s="11">
        <v>4000</v>
      </c>
      <c r="M18" s="11">
        <v>150</v>
      </c>
      <c r="N18" s="19">
        <v>4000</v>
      </c>
      <c r="O18" s="1">
        <f t="shared" si="0"/>
        <v>8000</v>
      </c>
      <c r="P18" s="1">
        <f t="shared" si="1"/>
        <v>528000</v>
      </c>
    </row>
    <row r="19" spans="1:16" x14ac:dyDescent="0.25">
      <c r="A19" s="1" t="s">
        <v>191</v>
      </c>
      <c r="B19" s="604">
        <f>'VIP升级|VIPUp'!AQ5*10000</f>
        <v>9600</v>
      </c>
      <c r="D19" s="1" t="s">
        <v>192</v>
      </c>
      <c r="I19" s="58"/>
      <c r="K19" s="10">
        <v>4</v>
      </c>
      <c r="L19" s="11">
        <v>4000</v>
      </c>
      <c r="M19" s="11">
        <v>200</v>
      </c>
      <c r="N19" s="19">
        <v>4000</v>
      </c>
      <c r="O19" s="1">
        <f t="shared" si="0"/>
        <v>8000</v>
      </c>
      <c r="P19" s="1">
        <f t="shared" si="1"/>
        <v>528000</v>
      </c>
    </row>
    <row r="20" spans="1:16" x14ac:dyDescent="0.25">
      <c r="A20" s="1" t="s">
        <v>193</v>
      </c>
      <c r="B20" s="604">
        <v>9500</v>
      </c>
      <c r="D20" s="1" t="s">
        <v>194</v>
      </c>
      <c r="I20" s="58"/>
      <c r="K20" s="10">
        <v>5</v>
      </c>
      <c r="L20" s="11">
        <v>6000</v>
      </c>
      <c r="M20" s="11">
        <v>250</v>
      </c>
      <c r="N20" s="19">
        <v>4000</v>
      </c>
      <c r="O20" s="1">
        <f t="shared" ref="O20:O25" si="2">L20+N20</f>
        <v>10000</v>
      </c>
      <c r="P20" s="1">
        <f t="shared" ref="P20:P25" si="3">O20*66</f>
        <v>660000</v>
      </c>
    </row>
    <row r="21" spans="1:16" x14ac:dyDescent="0.25">
      <c r="A21" s="1" t="s">
        <v>195</v>
      </c>
      <c r="B21" s="604">
        <f>B20</f>
        <v>9500</v>
      </c>
      <c r="D21" s="1" t="s">
        <v>196</v>
      </c>
      <c r="I21" s="58"/>
      <c r="K21" s="10">
        <v>6</v>
      </c>
      <c r="L21" s="11">
        <v>6000</v>
      </c>
      <c r="M21" s="11">
        <v>400</v>
      </c>
      <c r="N21" s="19">
        <v>4000</v>
      </c>
      <c r="O21" s="1">
        <f t="shared" si="2"/>
        <v>10000</v>
      </c>
      <c r="P21" s="1">
        <f t="shared" si="3"/>
        <v>660000</v>
      </c>
    </row>
    <row r="22" spans="1:16" x14ac:dyDescent="0.25">
      <c r="A22" s="1" t="s">
        <v>197</v>
      </c>
      <c r="B22" s="58" t="s">
        <v>198</v>
      </c>
      <c r="D22" s="1" t="s">
        <v>199</v>
      </c>
      <c r="I22" s="58"/>
      <c r="K22" s="10">
        <v>7</v>
      </c>
      <c r="L22" s="11">
        <v>8000</v>
      </c>
      <c r="M22" s="11">
        <v>500</v>
      </c>
      <c r="N22" s="19">
        <v>4000</v>
      </c>
      <c r="O22" s="1">
        <f t="shared" si="2"/>
        <v>12000</v>
      </c>
      <c r="P22" s="1">
        <f t="shared" si="3"/>
        <v>792000</v>
      </c>
    </row>
    <row r="23" spans="1:16" x14ac:dyDescent="0.25">
      <c r="A23" s="12" t="s">
        <v>200</v>
      </c>
      <c r="B23" s="58">
        <v>3</v>
      </c>
      <c r="D23" s="1" t="s">
        <v>201</v>
      </c>
      <c r="K23" s="10">
        <v>8</v>
      </c>
      <c r="L23" s="11">
        <v>8000</v>
      </c>
      <c r="M23" s="11"/>
      <c r="N23" s="19">
        <v>4000</v>
      </c>
      <c r="O23" s="1">
        <f t="shared" si="2"/>
        <v>12000</v>
      </c>
      <c r="P23" s="1">
        <f t="shared" si="3"/>
        <v>792000</v>
      </c>
    </row>
    <row r="24" spans="1:16" ht="16.2" x14ac:dyDescent="0.25">
      <c r="A24" s="1" t="s">
        <v>202</v>
      </c>
      <c r="B24" s="600" t="s">
        <v>203</v>
      </c>
      <c r="D24" s="1" t="s">
        <v>204</v>
      </c>
      <c r="K24" s="10">
        <v>9</v>
      </c>
      <c r="L24" s="11">
        <v>8000</v>
      </c>
      <c r="M24" s="11"/>
      <c r="N24" s="19">
        <v>4000</v>
      </c>
      <c r="O24" s="1">
        <f t="shared" si="2"/>
        <v>12000</v>
      </c>
      <c r="P24" s="1">
        <f t="shared" si="3"/>
        <v>792000</v>
      </c>
    </row>
    <row r="25" spans="1:16" x14ac:dyDescent="0.25">
      <c r="A25" s="1" t="s">
        <v>205</v>
      </c>
      <c r="B25" s="58" t="s">
        <v>206</v>
      </c>
      <c r="D25" s="1" t="s">
        <v>207</v>
      </c>
      <c r="K25" s="13">
        <v>10</v>
      </c>
      <c r="L25" s="14">
        <v>8000</v>
      </c>
      <c r="M25" s="14"/>
      <c r="N25" s="21">
        <v>4000</v>
      </c>
      <c r="O25" s="1">
        <f t="shared" si="2"/>
        <v>12000</v>
      </c>
      <c r="P25" s="1">
        <f t="shared" si="3"/>
        <v>792000</v>
      </c>
    </row>
    <row r="26" spans="1:16" x14ac:dyDescent="0.25">
      <c r="A26" s="1" t="s">
        <v>208</v>
      </c>
      <c r="B26" s="58" t="s">
        <v>209</v>
      </c>
      <c r="D26" s="1" t="s">
        <v>210</v>
      </c>
    </row>
    <row r="27" spans="1:16" x14ac:dyDescent="0.25">
      <c r="A27" s="1" t="s">
        <v>211</v>
      </c>
      <c r="B27" s="58" t="s">
        <v>212</v>
      </c>
      <c r="D27" s="1" t="s">
        <v>213</v>
      </c>
    </row>
    <row r="28" spans="1:16" ht="16.2" x14ac:dyDescent="0.25">
      <c r="A28" s="1" t="s">
        <v>214</v>
      </c>
      <c r="B28" s="58">
        <v>50</v>
      </c>
      <c r="D28" s="1" t="s">
        <v>215</v>
      </c>
    </row>
    <row r="29" spans="1:16" x14ac:dyDescent="0.25">
      <c r="A29" s="12" t="s">
        <v>216</v>
      </c>
      <c r="B29" s="58" t="s">
        <v>217</v>
      </c>
      <c r="C29" s="12" t="s">
        <v>218</v>
      </c>
      <c r="D29" s="12" t="s">
        <v>219</v>
      </c>
    </row>
    <row r="30" spans="1:16" ht="16.2" x14ac:dyDescent="0.25">
      <c r="A30" s="524" t="s">
        <v>220</v>
      </c>
      <c r="B30" s="600" t="s">
        <v>221</v>
      </c>
      <c r="D30" s="1" t="s">
        <v>222</v>
      </c>
    </row>
    <row r="31" spans="1:16" ht="16.2" x14ac:dyDescent="0.25">
      <c r="A31" s="524" t="s">
        <v>223</v>
      </c>
      <c r="B31" s="600" t="s">
        <v>224</v>
      </c>
      <c r="D31" s="1" t="s">
        <v>225</v>
      </c>
    </row>
    <row r="32" spans="1:16" ht="16.2" x14ac:dyDescent="0.25">
      <c r="A32" s="524" t="s">
        <v>226</v>
      </c>
      <c r="B32" s="605">
        <f>'鱼属性|FishAttribute'!E48</f>
        <v>700</v>
      </c>
      <c r="D32" s="1" t="s">
        <v>227</v>
      </c>
    </row>
    <row r="33" spans="1:15" ht="16.2" x14ac:dyDescent="0.25">
      <c r="A33" s="524" t="s">
        <v>228</v>
      </c>
      <c r="B33" s="600" t="s">
        <v>229</v>
      </c>
      <c r="D33" s="1" t="s">
        <v>230</v>
      </c>
    </row>
    <row r="34" spans="1:15" ht="16.2" x14ac:dyDescent="0.25">
      <c r="A34" s="524" t="s">
        <v>231</v>
      </c>
      <c r="B34" s="600" t="s">
        <v>232</v>
      </c>
      <c r="D34" s="1" t="s">
        <v>233</v>
      </c>
    </row>
    <row r="35" spans="1:15" ht="16.2" x14ac:dyDescent="0.25">
      <c r="A35" s="524" t="s">
        <v>234</v>
      </c>
      <c r="B35" s="600" t="s">
        <v>235</v>
      </c>
      <c r="D35" s="1" t="s">
        <v>236</v>
      </c>
    </row>
    <row r="36" spans="1:15" ht="16.2" x14ac:dyDescent="0.25">
      <c r="A36" s="524" t="s">
        <v>237</v>
      </c>
      <c r="B36" s="606">
        <f>'鱼属性|FishAttribute'!E45</f>
        <v>500</v>
      </c>
      <c r="D36" s="1" t="s">
        <v>238</v>
      </c>
    </row>
    <row r="37" spans="1:15" ht="16.2" x14ac:dyDescent="0.25">
      <c r="A37" s="524" t="s">
        <v>239</v>
      </c>
      <c r="B37" s="600" t="s">
        <v>240</v>
      </c>
      <c r="D37" s="1" t="s">
        <v>241</v>
      </c>
    </row>
    <row r="38" spans="1:15" x14ac:dyDescent="0.25">
      <c r="A38" s="607" t="s">
        <v>242</v>
      </c>
      <c r="B38" s="58" t="s">
        <v>243</v>
      </c>
      <c r="C38" s="12"/>
      <c r="D38" s="166" t="s">
        <v>244</v>
      </c>
    </row>
    <row r="39" spans="1:15" x14ac:dyDescent="0.25">
      <c r="A39" s="607" t="s">
        <v>245</v>
      </c>
      <c r="B39" s="58" t="s">
        <v>246</v>
      </c>
      <c r="C39" s="12"/>
      <c r="D39" s="166" t="s">
        <v>247</v>
      </c>
      <c r="L39" s="730" t="s">
        <v>248</v>
      </c>
      <c r="M39" s="66" t="s">
        <v>249</v>
      </c>
      <c r="N39" s="66" t="s">
        <v>250</v>
      </c>
      <c r="O39" s="66" t="s">
        <v>251</v>
      </c>
    </row>
    <row r="40" spans="1:15" ht="16.2" x14ac:dyDescent="0.25">
      <c r="A40" s="524" t="s">
        <v>252</v>
      </c>
      <c r="B40" s="606" t="str">
        <f>'炮解锁|CannonUnlock'!CM1&amp;","&amp;'炮解锁|CannonUnlock'!CM2&amp;","&amp;'炮解锁|CannonUnlock'!CM3</f>
        <v>20,30,50</v>
      </c>
      <c r="C40" s="524"/>
      <c r="D40" s="524" t="s">
        <v>253</v>
      </c>
      <c r="L40" s="730"/>
      <c r="M40" s="1">
        <v>9000</v>
      </c>
      <c r="N40" s="1">
        <v>5400</v>
      </c>
      <c r="O40" s="1">
        <v>3600</v>
      </c>
    </row>
    <row r="41" spans="1:15" ht="16.2" x14ac:dyDescent="0.25">
      <c r="A41" s="524" t="s">
        <v>254</v>
      </c>
      <c r="B41" s="600" t="s">
        <v>255</v>
      </c>
      <c r="C41" s="524"/>
      <c r="D41" s="608" t="s">
        <v>256</v>
      </c>
      <c r="L41" s="239">
        <v>0.25</v>
      </c>
      <c r="M41" s="1">
        <f t="shared" ref="M41:O42" si="4">ROUNDDOWN(M$40*$L41,-2)</f>
        <v>2200</v>
      </c>
      <c r="N41" s="1">
        <f t="shared" si="4"/>
        <v>1300</v>
      </c>
      <c r="O41" s="1">
        <f t="shared" si="4"/>
        <v>900</v>
      </c>
    </row>
    <row r="42" spans="1:15" ht="16.2" x14ac:dyDescent="0.25">
      <c r="A42" s="524" t="s">
        <v>257</v>
      </c>
      <c r="B42" s="606">
        <v>280</v>
      </c>
      <c r="C42" s="524"/>
      <c r="D42" s="608" t="s">
        <v>258</v>
      </c>
      <c r="L42" s="239">
        <v>0.33</v>
      </c>
      <c r="M42" s="1">
        <f t="shared" si="4"/>
        <v>2900</v>
      </c>
      <c r="N42" s="1">
        <f t="shared" si="4"/>
        <v>1700</v>
      </c>
      <c r="O42" s="1">
        <f t="shared" si="4"/>
        <v>1100</v>
      </c>
    </row>
    <row r="43" spans="1:15" ht="16.2" x14ac:dyDescent="0.25">
      <c r="A43" s="524" t="s">
        <v>259</v>
      </c>
      <c r="B43" s="606">
        <f>'炮解锁|CannonUnlock'!CM5*10000</f>
        <v>100</v>
      </c>
      <c r="C43" s="524"/>
      <c r="D43" s="608" t="s">
        <v>260</v>
      </c>
      <c r="L43" s="239">
        <f>1-L41-L42</f>
        <v>0.42</v>
      </c>
      <c r="M43" s="1">
        <f>M40-M41-M42</f>
        <v>3900</v>
      </c>
      <c r="N43" s="1">
        <f t="shared" ref="N43:O43" si="5">N40-N41-N42</f>
        <v>2400</v>
      </c>
      <c r="O43" s="1">
        <f t="shared" si="5"/>
        <v>1600</v>
      </c>
    </row>
    <row r="44" spans="1:15" ht="16.2" x14ac:dyDescent="0.25">
      <c r="A44" s="524" t="s">
        <v>261</v>
      </c>
      <c r="B44" s="606">
        <f>'炮解锁|CannonUnlock'!CM7*10000</f>
        <v>0</v>
      </c>
      <c r="C44" s="524"/>
      <c r="D44" s="608" t="s">
        <v>262</v>
      </c>
    </row>
    <row r="45" spans="1:15" ht="16.2" x14ac:dyDescent="0.25">
      <c r="A45" s="524" t="s">
        <v>263</v>
      </c>
      <c r="B45" s="606">
        <v>500</v>
      </c>
      <c r="C45" s="524"/>
      <c r="D45" s="608" t="s">
        <v>264</v>
      </c>
    </row>
    <row r="46" spans="1:15" x14ac:dyDescent="0.25">
      <c r="A46" s="1" t="s">
        <v>265</v>
      </c>
      <c r="B46" s="58" t="s">
        <v>266</v>
      </c>
      <c r="D46" s="1" t="s">
        <v>267</v>
      </c>
    </row>
    <row r="47" spans="1:15" x14ac:dyDescent="0.25">
      <c r="A47" s="1" t="s">
        <v>268</v>
      </c>
      <c r="B47" s="58" t="s">
        <v>269</v>
      </c>
      <c r="D47" s="1" t="s">
        <v>270</v>
      </c>
    </row>
    <row r="48" spans="1:15" x14ac:dyDescent="0.25">
      <c r="A48" s="1" t="s">
        <v>271</v>
      </c>
      <c r="B48" s="609">
        <v>2.5</v>
      </c>
      <c r="D48" s="1" t="s">
        <v>272</v>
      </c>
    </row>
    <row r="49" spans="1:5" x14ac:dyDescent="0.35">
      <c r="A49" s="1" t="s">
        <v>273</v>
      </c>
      <c r="B49" s="98" t="s">
        <v>274</v>
      </c>
      <c r="D49" s="1" t="s">
        <v>275</v>
      </c>
    </row>
    <row r="50" spans="1:5" ht="16.2" x14ac:dyDescent="0.4">
      <c r="A50" s="42" t="s">
        <v>276</v>
      </c>
      <c r="B50" s="610" t="s">
        <v>277</v>
      </c>
      <c r="C50" s="42"/>
      <c r="D50" s="42" t="s">
        <v>278</v>
      </c>
    </row>
    <row r="51" spans="1:5" x14ac:dyDescent="0.35">
      <c r="A51" s="1" t="s">
        <v>279</v>
      </c>
      <c r="B51" s="98" t="s">
        <v>280</v>
      </c>
      <c r="D51" s="1" t="s">
        <v>281</v>
      </c>
    </row>
    <row r="52" spans="1:5" ht="16.2" x14ac:dyDescent="0.4">
      <c r="A52" s="524" t="s">
        <v>282</v>
      </c>
      <c r="B52" s="363">
        <f>12*60</f>
        <v>720</v>
      </c>
      <c r="C52" s="524"/>
      <c r="D52" s="524" t="s">
        <v>283</v>
      </c>
    </row>
    <row r="53" spans="1:5" ht="16.2" x14ac:dyDescent="0.4">
      <c r="A53" s="524" t="s">
        <v>284</v>
      </c>
      <c r="B53" s="363">
        <f>12*60</f>
        <v>720</v>
      </c>
      <c r="C53" s="524"/>
      <c r="D53" s="524" t="s">
        <v>285</v>
      </c>
    </row>
    <row r="54" spans="1:5" x14ac:dyDescent="0.25">
      <c r="A54" s="1" t="s">
        <v>286</v>
      </c>
      <c r="B54" s="58">
        <v>15</v>
      </c>
      <c r="D54" s="1" t="s">
        <v>287</v>
      </c>
    </row>
    <row r="55" spans="1:5" x14ac:dyDescent="0.25">
      <c r="A55" s="1" t="s">
        <v>288</v>
      </c>
      <c r="B55" s="58">
        <v>7</v>
      </c>
      <c r="D55" s="1" t="s">
        <v>289</v>
      </c>
    </row>
    <row r="56" spans="1:5" x14ac:dyDescent="0.25">
      <c r="A56" s="1" t="s">
        <v>290</v>
      </c>
      <c r="B56" s="58">
        <v>30</v>
      </c>
      <c r="D56" s="1" t="s">
        <v>291</v>
      </c>
      <c r="E56"/>
    </row>
    <row r="57" spans="1:5" x14ac:dyDescent="0.25">
      <c r="A57" s="1" t="s">
        <v>292</v>
      </c>
      <c r="B57" s="58">
        <v>15</v>
      </c>
      <c r="D57" s="1" t="s">
        <v>293</v>
      </c>
    </row>
    <row r="58" spans="1:5" x14ac:dyDescent="0.35">
      <c r="A58" s="1" t="s">
        <v>294</v>
      </c>
      <c r="B58" s="98" t="s">
        <v>295</v>
      </c>
      <c r="D58" s="1" t="s">
        <v>296</v>
      </c>
    </row>
    <row r="59" spans="1:5" x14ac:dyDescent="0.35">
      <c r="A59" s="1" t="s">
        <v>297</v>
      </c>
      <c r="B59" s="98" t="s">
        <v>295</v>
      </c>
      <c r="D59" s="1" t="s">
        <v>298</v>
      </c>
    </row>
    <row r="60" spans="1:5" x14ac:dyDescent="0.35">
      <c r="A60" s="1" t="s">
        <v>299</v>
      </c>
      <c r="B60" s="98" t="s">
        <v>295</v>
      </c>
      <c r="D60" s="1" t="s">
        <v>300</v>
      </c>
    </row>
    <row r="61" spans="1:5" x14ac:dyDescent="0.25">
      <c r="A61" s="1" t="s">
        <v>301</v>
      </c>
      <c r="B61" s="58" t="s">
        <v>302</v>
      </c>
      <c r="D61" s="1" t="s">
        <v>303</v>
      </c>
    </row>
    <row r="62" spans="1:5" x14ac:dyDescent="0.25">
      <c r="A62" s="56" t="s">
        <v>304</v>
      </c>
      <c r="B62" s="58" t="s">
        <v>305</v>
      </c>
      <c r="D62" s="1" t="s">
        <v>306</v>
      </c>
    </row>
    <row r="63" spans="1:5" x14ac:dyDescent="0.25">
      <c r="A63" s="1" t="s">
        <v>307</v>
      </c>
      <c r="B63" s="58" t="s">
        <v>308</v>
      </c>
      <c r="D63" s="1" t="s">
        <v>309</v>
      </c>
    </row>
    <row r="64" spans="1:5" x14ac:dyDescent="0.25">
      <c r="A64" s="1" t="s">
        <v>310</v>
      </c>
      <c r="B64" s="58" t="s">
        <v>311</v>
      </c>
      <c r="D64" s="1" t="s">
        <v>312</v>
      </c>
    </row>
    <row r="65" spans="1:21" x14ac:dyDescent="0.25">
      <c r="A65" s="1" t="s">
        <v>313</v>
      </c>
      <c r="B65" s="58" t="s">
        <v>314</v>
      </c>
      <c r="D65" s="1" t="s">
        <v>315</v>
      </c>
    </row>
    <row r="66" spans="1:21" x14ac:dyDescent="0.25">
      <c r="A66" s="1" t="s">
        <v>316</v>
      </c>
      <c r="B66" s="58" t="s">
        <v>317</v>
      </c>
      <c r="D66" s="1" t="s">
        <v>318</v>
      </c>
      <c r="J66" s="58" t="s">
        <v>319</v>
      </c>
    </row>
    <row r="67" spans="1:21" ht="18" x14ac:dyDescent="0.25">
      <c r="A67" s="12" t="s">
        <v>320</v>
      </c>
      <c r="B67" s="58">
        <v>2</v>
      </c>
      <c r="C67" s="12" t="s">
        <v>321</v>
      </c>
      <c r="D67" s="12" t="s">
        <v>322</v>
      </c>
      <c r="E67" s="109" t="s">
        <v>323</v>
      </c>
      <c r="Q67" s="47" t="s">
        <v>324</v>
      </c>
      <c r="R67" s="48"/>
      <c r="S67" s="48"/>
      <c r="T67" s="50"/>
      <c r="U67" s="11"/>
    </row>
    <row r="68" spans="1:21" x14ac:dyDescent="0.25">
      <c r="A68" s="12" t="s">
        <v>325</v>
      </c>
      <c r="B68" s="58">
        <v>-2</v>
      </c>
      <c r="C68" s="12" t="s">
        <v>321</v>
      </c>
      <c r="D68" s="12" t="s">
        <v>326</v>
      </c>
      <c r="I68" s="47"/>
      <c r="J68" s="48">
        <v>1400</v>
      </c>
      <c r="K68" s="50"/>
      <c r="Q68" s="10"/>
      <c r="R68" s="11"/>
      <c r="S68" s="11">
        <v>1900</v>
      </c>
      <c r="T68" s="19"/>
      <c r="U68" s="11"/>
    </row>
    <row r="69" spans="1:21" x14ac:dyDescent="0.25">
      <c r="A69" s="12" t="s">
        <v>327</v>
      </c>
      <c r="B69" s="58">
        <v>1000</v>
      </c>
      <c r="C69" s="12" t="s">
        <v>321</v>
      </c>
      <c r="D69" s="12" t="s">
        <v>328</v>
      </c>
      <c r="I69" s="10">
        <f>95+6.5</f>
        <v>101.5</v>
      </c>
      <c r="J69" s="11">
        <v>700</v>
      </c>
      <c r="K69" s="19">
        <f>J68-J69</f>
        <v>700</v>
      </c>
      <c r="Q69" s="10">
        <f>110/0.2</f>
        <v>550</v>
      </c>
      <c r="R69" s="11">
        <f>Q69+Q70+30</f>
        <v>630</v>
      </c>
      <c r="S69" s="11">
        <f>S68-R69</f>
        <v>1270</v>
      </c>
      <c r="T69" s="19">
        <f>S69-S68</f>
        <v>-630</v>
      </c>
      <c r="U69" s="11"/>
    </row>
    <row r="70" spans="1:21" ht="16.2" x14ac:dyDescent="0.25">
      <c r="A70" s="1" t="s">
        <v>329</v>
      </c>
      <c r="B70" s="600" t="s">
        <v>330</v>
      </c>
      <c r="D70" s="1" t="s">
        <v>331</v>
      </c>
      <c r="I70" s="13">
        <f>I69*6</f>
        <v>609</v>
      </c>
      <c r="J70" s="45">
        <v>0</v>
      </c>
      <c r="K70" s="21">
        <f>J69-J70</f>
        <v>700</v>
      </c>
      <c r="Q70" s="10">
        <f>10/0.2</f>
        <v>50</v>
      </c>
      <c r="R70" s="11"/>
      <c r="S70" s="11">
        <f>S69-R69</f>
        <v>640</v>
      </c>
      <c r="T70" s="19">
        <f>S70-S69</f>
        <v>-630</v>
      </c>
      <c r="U70" s="11"/>
    </row>
    <row r="71" spans="1:21" x14ac:dyDescent="0.25">
      <c r="A71" s="1" t="s">
        <v>332</v>
      </c>
      <c r="B71" s="58">
        <v>5</v>
      </c>
      <c r="D71" s="1" t="s">
        <v>333</v>
      </c>
      <c r="Q71" s="13"/>
      <c r="R71" s="14">
        <f>650*3</f>
        <v>1950</v>
      </c>
      <c r="S71" s="14"/>
      <c r="T71" s="21"/>
      <c r="U71" s="11"/>
    </row>
    <row r="72" spans="1:21" ht="16.2" x14ac:dyDescent="0.25">
      <c r="A72" s="1" t="s">
        <v>334</v>
      </c>
      <c r="B72" s="611" t="s">
        <v>335</v>
      </c>
      <c r="D72" s="1" t="s">
        <v>336</v>
      </c>
    </row>
    <row r="73" spans="1:21" ht="16.2" x14ac:dyDescent="0.25">
      <c r="A73" s="1" t="s">
        <v>337</v>
      </c>
      <c r="B73" s="58" t="s">
        <v>338</v>
      </c>
      <c r="D73" s="1" t="s">
        <v>339</v>
      </c>
    </row>
    <row r="74" spans="1:21" ht="16.2" x14ac:dyDescent="0.25">
      <c r="A74" s="1" t="s">
        <v>340</v>
      </c>
      <c r="B74" s="606">
        <v>1500</v>
      </c>
      <c r="D74" s="1" t="s">
        <v>341</v>
      </c>
    </row>
    <row r="75" spans="1:21" ht="16.2" x14ac:dyDescent="0.25">
      <c r="A75" s="1" t="s">
        <v>342</v>
      </c>
      <c r="B75" s="606" t="s">
        <v>343</v>
      </c>
      <c r="D75" s="1" t="s">
        <v>344</v>
      </c>
    </row>
    <row r="76" spans="1:21" x14ac:dyDescent="0.25">
      <c r="A76" s="1" t="s">
        <v>345</v>
      </c>
      <c r="B76" s="58" t="s">
        <v>346</v>
      </c>
      <c r="D76" s="1" t="s">
        <v>347</v>
      </c>
    </row>
    <row r="77" spans="1:21" ht="16.2" x14ac:dyDescent="0.25">
      <c r="A77" s="1" t="s">
        <v>348</v>
      </c>
      <c r="B77" s="600" t="s">
        <v>349</v>
      </c>
      <c r="D77" s="1" t="s">
        <v>350</v>
      </c>
    </row>
    <row r="78" spans="1:21" x14ac:dyDescent="0.25">
      <c r="A78" s="1" t="s">
        <v>351</v>
      </c>
      <c r="B78" s="58" t="s">
        <v>352</v>
      </c>
      <c r="D78" s="1" t="s">
        <v>353</v>
      </c>
    </row>
    <row r="79" spans="1:21" x14ac:dyDescent="0.25">
      <c r="A79" s="1" t="s">
        <v>354</v>
      </c>
      <c r="B79" s="58" t="s">
        <v>355</v>
      </c>
      <c r="D79" s="1" t="s">
        <v>356</v>
      </c>
    </row>
    <row r="80" spans="1:21" x14ac:dyDescent="0.25">
      <c r="A80" s="1" t="s">
        <v>357</v>
      </c>
      <c r="B80" s="58" t="s">
        <v>355</v>
      </c>
      <c r="D80" s="1" t="s">
        <v>358</v>
      </c>
    </row>
    <row r="81" spans="1:8" x14ac:dyDescent="0.25">
      <c r="A81" s="1" t="s">
        <v>359</v>
      </c>
      <c r="B81" s="58" t="s">
        <v>280</v>
      </c>
      <c r="D81" s="1" t="s">
        <v>360</v>
      </c>
    </row>
    <row r="82" spans="1:8" x14ac:dyDescent="0.25">
      <c r="A82" s="1" t="s">
        <v>361</v>
      </c>
      <c r="B82" s="58" t="s">
        <v>362</v>
      </c>
      <c r="D82" s="1" t="s">
        <v>363</v>
      </c>
    </row>
    <row r="83" spans="1:8" x14ac:dyDescent="0.25">
      <c r="A83" s="1" t="s">
        <v>364</v>
      </c>
      <c r="B83" s="58" t="s">
        <v>365</v>
      </c>
      <c r="D83" s="1" t="s">
        <v>366</v>
      </c>
    </row>
    <row r="84" spans="1:8" x14ac:dyDescent="0.25">
      <c r="A84" s="1" t="s">
        <v>367</v>
      </c>
      <c r="B84" s="58" t="s">
        <v>368</v>
      </c>
      <c r="D84" s="1" t="s">
        <v>369</v>
      </c>
    </row>
    <row r="85" spans="1:8" x14ac:dyDescent="0.25">
      <c r="A85" s="1" t="s">
        <v>370</v>
      </c>
      <c r="B85" s="58" t="s">
        <v>365</v>
      </c>
      <c r="D85" s="1" t="s">
        <v>371</v>
      </c>
    </row>
    <row r="86" spans="1:8" x14ac:dyDescent="0.25">
      <c r="A86" s="1" t="s">
        <v>372</v>
      </c>
      <c r="B86" s="58" t="s">
        <v>280</v>
      </c>
      <c r="D86" s="1" t="s">
        <v>373</v>
      </c>
    </row>
    <row r="87" spans="1:8" ht="16.2" x14ac:dyDescent="0.25">
      <c r="A87" s="1" t="s">
        <v>374</v>
      </c>
      <c r="B87" s="58" t="s">
        <v>375</v>
      </c>
      <c r="D87" s="1" t="s">
        <v>376</v>
      </c>
      <c r="H87" s="612" t="s">
        <v>377</v>
      </c>
    </row>
    <row r="88" spans="1:8" x14ac:dyDescent="0.25">
      <c r="A88" s="1" t="s">
        <v>378</v>
      </c>
      <c r="B88" s="58" t="s">
        <v>379</v>
      </c>
      <c r="H88" s="613" t="s">
        <v>380</v>
      </c>
    </row>
    <row r="89" spans="1:8" x14ac:dyDescent="0.25">
      <c r="A89" s="1" t="s">
        <v>381</v>
      </c>
      <c r="B89" s="614" t="str">
        <f>RIGHT('道具|Item'!W17,LEN('道具|Item'!W17)-4)&amp;","&amp;RIGHT('道具|Item'!W18,LEN('道具|Item'!W18)-4)&amp;","&amp;RIGHT('道具|Item'!W19,LEN('道具|Item'!W19)-4)&amp;","&amp;RIGHT('道具|Item'!W20,LEN('道具|Item'!W20)-4)</f>
        <v>1000000,2000000,5000000,10000000</v>
      </c>
    </row>
    <row r="90" spans="1:8" x14ac:dyDescent="0.25">
      <c r="A90" s="1" t="s">
        <v>382</v>
      </c>
      <c r="B90" s="1" t="s">
        <v>383</v>
      </c>
      <c r="D90" s="1" t="s">
        <v>384</v>
      </c>
    </row>
    <row r="91" spans="1:8" x14ac:dyDescent="0.25">
      <c r="A91" s="1" t="s">
        <v>385</v>
      </c>
      <c r="B91" s="1" t="s">
        <v>386</v>
      </c>
      <c r="D91" s="1" t="s">
        <v>387</v>
      </c>
    </row>
    <row r="92" spans="1:8" x14ac:dyDescent="0.25">
      <c r="A92" s="1" t="s">
        <v>388</v>
      </c>
      <c r="B92" s="1">
        <v>20</v>
      </c>
      <c r="D92" s="1" t="s">
        <v>389</v>
      </c>
    </row>
    <row r="93" spans="1:8" x14ac:dyDescent="0.25">
      <c r="A93" s="1" t="s">
        <v>390</v>
      </c>
      <c r="B93" s="58" t="s">
        <v>391</v>
      </c>
      <c r="D93" s="1" t="s">
        <v>392</v>
      </c>
    </row>
    <row r="94" spans="1:8" x14ac:dyDescent="0.25">
      <c r="A94" s="1" t="s">
        <v>393</v>
      </c>
      <c r="B94" s="58" t="s">
        <v>394</v>
      </c>
      <c r="D94" s="1" t="s">
        <v>395</v>
      </c>
    </row>
    <row r="95" spans="1:8" x14ac:dyDescent="0.25">
      <c r="A95" s="615" t="s">
        <v>396</v>
      </c>
      <c r="B95" s="616">
        <v>0</v>
      </c>
      <c r="C95" s="12" t="s">
        <v>321</v>
      </c>
      <c r="D95" s="1" t="s">
        <v>397</v>
      </c>
      <c r="E95" s="12"/>
    </row>
    <row r="96" spans="1:8" ht="16.2" x14ac:dyDescent="0.25">
      <c r="A96" s="617" t="s">
        <v>398</v>
      </c>
      <c r="B96" s="618" t="s">
        <v>399</v>
      </c>
      <c r="C96" s="12" t="s">
        <v>321</v>
      </c>
      <c r="D96" s="1" t="s">
        <v>400</v>
      </c>
      <c r="E96" s="12"/>
    </row>
    <row r="97" spans="1:5" x14ac:dyDescent="0.25">
      <c r="A97" s="617" t="s">
        <v>401</v>
      </c>
      <c r="B97" s="619">
        <v>20000</v>
      </c>
      <c r="C97" s="12" t="s">
        <v>321</v>
      </c>
      <c r="D97" s="1" t="s">
        <v>402</v>
      </c>
      <c r="E97" s="12"/>
    </row>
    <row r="98" spans="1:5" x14ac:dyDescent="0.25">
      <c r="A98" s="617" t="s">
        <v>403</v>
      </c>
      <c r="B98" s="619">
        <v>12500</v>
      </c>
      <c r="C98" s="12" t="s">
        <v>321</v>
      </c>
      <c r="D98" s="1" t="s">
        <v>402</v>
      </c>
      <c r="E98" s="12"/>
    </row>
    <row r="99" spans="1:5" x14ac:dyDescent="0.25">
      <c r="A99" s="620" t="s">
        <v>404</v>
      </c>
      <c r="B99" s="621">
        <v>2000</v>
      </c>
      <c r="C99" s="12" t="s">
        <v>321</v>
      </c>
      <c r="D99" s="1" t="s">
        <v>402</v>
      </c>
      <c r="E99" s="12"/>
    </row>
    <row r="100" spans="1:5" x14ac:dyDescent="0.25">
      <c r="A100" s="622" t="s">
        <v>405</v>
      </c>
      <c r="B100" s="623">
        <v>2</v>
      </c>
      <c r="C100" s="12" t="s">
        <v>321</v>
      </c>
      <c r="D100" s="1" t="s">
        <v>406</v>
      </c>
      <c r="E100" s="12"/>
    </row>
    <row r="101" spans="1:5" x14ac:dyDescent="0.25">
      <c r="A101" s="622" t="s">
        <v>407</v>
      </c>
      <c r="B101" s="623">
        <v>7500</v>
      </c>
      <c r="C101" s="12" t="s">
        <v>321</v>
      </c>
      <c r="D101" s="1" t="s">
        <v>408</v>
      </c>
      <c r="E101" s="12"/>
    </row>
    <row r="102" spans="1:5" ht="16.2" x14ac:dyDescent="0.25">
      <c r="A102" s="624" t="s">
        <v>409</v>
      </c>
      <c r="B102" s="625">
        <v>1500</v>
      </c>
      <c r="C102" s="12" t="s">
        <v>321</v>
      </c>
      <c r="D102" s="1" t="s">
        <v>410</v>
      </c>
      <c r="E102" s="12"/>
    </row>
    <row r="103" spans="1:5" x14ac:dyDescent="0.25">
      <c r="A103" s="617" t="s">
        <v>411</v>
      </c>
      <c r="B103" s="626" t="s">
        <v>412</v>
      </c>
      <c r="C103" s="12" t="s">
        <v>321</v>
      </c>
      <c r="D103" s="1" t="s">
        <v>413</v>
      </c>
      <c r="E103" s="12"/>
    </row>
    <row r="104" spans="1:5" x14ac:dyDescent="0.25">
      <c r="A104" s="617" t="s">
        <v>414</v>
      </c>
      <c r="B104" s="619">
        <v>8</v>
      </c>
      <c r="C104" s="12" t="s">
        <v>321</v>
      </c>
      <c r="D104" s="1" t="s">
        <v>415</v>
      </c>
      <c r="E104" s="12"/>
    </row>
    <row r="105" spans="1:5" x14ac:dyDescent="0.25">
      <c r="A105" s="617" t="s">
        <v>416</v>
      </c>
      <c r="B105" s="619">
        <v>150</v>
      </c>
      <c r="C105" s="12" t="s">
        <v>321</v>
      </c>
      <c r="D105" s="1" t="s">
        <v>417</v>
      </c>
      <c r="E105" s="12"/>
    </row>
    <row r="106" spans="1:5" ht="16.5" customHeight="1" x14ac:dyDescent="0.25">
      <c r="A106" s="617" t="s">
        <v>418</v>
      </c>
      <c r="B106" s="627" t="s">
        <v>412</v>
      </c>
      <c r="C106" s="12" t="s">
        <v>321</v>
      </c>
      <c r="D106" s="180" t="s">
        <v>419</v>
      </c>
      <c r="E106" s="12"/>
    </row>
    <row r="107" spans="1:5" ht="16.2" x14ac:dyDescent="0.25">
      <c r="A107" s="617" t="s">
        <v>420</v>
      </c>
      <c r="B107" s="627">
        <v>30</v>
      </c>
      <c r="C107" s="12" t="s">
        <v>321</v>
      </c>
      <c r="D107" s="180"/>
      <c r="E107" s="12"/>
    </row>
    <row r="108" spans="1:5" ht="16.2" x14ac:dyDescent="0.25">
      <c r="A108" s="628" t="s">
        <v>421</v>
      </c>
      <c r="B108" s="629" t="s">
        <v>422</v>
      </c>
      <c r="C108" s="12" t="s">
        <v>321</v>
      </c>
      <c r="D108" s="1" t="s">
        <v>423</v>
      </c>
      <c r="E108" s="12"/>
    </row>
    <row r="109" spans="1:5" x14ac:dyDescent="0.25">
      <c r="A109" s="624" t="s">
        <v>424</v>
      </c>
      <c r="B109" s="630" t="s">
        <v>425</v>
      </c>
      <c r="C109" s="12" t="s">
        <v>321</v>
      </c>
      <c r="D109" s="1" t="s">
        <v>218</v>
      </c>
      <c r="E109" s="12"/>
    </row>
    <row r="110" spans="1:5" ht="16.2" x14ac:dyDescent="0.25">
      <c r="A110" s="615" t="s">
        <v>426</v>
      </c>
      <c r="B110" s="631" t="s">
        <v>427</v>
      </c>
      <c r="C110" s="12" t="s">
        <v>321</v>
      </c>
      <c r="D110" s="1" t="s">
        <v>428</v>
      </c>
      <c r="E110" s="12"/>
    </row>
    <row r="111" spans="1:5" x14ac:dyDescent="0.25">
      <c r="A111" s="628" t="s">
        <v>429</v>
      </c>
      <c r="B111" s="632">
        <v>10</v>
      </c>
      <c r="C111" s="12" t="s">
        <v>321</v>
      </c>
      <c r="D111" s="1" t="s">
        <v>430</v>
      </c>
      <c r="E111" s="12"/>
    </row>
    <row r="112" spans="1:5" x14ac:dyDescent="0.25">
      <c r="A112" s="622" t="s">
        <v>431</v>
      </c>
      <c r="B112" s="633">
        <v>500</v>
      </c>
      <c r="C112" s="12" t="s">
        <v>321</v>
      </c>
      <c r="D112" s="1" t="s">
        <v>432</v>
      </c>
      <c r="E112" s="12"/>
    </row>
    <row r="113" spans="1:5" ht="16.2" x14ac:dyDescent="0.25">
      <c r="A113" s="622" t="s">
        <v>433</v>
      </c>
      <c r="B113" s="634">
        <v>5000</v>
      </c>
      <c r="C113" s="12" t="s">
        <v>321</v>
      </c>
      <c r="D113" s="1" t="s">
        <v>434</v>
      </c>
      <c r="E113" s="12"/>
    </row>
    <row r="114" spans="1:5" ht="16.2" x14ac:dyDescent="0.25">
      <c r="A114" s="622" t="s">
        <v>435</v>
      </c>
      <c r="B114" s="634">
        <v>8000</v>
      </c>
      <c r="C114" s="12" t="s">
        <v>321</v>
      </c>
      <c r="D114" s="1" t="s">
        <v>436</v>
      </c>
      <c r="E114" s="12"/>
    </row>
    <row r="115" spans="1:5" ht="16.2" x14ac:dyDescent="0.25">
      <c r="A115" s="622" t="s">
        <v>437</v>
      </c>
      <c r="B115" s="634">
        <v>340</v>
      </c>
      <c r="C115" s="12" t="s">
        <v>321</v>
      </c>
      <c r="D115" s="1" t="s">
        <v>438</v>
      </c>
      <c r="E115" s="12"/>
    </row>
    <row r="116" spans="1:5" ht="16.2" x14ac:dyDescent="0.25">
      <c r="A116" s="624" t="s">
        <v>439</v>
      </c>
      <c r="B116" s="635">
        <v>10000</v>
      </c>
      <c r="C116" s="12" t="s">
        <v>321</v>
      </c>
      <c r="D116" s="1" t="s">
        <v>440</v>
      </c>
      <c r="E116" s="12"/>
    </row>
    <row r="117" spans="1:5" ht="16.2" x14ac:dyDescent="0.25">
      <c r="A117" s="622" t="s">
        <v>441</v>
      </c>
      <c r="B117" s="633">
        <v>12</v>
      </c>
      <c r="C117" s="12" t="s">
        <v>321</v>
      </c>
      <c r="D117" s="1" t="s">
        <v>442</v>
      </c>
      <c r="E117" s="12"/>
    </row>
    <row r="118" spans="1:5" x14ac:dyDescent="0.25">
      <c r="A118" s="622" t="s">
        <v>443</v>
      </c>
      <c r="B118" s="633">
        <v>300</v>
      </c>
      <c r="C118" s="12" t="s">
        <v>321</v>
      </c>
      <c r="D118" s="636"/>
      <c r="E118" s="12"/>
    </row>
    <row r="119" spans="1:5" x14ac:dyDescent="0.25">
      <c r="A119" s="624" t="s">
        <v>444</v>
      </c>
      <c r="B119" s="637">
        <v>5000</v>
      </c>
      <c r="C119" s="12" t="s">
        <v>321</v>
      </c>
      <c r="D119" s="1" t="s">
        <v>402</v>
      </c>
      <c r="E119" s="12"/>
    </row>
    <row r="120" spans="1:5" x14ac:dyDescent="0.25">
      <c r="A120" s="638" t="s">
        <v>445</v>
      </c>
      <c r="B120" s="639">
        <v>5</v>
      </c>
      <c r="C120" s="12" t="s">
        <v>321</v>
      </c>
      <c r="D120" s="1" t="s">
        <v>446</v>
      </c>
      <c r="E120" s="12"/>
    </row>
    <row r="121" spans="1:5" x14ac:dyDescent="0.25">
      <c r="A121" s="640" t="s">
        <v>447</v>
      </c>
      <c r="B121" s="641">
        <v>600</v>
      </c>
      <c r="C121" s="12" t="s">
        <v>321</v>
      </c>
      <c r="D121" s="1" t="s">
        <v>448</v>
      </c>
    </row>
    <row r="122" spans="1:5" x14ac:dyDescent="0.25">
      <c r="A122" s="1" t="s">
        <v>449</v>
      </c>
      <c r="B122" s="58" t="s">
        <v>450</v>
      </c>
      <c r="C122" s="12" t="s">
        <v>321</v>
      </c>
      <c r="D122" s="12" t="s">
        <v>451</v>
      </c>
      <c r="E122" s="12"/>
    </row>
    <row r="123" spans="1:5" x14ac:dyDescent="0.25">
      <c r="A123" s="1" t="s">
        <v>452</v>
      </c>
      <c r="B123" s="58" t="s">
        <v>453</v>
      </c>
      <c r="C123" s="12" t="s">
        <v>321</v>
      </c>
      <c r="D123" s="12" t="s">
        <v>454</v>
      </c>
      <c r="E123" s="12"/>
    </row>
    <row r="124" spans="1:5" x14ac:dyDescent="0.25">
      <c r="A124" s="1" t="s">
        <v>455</v>
      </c>
      <c r="B124" s="58" t="s">
        <v>172</v>
      </c>
      <c r="C124" s="12" t="s">
        <v>321</v>
      </c>
      <c r="D124" s="12" t="s">
        <v>456</v>
      </c>
      <c r="E124" s="12"/>
    </row>
    <row r="125" spans="1:5" x14ac:dyDescent="0.25">
      <c r="A125" s="1" t="s">
        <v>457</v>
      </c>
      <c r="B125" s="58" t="s">
        <v>172</v>
      </c>
      <c r="C125" s="12" t="s">
        <v>321</v>
      </c>
      <c r="D125" s="12" t="s">
        <v>458</v>
      </c>
      <c r="E125" s="12"/>
    </row>
    <row r="126" spans="1:5" x14ac:dyDescent="0.25">
      <c r="A126" s="1" t="s">
        <v>459</v>
      </c>
      <c r="B126" s="58" t="s">
        <v>183</v>
      </c>
      <c r="C126" s="12" t="s">
        <v>321</v>
      </c>
      <c r="D126" s="12" t="s">
        <v>460</v>
      </c>
      <c r="E126" s="12"/>
    </row>
    <row r="127" spans="1:5" x14ac:dyDescent="0.25">
      <c r="A127" s="1" t="s">
        <v>461</v>
      </c>
      <c r="B127" s="58" t="s">
        <v>412</v>
      </c>
      <c r="C127" s="12" t="s">
        <v>321</v>
      </c>
      <c r="D127" s="12" t="s">
        <v>462</v>
      </c>
      <c r="E127" s="12"/>
    </row>
    <row r="128" spans="1:5" ht="16.2" x14ac:dyDescent="0.25">
      <c r="A128" s="524" t="s">
        <v>463</v>
      </c>
      <c r="B128" s="58" t="s">
        <v>464</v>
      </c>
      <c r="D128" s="1" t="s">
        <v>465</v>
      </c>
    </row>
    <row r="129" spans="1:6" ht="16.2" x14ac:dyDescent="0.25">
      <c r="A129" s="524" t="s">
        <v>466</v>
      </c>
      <c r="B129" s="58" t="s">
        <v>467</v>
      </c>
      <c r="D129" s="1" t="s">
        <v>468</v>
      </c>
    </row>
    <row r="130" spans="1:6" ht="16.2" x14ac:dyDescent="0.25">
      <c r="A130" s="524" t="s">
        <v>469</v>
      </c>
      <c r="B130" s="58" t="s">
        <v>352</v>
      </c>
      <c r="C130" s="12" t="s">
        <v>321</v>
      </c>
      <c r="D130" s="12" t="s">
        <v>470</v>
      </c>
      <c r="E130" s="12"/>
    </row>
    <row r="131" spans="1:6" ht="16.2" x14ac:dyDescent="0.35">
      <c r="A131" s="642" t="s">
        <v>471</v>
      </c>
      <c r="B131" s="600" t="s">
        <v>280</v>
      </c>
      <c r="C131" s="12" t="s">
        <v>321</v>
      </c>
      <c r="D131" s="643" t="s">
        <v>472</v>
      </c>
      <c r="E131" s="12"/>
    </row>
    <row r="132" spans="1:6" ht="16.2" x14ac:dyDescent="0.35">
      <c r="A132" s="642" t="s">
        <v>473</v>
      </c>
      <c r="B132" s="600" t="s">
        <v>266</v>
      </c>
      <c r="C132" s="12" t="s">
        <v>321</v>
      </c>
      <c r="D132" s="643" t="s">
        <v>474</v>
      </c>
      <c r="E132" s="12"/>
    </row>
    <row r="133" spans="1:6" ht="16.2" x14ac:dyDescent="0.25">
      <c r="A133" s="642" t="s">
        <v>475</v>
      </c>
      <c r="B133" s="600" t="s">
        <v>172</v>
      </c>
      <c r="C133" s="12" t="s">
        <v>321</v>
      </c>
      <c r="D133" s="1" t="s">
        <v>476</v>
      </c>
      <c r="E133" s="12"/>
    </row>
    <row r="134" spans="1:6" x14ac:dyDescent="0.25">
      <c r="A134" s="642" t="s">
        <v>477</v>
      </c>
      <c r="B134" s="58" t="s">
        <v>478</v>
      </c>
      <c r="C134" s="12" t="s">
        <v>321</v>
      </c>
      <c r="D134" s="1" t="s">
        <v>479</v>
      </c>
      <c r="E134" s="12"/>
    </row>
    <row r="135" spans="1:6" ht="16.2" x14ac:dyDescent="0.25">
      <c r="A135" s="644" t="s">
        <v>480</v>
      </c>
      <c r="B135" s="600" t="s">
        <v>478</v>
      </c>
      <c r="C135" s="12" t="s">
        <v>321</v>
      </c>
      <c r="D135" s="42" t="s">
        <v>481</v>
      </c>
      <c r="E135" s="12"/>
    </row>
    <row r="136" spans="1:6" ht="16.2" x14ac:dyDescent="0.25">
      <c r="A136" s="642" t="s">
        <v>482</v>
      </c>
      <c r="B136" s="600" t="s">
        <v>235</v>
      </c>
      <c r="C136" s="12" t="s">
        <v>321</v>
      </c>
      <c r="D136" s="1" t="s">
        <v>483</v>
      </c>
      <c r="E136" s="12"/>
    </row>
    <row r="137" spans="1:6" ht="16.2" x14ac:dyDescent="0.25">
      <c r="A137" s="642" t="s">
        <v>484</v>
      </c>
      <c r="B137" s="600" t="s">
        <v>412</v>
      </c>
      <c r="C137" s="12" t="s">
        <v>321</v>
      </c>
      <c r="D137" s="1" t="s">
        <v>485</v>
      </c>
      <c r="E137" s="12"/>
    </row>
    <row r="138" spans="1:6" ht="16.2" x14ac:dyDescent="0.25">
      <c r="A138" s="642" t="s">
        <v>486</v>
      </c>
      <c r="B138" s="58" t="s">
        <v>487</v>
      </c>
      <c r="C138" s="12" t="s">
        <v>321</v>
      </c>
      <c r="D138" s="1" t="s">
        <v>488</v>
      </c>
      <c r="E138" s="12"/>
    </row>
    <row r="139" spans="1:6" ht="16.2" x14ac:dyDescent="0.25">
      <c r="A139" s="642" t="s">
        <v>489</v>
      </c>
      <c r="B139" s="600" t="s">
        <v>487</v>
      </c>
      <c r="C139" s="12" t="s">
        <v>321</v>
      </c>
      <c r="D139" s="1" t="s">
        <v>490</v>
      </c>
      <c r="E139" s="12"/>
    </row>
    <row r="140" spans="1:6" ht="16.2" x14ac:dyDescent="0.25">
      <c r="A140" s="642" t="s">
        <v>491</v>
      </c>
      <c r="B140" s="600" t="s">
        <v>235</v>
      </c>
      <c r="C140" s="12" t="s">
        <v>321</v>
      </c>
      <c r="D140" s="1" t="s">
        <v>492</v>
      </c>
      <c r="E140" s="12"/>
    </row>
    <row r="141" spans="1:6" x14ac:dyDescent="0.25">
      <c r="A141" s="642" t="s">
        <v>493</v>
      </c>
      <c r="B141" s="58" t="s">
        <v>494</v>
      </c>
      <c r="C141" s="12" t="s">
        <v>321</v>
      </c>
      <c r="D141" s="1" t="s">
        <v>495</v>
      </c>
      <c r="E141" s="12"/>
    </row>
    <row r="142" spans="1:6" ht="16.2" x14ac:dyDescent="0.25">
      <c r="A142" s="642" t="s">
        <v>496</v>
      </c>
      <c r="B142" s="58" t="s">
        <v>497</v>
      </c>
      <c r="C142" s="12" t="s">
        <v>321</v>
      </c>
      <c r="D142" s="1" t="s">
        <v>498</v>
      </c>
      <c r="E142" s="12"/>
      <c r="F142" s="600"/>
    </row>
    <row r="143" spans="1:6" ht="16.2" x14ac:dyDescent="0.25">
      <c r="A143" s="642" t="s">
        <v>499</v>
      </c>
      <c r="B143" s="58" t="s">
        <v>280</v>
      </c>
      <c r="C143" s="12" t="s">
        <v>321</v>
      </c>
      <c r="D143" s="1" t="s">
        <v>500</v>
      </c>
      <c r="E143" s="12"/>
    </row>
    <row r="144" spans="1:6" ht="16.2" x14ac:dyDescent="0.25">
      <c r="A144" s="642" t="s">
        <v>501</v>
      </c>
      <c r="B144" s="600" t="s">
        <v>487</v>
      </c>
      <c r="C144" s="12" t="s">
        <v>321</v>
      </c>
      <c r="D144" s="1" t="s">
        <v>502</v>
      </c>
      <c r="E144" s="12"/>
    </row>
    <row r="145" spans="1:5" ht="16.2" x14ac:dyDescent="0.25">
      <c r="A145" s="642" t="s">
        <v>503</v>
      </c>
      <c r="B145" s="600" t="s">
        <v>504</v>
      </c>
      <c r="C145" s="12" t="s">
        <v>321</v>
      </c>
      <c r="D145" s="1" t="s">
        <v>505</v>
      </c>
      <c r="E145" s="12"/>
    </row>
    <row r="146" spans="1:5" ht="16.2" x14ac:dyDescent="0.25">
      <c r="A146" s="642" t="s">
        <v>506</v>
      </c>
      <c r="B146" s="58" t="s">
        <v>425</v>
      </c>
      <c r="C146" s="12" t="s">
        <v>321</v>
      </c>
      <c r="D146" s="1" t="s">
        <v>507</v>
      </c>
      <c r="E146" s="12"/>
    </row>
    <row r="147" spans="1:5" ht="16.2" x14ac:dyDescent="0.25">
      <c r="A147" s="642" t="s">
        <v>508</v>
      </c>
      <c r="B147" s="600" t="s">
        <v>487</v>
      </c>
      <c r="C147" s="12" t="s">
        <v>321</v>
      </c>
      <c r="D147" s="1" t="s">
        <v>509</v>
      </c>
      <c r="E147" s="12"/>
    </row>
    <row r="148" spans="1:5" ht="16.2" x14ac:dyDescent="0.25">
      <c r="A148" s="642" t="s">
        <v>510</v>
      </c>
      <c r="B148" s="58" t="s">
        <v>368</v>
      </c>
      <c r="C148" s="12" t="s">
        <v>321</v>
      </c>
      <c r="D148" s="12" t="s">
        <v>511</v>
      </c>
      <c r="E148" s="12"/>
    </row>
    <row r="149" spans="1:5" x14ac:dyDescent="0.35">
      <c r="A149" s="642" t="s">
        <v>512</v>
      </c>
      <c r="B149" s="98" t="s">
        <v>513</v>
      </c>
      <c r="C149" s="12" t="s">
        <v>321</v>
      </c>
      <c r="D149" s="1" t="s">
        <v>514</v>
      </c>
      <c r="E149" s="12"/>
    </row>
    <row r="150" spans="1:5" ht="16.2" x14ac:dyDescent="0.25">
      <c r="A150" s="642" t="s">
        <v>515</v>
      </c>
      <c r="B150" s="600" t="s">
        <v>450</v>
      </c>
      <c r="C150" s="12" t="s">
        <v>321</v>
      </c>
      <c r="D150" s="1" t="s">
        <v>516</v>
      </c>
      <c r="E150" s="12"/>
    </row>
    <row r="151" spans="1:5" ht="16.2" x14ac:dyDescent="0.25">
      <c r="A151" s="1" t="s">
        <v>517</v>
      </c>
      <c r="B151" s="58" t="s">
        <v>518</v>
      </c>
      <c r="C151" s="12" t="s">
        <v>321</v>
      </c>
      <c r="D151" s="1" t="s">
        <v>519</v>
      </c>
      <c r="E151" s="12"/>
    </row>
    <row r="152" spans="1:5" ht="16.2" x14ac:dyDescent="0.25">
      <c r="A152" s="56" t="s">
        <v>520</v>
      </c>
      <c r="B152" s="600" t="s">
        <v>521</v>
      </c>
      <c r="C152" s="12" t="s">
        <v>321</v>
      </c>
      <c r="D152" s="1" t="s">
        <v>522</v>
      </c>
      <c r="E152" s="12"/>
    </row>
    <row r="153" spans="1:5" x14ac:dyDescent="0.25">
      <c r="A153" s="1" t="s">
        <v>523</v>
      </c>
      <c r="B153" s="58" t="s">
        <v>368</v>
      </c>
      <c r="D153" s="1" t="s">
        <v>524</v>
      </c>
    </row>
    <row r="154" spans="1:5" ht="16.2" x14ac:dyDescent="0.25">
      <c r="A154" s="1" t="s">
        <v>525</v>
      </c>
      <c r="B154" s="600" t="s">
        <v>266</v>
      </c>
      <c r="D154" s="1" t="s">
        <v>526</v>
      </c>
    </row>
    <row r="155" spans="1:5" x14ac:dyDescent="0.25">
      <c r="A155" s="1" t="s">
        <v>527</v>
      </c>
      <c r="B155" s="58" t="s">
        <v>266</v>
      </c>
      <c r="D155" s="1" t="s">
        <v>528</v>
      </c>
    </row>
    <row r="156" spans="1:5" x14ac:dyDescent="0.25">
      <c r="A156" s="1" t="s">
        <v>529</v>
      </c>
      <c r="B156" s="58" t="s">
        <v>158</v>
      </c>
      <c r="D156" s="1" t="s">
        <v>530</v>
      </c>
    </row>
    <row r="157" spans="1:5" x14ac:dyDescent="0.25">
      <c r="A157" s="1" t="s">
        <v>531</v>
      </c>
      <c r="B157" s="58" t="s">
        <v>368</v>
      </c>
      <c r="D157" s="1" t="s">
        <v>532</v>
      </c>
    </row>
    <row r="158" spans="1:5" x14ac:dyDescent="0.25">
      <c r="A158" s="1" t="s">
        <v>533</v>
      </c>
      <c r="B158" s="58" t="s">
        <v>534</v>
      </c>
      <c r="D158" s="1" t="s">
        <v>535</v>
      </c>
    </row>
    <row r="159" spans="1:5" s="42" customFormat="1" ht="16.2" x14ac:dyDescent="0.25">
      <c r="A159" s="42" t="s">
        <v>536</v>
      </c>
      <c r="B159" s="600" t="s">
        <v>368</v>
      </c>
      <c r="D159" s="42" t="s">
        <v>537</v>
      </c>
    </row>
    <row r="160" spans="1:5" ht="16.2" x14ac:dyDescent="0.25">
      <c r="A160" s="1" t="s">
        <v>538</v>
      </c>
      <c r="B160" s="600" t="s">
        <v>412</v>
      </c>
      <c r="C160" s="12" t="s">
        <v>321</v>
      </c>
      <c r="D160" s="1" t="s">
        <v>539</v>
      </c>
    </row>
    <row r="161" spans="1:5" ht="16.2" x14ac:dyDescent="0.25">
      <c r="A161" s="1" t="s">
        <v>540</v>
      </c>
      <c r="B161" s="600" t="s">
        <v>541</v>
      </c>
      <c r="D161" s="1" t="s">
        <v>542</v>
      </c>
    </row>
    <row r="162" spans="1:5" ht="16.2" x14ac:dyDescent="0.25">
      <c r="A162" s="1" t="s">
        <v>543</v>
      </c>
      <c r="B162" s="600" t="s">
        <v>266</v>
      </c>
      <c r="D162" s="1" t="s">
        <v>544</v>
      </c>
    </row>
    <row r="163" spans="1:5" ht="16.2" x14ac:dyDescent="0.25">
      <c r="A163" s="1" t="s">
        <v>545</v>
      </c>
      <c r="B163" s="600" t="s">
        <v>158</v>
      </c>
      <c r="D163" s="1" t="s">
        <v>546</v>
      </c>
    </row>
    <row r="164" spans="1:5" ht="16.2" x14ac:dyDescent="0.25">
      <c r="A164" s="1" t="s">
        <v>547</v>
      </c>
      <c r="B164" s="645" t="s">
        <v>548</v>
      </c>
      <c r="D164" s="1" t="s">
        <v>549</v>
      </c>
    </row>
    <row r="165" spans="1:5" ht="16.2" x14ac:dyDescent="0.25">
      <c r="A165" s="1" t="s">
        <v>550</v>
      </c>
      <c r="B165" s="58" t="s">
        <v>172</v>
      </c>
      <c r="C165" s="12" t="s">
        <v>321</v>
      </c>
      <c r="D165" s="1" t="s">
        <v>551</v>
      </c>
      <c r="E165" s="12" t="s">
        <v>218</v>
      </c>
    </row>
    <row r="166" spans="1:5" ht="16.2" x14ac:dyDescent="0.25">
      <c r="A166" s="1" t="s">
        <v>552</v>
      </c>
      <c r="B166" s="58" t="s">
        <v>172</v>
      </c>
      <c r="C166" s="12" t="s">
        <v>321</v>
      </c>
      <c r="D166" s="1" t="s">
        <v>553</v>
      </c>
      <c r="E166" s="12" t="s">
        <v>218</v>
      </c>
    </row>
    <row r="167" spans="1:5" ht="16.2" x14ac:dyDescent="0.25">
      <c r="A167" s="1" t="s">
        <v>554</v>
      </c>
      <c r="B167" s="58" t="s">
        <v>280</v>
      </c>
      <c r="C167" s="12" t="s">
        <v>321</v>
      </c>
      <c r="D167" s="1" t="s">
        <v>555</v>
      </c>
      <c r="E167" s="12" t="s">
        <v>218</v>
      </c>
    </row>
    <row r="168" spans="1:5" ht="16.2" x14ac:dyDescent="0.25">
      <c r="A168" s="1" t="s">
        <v>556</v>
      </c>
      <c r="B168" s="58" t="s">
        <v>266</v>
      </c>
      <c r="C168" s="12" t="s">
        <v>321</v>
      </c>
      <c r="D168" s="109" t="s">
        <v>557</v>
      </c>
      <c r="E168" s="12" t="s">
        <v>218</v>
      </c>
    </row>
    <row r="169" spans="1:5" ht="16.2" x14ac:dyDescent="0.25">
      <c r="A169" s="524" t="s">
        <v>558</v>
      </c>
      <c r="B169" s="600" t="s">
        <v>425</v>
      </c>
      <c r="C169" s="95"/>
      <c r="D169" s="524" t="s">
        <v>559</v>
      </c>
    </row>
    <row r="170" spans="1:5" ht="16.2" x14ac:dyDescent="0.25">
      <c r="A170" s="524" t="s">
        <v>560</v>
      </c>
      <c r="B170" s="600" t="s">
        <v>266</v>
      </c>
      <c r="D170" s="109" t="s">
        <v>561</v>
      </c>
    </row>
    <row r="171" spans="1:5" ht="16.2" x14ac:dyDescent="0.25">
      <c r="A171" s="1" t="s">
        <v>562</v>
      </c>
      <c r="B171" s="58" t="s">
        <v>246</v>
      </c>
      <c r="D171" s="1" t="s">
        <v>563</v>
      </c>
    </row>
    <row r="172" spans="1:5" x14ac:dyDescent="0.25">
      <c r="A172" s="1" t="s">
        <v>564</v>
      </c>
      <c r="B172" s="58" t="s">
        <v>425</v>
      </c>
      <c r="D172" s="1" t="s">
        <v>565</v>
      </c>
    </row>
    <row r="173" spans="1:5" x14ac:dyDescent="0.25">
      <c r="A173" s="1" t="s">
        <v>566</v>
      </c>
      <c r="B173" s="58" t="s">
        <v>368</v>
      </c>
      <c r="D173" s="1" t="s">
        <v>567</v>
      </c>
    </row>
    <row r="174" spans="1:5" x14ac:dyDescent="0.25">
      <c r="A174" s="1" t="s">
        <v>568</v>
      </c>
      <c r="B174" s="58" t="s">
        <v>569</v>
      </c>
      <c r="D174" s="1" t="s">
        <v>570</v>
      </c>
    </row>
    <row r="175" spans="1:5" x14ac:dyDescent="0.25">
      <c r="A175" s="1" t="s">
        <v>571</v>
      </c>
      <c r="B175" s="58" t="s">
        <v>280</v>
      </c>
      <c r="D175" s="1" t="s">
        <v>572</v>
      </c>
    </row>
    <row r="176" spans="1:5" x14ac:dyDescent="0.25">
      <c r="A176" s="1" t="s">
        <v>573</v>
      </c>
      <c r="B176" s="58" t="s">
        <v>368</v>
      </c>
      <c r="C176" s="12" t="s">
        <v>321</v>
      </c>
      <c r="D176" s="1" t="s">
        <v>574</v>
      </c>
      <c r="E176" s="12" t="s">
        <v>218</v>
      </c>
    </row>
    <row r="177" spans="1:5" x14ac:dyDescent="0.25">
      <c r="A177" s="1" t="s">
        <v>575</v>
      </c>
      <c r="B177" s="58" t="s">
        <v>368</v>
      </c>
      <c r="C177" s="12" t="s">
        <v>321</v>
      </c>
      <c r="D177" s="1" t="s">
        <v>576</v>
      </c>
      <c r="E177" s="12" t="s">
        <v>218</v>
      </c>
    </row>
    <row r="178" spans="1:5" ht="16.2" x14ac:dyDescent="0.25">
      <c r="A178" s="42" t="s">
        <v>577</v>
      </c>
      <c r="B178" s="600" t="s">
        <v>412</v>
      </c>
      <c r="C178" s="12" t="s">
        <v>321</v>
      </c>
      <c r="D178" s="42" t="s">
        <v>578</v>
      </c>
      <c r="E178" s="12" t="s">
        <v>218</v>
      </c>
    </row>
    <row r="179" spans="1:5" x14ac:dyDescent="0.25">
      <c r="A179" s="12" t="s">
        <v>579</v>
      </c>
      <c r="B179" s="58" t="s">
        <v>365</v>
      </c>
      <c r="C179" s="12" t="s">
        <v>321</v>
      </c>
      <c r="D179" s="1" t="s">
        <v>580</v>
      </c>
      <c r="E179" s="12" t="s">
        <v>218</v>
      </c>
    </row>
    <row r="180" spans="1:5" x14ac:dyDescent="0.25">
      <c r="A180" s="12" t="s">
        <v>581</v>
      </c>
      <c r="B180" s="58" t="s">
        <v>582</v>
      </c>
      <c r="C180" s="12" t="s">
        <v>321</v>
      </c>
      <c r="D180" s="1" t="s">
        <v>583</v>
      </c>
      <c r="E180" s="12" t="s">
        <v>218</v>
      </c>
    </row>
    <row r="181" spans="1:5" x14ac:dyDescent="0.25">
      <c r="A181" s="12" t="s">
        <v>584</v>
      </c>
      <c r="B181" s="58" t="s">
        <v>585</v>
      </c>
      <c r="C181" s="12" t="s">
        <v>321</v>
      </c>
      <c r="D181" s="1" t="s">
        <v>586</v>
      </c>
      <c r="E181" s="12" t="s">
        <v>218</v>
      </c>
    </row>
    <row r="182" spans="1:5" x14ac:dyDescent="0.25">
      <c r="A182" s="12" t="s">
        <v>587</v>
      </c>
      <c r="B182" s="58" t="s">
        <v>368</v>
      </c>
      <c r="C182" s="12" t="s">
        <v>321</v>
      </c>
      <c r="D182" s="1" t="s">
        <v>446</v>
      </c>
      <c r="E182" s="12" t="s">
        <v>218</v>
      </c>
    </row>
    <row r="183" spans="1:5" ht="16.2" x14ac:dyDescent="0.25">
      <c r="A183" s="12" t="s">
        <v>588</v>
      </c>
      <c r="B183" s="58" t="s">
        <v>589</v>
      </c>
      <c r="C183" s="12" t="s">
        <v>321</v>
      </c>
      <c r="D183" s="1" t="s">
        <v>590</v>
      </c>
      <c r="E183" s="12" t="s">
        <v>218</v>
      </c>
    </row>
    <row r="184" spans="1:5" x14ac:dyDescent="0.25">
      <c r="A184" s="1" t="s">
        <v>591</v>
      </c>
      <c r="B184" s="58" t="s">
        <v>592</v>
      </c>
      <c r="D184" s="1" t="s">
        <v>593</v>
      </c>
    </row>
    <row r="185" spans="1:5" x14ac:dyDescent="0.25">
      <c r="A185" s="1" t="s">
        <v>594</v>
      </c>
      <c r="B185" s="58" t="s">
        <v>595</v>
      </c>
      <c r="D185" s="1" t="s">
        <v>596</v>
      </c>
    </row>
    <row r="186" spans="1:5" x14ac:dyDescent="0.25">
      <c r="A186" s="1" t="s">
        <v>597</v>
      </c>
      <c r="B186" s="58" t="s">
        <v>425</v>
      </c>
      <c r="C186" s="12" t="s">
        <v>321</v>
      </c>
      <c r="D186" s="1" t="s">
        <v>598</v>
      </c>
      <c r="E186" s="12" t="s">
        <v>218</v>
      </c>
    </row>
    <row r="187" spans="1:5" x14ac:dyDescent="0.25">
      <c r="A187" s="1" t="s">
        <v>599</v>
      </c>
      <c r="B187" s="58" t="s">
        <v>600</v>
      </c>
      <c r="C187" s="12" t="s">
        <v>321</v>
      </c>
      <c r="D187" s="1" t="s">
        <v>601</v>
      </c>
      <c r="E187" s="12" t="s">
        <v>218</v>
      </c>
    </row>
    <row r="188" spans="1:5" x14ac:dyDescent="0.25">
      <c r="A188" s="1" t="s">
        <v>602</v>
      </c>
      <c r="B188" s="58" t="s">
        <v>497</v>
      </c>
      <c r="D188" s="1" t="s">
        <v>603</v>
      </c>
    </row>
    <row r="189" spans="1:5" x14ac:dyDescent="0.25">
      <c r="A189" s="1" t="s">
        <v>604</v>
      </c>
      <c r="B189" s="58" t="s">
        <v>605</v>
      </c>
      <c r="D189" s="1" t="s">
        <v>606</v>
      </c>
    </row>
    <row r="190" spans="1:5" x14ac:dyDescent="0.25">
      <c r="A190" s="1" t="s">
        <v>607</v>
      </c>
      <c r="B190" s="58" t="s">
        <v>608</v>
      </c>
      <c r="D190" s="1" t="s">
        <v>609</v>
      </c>
    </row>
    <row r="191" spans="1:5" x14ac:dyDescent="0.25">
      <c r="A191" s="1" t="s">
        <v>610</v>
      </c>
      <c r="B191" s="58" t="s">
        <v>611</v>
      </c>
      <c r="D191" s="1" t="s">
        <v>612</v>
      </c>
    </row>
    <row r="192" spans="1:5" x14ac:dyDescent="0.25">
      <c r="A192" s="1" t="s">
        <v>613</v>
      </c>
      <c r="B192" s="58" t="s">
        <v>246</v>
      </c>
      <c r="D192" s="1" t="s">
        <v>614</v>
      </c>
    </row>
    <row r="193" spans="1:14" x14ac:dyDescent="0.25">
      <c r="A193" s="1" t="s">
        <v>615</v>
      </c>
      <c r="B193" s="58" t="s">
        <v>487</v>
      </c>
      <c r="D193" s="1" t="s">
        <v>616</v>
      </c>
    </row>
    <row r="194" spans="1:14" x14ac:dyDescent="0.25">
      <c r="A194" s="1" t="s">
        <v>617</v>
      </c>
      <c r="B194" s="58" t="s">
        <v>487</v>
      </c>
      <c r="D194" s="1" t="s">
        <v>618</v>
      </c>
    </row>
    <row r="195" spans="1:14" x14ac:dyDescent="0.25">
      <c r="A195" s="1" t="s">
        <v>619</v>
      </c>
      <c r="B195" s="58" t="s">
        <v>266</v>
      </c>
      <c r="D195" s="1" t="s">
        <v>620</v>
      </c>
    </row>
    <row r="196" spans="1:14" x14ac:dyDescent="0.25">
      <c r="A196" s="1" t="s">
        <v>621</v>
      </c>
      <c r="B196" s="58" t="s">
        <v>518</v>
      </c>
      <c r="D196" s="1" t="s">
        <v>622</v>
      </c>
    </row>
    <row r="197" spans="1:14" x14ac:dyDescent="0.25">
      <c r="A197" s="1" t="s">
        <v>623</v>
      </c>
      <c r="B197" s="58" t="s">
        <v>280</v>
      </c>
      <c r="D197" s="1" t="s">
        <v>624</v>
      </c>
    </row>
    <row r="198" spans="1:14" x14ac:dyDescent="0.25">
      <c r="A198" s="1" t="s">
        <v>625</v>
      </c>
      <c r="B198" s="58" t="s">
        <v>352</v>
      </c>
      <c r="D198" s="1" t="s">
        <v>626</v>
      </c>
    </row>
    <row r="199" spans="1:14" x14ac:dyDescent="0.25">
      <c r="A199" s="1" t="s">
        <v>627</v>
      </c>
      <c r="B199" s="1">
        <f>INDEX('炮解锁|CannonUnlock'!A:A,MATCH(MAX('炮解锁|CannonUnlock'!A:A),'炮解锁|CannonUnlock'!A:A,),1)</f>
        <v>100000</v>
      </c>
      <c r="D199" s="1" t="s">
        <v>628</v>
      </c>
    </row>
    <row r="200" spans="1:14" x14ac:dyDescent="0.25">
      <c r="A200" s="1" t="s">
        <v>629</v>
      </c>
      <c r="B200" s="58" t="s">
        <v>630</v>
      </c>
      <c r="C200" s="12" t="s">
        <v>321</v>
      </c>
      <c r="D200" s="1" t="s">
        <v>631</v>
      </c>
      <c r="E200" s="12" t="s">
        <v>218</v>
      </c>
      <c r="K200" s="1" t="s">
        <v>632</v>
      </c>
      <c r="L200" s="1" t="s">
        <v>633</v>
      </c>
      <c r="M200" s="1" t="s">
        <v>634</v>
      </c>
      <c r="N200" s="1" t="s">
        <v>635</v>
      </c>
    </row>
    <row r="201" spans="1:14" x14ac:dyDescent="0.25">
      <c r="A201" s="1" t="s">
        <v>636</v>
      </c>
      <c r="B201" s="58" t="s">
        <v>637</v>
      </c>
      <c r="C201" s="12" t="s">
        <v>321</v>
      </c>
      <c r="D201" s="1" t="s">
        <v>638</v>
      </c>
      <c r="E201" s="12" t="s">
        <v>218</v>
      </c>
      <c r="K201" s="239">
        <v>0.1</v>
      </c>
      <c r="L201" s="239">
        <v>1</v>
      </c>
      <c r="M201" s="650">
        <f>K201*L201*2+K201*(1-L201)</f>
        <v>0.2</v>
      </c>
      <c r="N201" s="650">
        <f>K201*L201*3+K201*(1-L201)</f>
        <v>0.30000000000000004</v>
      </c>
    </row>
    <row r="202" spans="1:14" x14ac:dyDescent="0.25">
      <c r="A202" s="1" t="s">
        <v>639</v>
      </c>
      <c r="B202" s="58" t="s">
        <v>640</v>
      </c>
      <c r="D202" s="1" t="s">
        <v>641</v>
      </c>
      <c r="K202" s="239">
        <v>0.2</v>
      </c>
      <c r="L202" s="239">
        <v>0.9</v>
      </c>
      <c r="M202" s="650">
        <f t="shared" ref="M202:M210" si="6">K202*L202*2+K202*(1-L202)</f>
        <v>0.38000000000000006</v>
      </c>
      <c r="N202" s="650">
        <f t="shared" ref="N202:N210" si="7">K202*L202*3+K202*(1-L202)</f>
        <v>0.56000000000000005</v>
      </c>
    </row>
    <row r="203" spans="1:14" x14ac:dyDescent="0.25">
      <c r="A203" s="1" t="s">
        <v>642</v>
      </c>
      <c r="B203" s="58" t="s">
        <v>478</v>
      </c>
      <c r="D203" s="1" t="s">
        <v>643</v>
      </c>
      <c r="K203" s="239">
        <v>0.3</v>
      </c>
      <c r="L203" s="239">
        <v>0.8</v>
      </c>
      <c r="M203" s="650">
        <f t="shared" si="6"/>
        <v>0.53999999999999992</v>
      </c>
      <c r="N203" s="650">
        <f t="shared" si="7"/>
        <v>0.77999999999999992</v>
      </c>
    </row>
    <row r="204" spans="1:14" x14ac:dyDescent="0.25">
      <c r="A204" s="1" t="s">
        <v>644</v>
      </c>
      <c r="B204" s="58" t="s">
        <v>399</v>
      </c>
      <c r="D204" s="1" t="s">
        <v>645</v>
      </c>
      <c r="K204" s="239">
        <v>0.4</v>
      </c>
      <c r="L204" s="239">
        <v>0.7</v>
      </c>
      <c r="M204" s="650">
        <f t="shared" si="6"/>
        <v>0.67999999999999994</v>
      </c>
      <c r="N204" s="650">
        <f t="shared" si="7"/>
        <v>0.95999999999999985</v>
      </c>
    </row>
    <row r="205" spans="1:14" x14ac:dyDescent="0.25">
      <c r="A205" s="1" t="s">
        <v>646</v>
      </c>
      <c r="B205" s="58" t="s">
        <v>368</v>
      </c>
      <c r="D205" s="1" t="s">
        <v>647</v>
      </c>
      <c r="K205" s="239">
        <v>0.5</v>
      </c>
      <c r="L205" s="239">
        <v>0.6</v>
      </c>
      <c r="M205" s="650">
        <f t="shared" si="6"/>
        <v>0.8</v>
      </c>
      <c r="N205" s="650">
        <f t="shared" si="7"/>
        <v>1.0999999999999999</v>
      </c>
    </row>
    <row r="206" spans="1:14" x14ac:dyDescent="0.25">
      <c r="A206" s="1" t="s">
        <v>648</v>
      </c>
      <c r="B206" s="58" t="s">
        <v>235</v>
      </c>
      <c r="D206" s="1" t="s">
        <v>649</v>
      </c>
      <c r="K206" s="239">
        <v>0.6</v>
      </c>
      <c r="L206" s="239">
        <v>0.5</v>
      </c>
      <c r="M206" s="650">
        <f t="shared" si="6"/>
        <v>0.89999999999999991</v>
      </c>
      <c r="N206" s="650">
        <f t="shared" si="7"/>
        <v>1.2</v>
      </c>
    </row>
    <row r="207" spans="1:14" x14ac:dyDescent="0.25">
      <c r="A207" s="1" t="s">
        <v>650</v>
      </c>
      <c r="B207" s="58">
        <v>86400</v>
      </c>
      <c r="D207" s="1" t="s">
        <v>651</v>
      </c>
      <c r="E207" s="1">
        <f>60*60*24</f>
        <v>86400</v>
      </c>
      <c r="K207" s="239">
        <v>0.7</v>
      </c>
      <c r="L207" s="239">
        <v>0.4</v>
      </c>
      <c r="M207" s="650">
        <f t="shared" si="6"/>
        <v>0.98</v>
      </c>
      <c r="N207" s="650">
        <f t="shared" si="7"/>
        <v>1.2599999999999998</v>
      </c>
    </row>
    <row r="208" spans="1:14" x14ac:dyDescent="0.25">
      <c r="A208" s="1" t="s">
        <v>652</v>
      </c>
      <c r="B208" s="58" t="s">
        <v>266</v>
      </c>
      <c r="D208" s="1" t="s">
        <v>653</v>
      </c>
      <c r="K208" s="239">
        <v>0.8</v>
      </c>
      <c r="L208" s="239">
        <v>0.3</v>
      </c>
      <c r="M208" s="650">
        <f t="shared" si="6"/>
        <v>1.04</v>
      </c>
      <c r="N208" s="650">
        <f t="shared" si="7"/>
        <v>1.2799999999999998</v>
      </c>
    </row>
    <row r="209" spans="1:14" x14ac:dyDescent="0.25">
      <c r="A209" s="1" t="s">
        <v>654</v>
      </c>
      <c r="B209" s="58" t="s">
        <v>365</v>
      </c>
      <c r="D209" s="1" t="s">
        <v>655</v>
      </c>
      <c r="K209" s="239">
        <v>0.9</v>
      </c>
      <c r="L209" s="239">
        <v>0.2</v>
      </c>
      <c r="M209" s="650">
        <f t="shared" si="6"/>
        <v>1.08</v>
      </c>
      <c r="N209" s="650">
        <f t="shared" si="7"/>
        <v>1.2600000000000002</v>
      </c>
    </row>
    <row r="210" spans="1:14" x14ac:dyDescent="0.25">
      <c r="A210" s="1" t="s">
        <v>656</v>
      </c>
      <c r="B210" s="58" t="s">
        <v>266</v>
      </c>
      <c r="D210" s="1" t="s">
        <v>657</v>
      </c>
      <c r="K210" s="239">
        <v>1</v>
      </c>
      <c r="L210" s="239">
        <v>0.1</v>
      </c>
      <c r="M210" s="650">
        <f t="shared" si="6"/>
        <v>1.1000000000000001</v>
      </c>
      <c r="N210" s="650">
        <f t="shared" si="7"/>
        <v>1.2000000000000002</v>
      </c>
    </row>
    <row r="211" spans="1:14" x14ac:dyDescent="0.35">
      <c r="A211" s="1" t="s">
        <v>658</v>
      </c>
      <c r="B211" s="39">
        <f>MAX('潜艇等级|AirBallLv'!A6:A100)</f>
        <v>10</v>
      </c>
      <c r="D211" s="1" t="s">
        <v>659</v>
      </c>
      <c r="K211" s="239">
        <v>1.1000000000000001</v>
      </c>
      <c r="L211" s="239">
        <v>0</v>
      </c>
      <c r="M211" s="650">
        <f t="shared" ref="M211:M213" si="8">K211*L211*2+K211*(1-L211)</f>
        <v>1.1000000000000001</v>
      </c>
      <c r="N211" s="650">
        <f t="shared" ref="N211:N213" si="9">K211*L211*3+K211*(1-L211)</f>
        <v>1.1000000000000001</v>
      </c>
    </row>
    <row r="212" spans="1:14" x14ac:dyDescent="0.25">
      <c r="A212" s="1" t="s">
        <v>660</v>
      </c>
      <c r="B212" s="58" t="s">
        <v>450</v>
      </c>
      <c r="D212" s="1" t="s">
        <v>661</v>
      </c>
      <c r="K212" s="239">
        <v>1.2</v>
      </c>
      <c r="L212" s="239">
        <v>0</v>
      </c>
      <c r="M212" s="650">
        <f t="shared" si="8"/>
        <v>1.2</v>
      </c>
      <c r="N212" s="650">
        <f t="shared" si="9"/>
        <v>1.2</v>
      </c>
    </row>
    <row r="213" spans="1:14" x14ac:dyDescent="0.25">
      <c r="A213" s="1" t="s">
        <v>662</v>
      </c>
      <c r="B213" s="58" t="s">
        <v>412</v>
      </c>
      <c r="D213" s="1" t="s">
        <v>663</v>
      </c>
      <c r="K213" s="239">
        <v>1.3</v>
      </c>
      <c r="L213" s="239">
        <v>0</v>
      </c>
      <c r="M213" s="650">
        <f t="shared" si="8"/>
        <v>1.3</v>
      </c>
      <c r="N213" s="650">
        <f t="shared" si="9"/>
        <v>1.3</v>
      </c>
    </row>
    <row r="214" spans="1:14" x14ac:dyDescent="0.25">
      <c r="A214" s="1" t="s">
        <v>664</v>
      </c>
      <c r="B214" s="75">
        <f>10*60</f>
        <v>600</v>
      </c>
      <c r="D214" s="1" t="s">
        <v>665</v>
      </c>
    </row>
    <row r="215" spans="1:14" ht="16.2" x14ac:dyDescent="0.25">
      <c r="A215" s="1" t="s">
        <v>666</v>
      </c>
      <c r="B215" s="600" t="s">
        <v>667</v>
      </c>
      <c r="D215" s="1" t="s">
        <v>668</v>
      </c>
    </row>
    <row r="216" spans="1:14" x14ac:dyDescent="0.25">
      <c r="A216" s="1" t="s">
        <v>669</v>
      </c>
      <c r="B216" s="58" t="s">
        <v>548</v>
      </c>
      <c r="D216" s="1" t="s">
        <v>670</v>
      </c>
    </row>
    <row r="217" spans="1:14" x14ac:dyDescent="0.25">
      <c r="A217" s="1" t="s">
        <v>671</v>
      </c>
      <c r="B217" s="58" t="s">
        <v>425</v>
      </c>
      <c r="D217" s="1" t="s">
        <v>672</v>
      </c>
    </row>
    <row r="218" spans="1:14" ht="16.2" x14ac:dyDescent="0.25">
      <c r="A218" s="1" t="s">
        <v>673</v>
      </c>
      <c r="B218" s="42">
        <v>15</v>
      </c>
      <c r="D218" s="1" t="s">
        <v>674</v>
      </c>
      <c r="E218" s="42">
        <v>15</v>
      </c>
    </row>
    <row r="219" spans="1:14" x14ac:dyDescent="0.25">
      <c r="A219" s="1" t="s">
        <v>675</v>
      </c>
      <c r="B219" s="58" t="s">
        <v>425</v>
      </c>
      <c r="D219" s="1" t="s">
        <v>676</v>
      </c>
    </row>
    <row r="220" spans="1:14" x14ac:dyDescent="0.25">
      <c r="A220" s="1" t="s">
        <v>677</v>
      </c>
      <c r="B220" s="58" t="s">
        <v>399</v>
      </c>
      <c r="D220" s="1" t="s">
        <v>678</v>
      </c>
    </row>
    <row r="221" spans="1:14" x14ac:dyDescent="0.25">
      <c r="A221" s="1" t="s">
        <v>679</v>
      </c>
      <c r="B221" s="646" t="s">
        <v>235</v>
      </c>
      <c r="C221" s="12" t="s">
        <v>321</v>
      </c>
      <c r="D221" s="1" t="s">
        <v>680</v>
      </c>
      <c r="E221" s="12"/>
    </row>
    <row r="222" spans="1:14" ht="16.2" x14ac:dyDescent="0.25">
      <c r="A222" s="1" t="s">
        <v>681</v>
      </c>
      <c r="B222" s="646" t="s">
        <v>682</v>
      </c>
      <c r="C222" s="12" t="s">
        <v>321</v>
      </c>
      <c r="D222" s="109" t="s">
        <v>683</v>
      </c>
      <c r="E222" s="12"/>
    </row>
    <row r="223" spans="1:14" x14ac:dyDescent="0.25">
      <c r="A223" s="1" t="s">
        <v>684</v>
      </c>
      <c r="B223" s="646" t="s">
        <v>685</v>
      </c>
      <c r="C223" s="12" t="s">
        <v>321</v>
      </c>
      <c r="D223" s="1" t="s">
        <v>686</v>
      </c>
      <c r="E223" s="12"/>
    </row>
    <row r="224" spans="1:14" ht="16.2" x14ac:dyDescent="0.25">
      <c r="A224" s="1" t="s">
        <v>687</v>
      </c>
      <c r="B224" s="647" t="s">
        <v>688</v>
      </c>
      <c r="C224" s="12" t="s">
        <v>321</v>
      </c>
      <c r="D224" s="1" t="s">
        <v>689</v>
      </c>
      <c r="E224" s="12"/>
    </row>
    <row r="225" spans="1:5" x14ac:dyDescent="0.25">
      <c r="A225" s="1" t="s">
        <v>690</v>
      </c>
      <c r="B225" s="646" t="s">
        <v>246</v>
      </c>
      <c r="C225" s="12" t="s">
        <v>321</v>
      </c>
      <c r="D225" s="1" t="s">
        <v>691</v>
      </c>
      <c r="E225" s="12"/>
    </row>
    <row r="226" spans="1:5" ht="16.2" x14ac:dyDescent="0.25">
      <c r="A226" s="1" t="s">
        <v>692</v>
      </c>
      <c r="B226" s="646" t="s">
        <v>693</v>
      </c>
      <c r="C226" s="12" t="s">
        <v>321</v>
      </c>
      <c r="D226" s="1" t="s">
        <v>694</v>
      </c>
      <c r="E226" s="12"/>
    </row>
    <row r="227" spans="1:5" x14ac:dyDescent="0.25">
      <c r="A227" s="1" t="s">
        <v>695</v>
      </c>
      <c r="B227" s="646" t="s">
        <v>412</v>
      </c>
      <c r="C227" s="12" t="s">
        <v>321</v>
      </c>
      <c r="D227" s="1" t="s">
        <v>696</v>
      </c>
      <c r="E227" s="12"/>
    </row>
    <row r="228" spans="1:5" ht="16.2" x14ac:dyDescent="0.25">
      <c r="A228" s="1" t="s">
        <v>697</v>
      </c>
      <c r="B228" s="646" t="s">
        <v>698</v>
      </c>
      <c r="C228" s="12" t="s">
        <v>321</v>
      </c>
      <c r="D228" s="1" t="s">
        <v>699</v>
      </c>
      <c r="E228" s="12"/>
    </row>
    <row r="229" spans="1:5" x14ac:dyDescent="0.25">
      <c r="A229" s="1" t="s">
        <v>700</v>
      </c>
      <c r="B229" s="646" t="s">
        <v>412</v>
      </c>
      <c r="C229" s="12" t="s">
        <v>321</v>
      </c>
      <c r="D229" s="1" t="s">
        <v>701</v>
      </c>
      <c r="E229" s="12"/>
    </row>
    <row r="230" spans="1:5" ht="16.2" x14ac:dyDescent="0.25">
      <c r="A230" s="1" t="s">
        <v>702</v>
      </c>
      <c r="B230" s="646" t="s">
        <v>703</v>
      </c>
      <c r="C230" s="12" t="s">
        <v>321</v>
      </c>
      <c r="D230" s="1" t="s">
        <v>704</v>
      </c>
      <c r="E230" s="12"/>
    </row>
    <row r="231" spans="1:5" x14ac:dyDescent="0.25">
      <c r="A231" s="1" t="s">
        <v>705</v>
      </c>
      <c r="B231" s="646" t="s">
        <v>706</v>
      </c>
      <c r="C231" s="12" t="s">
        <v>321</v>
      </c>
      <c r="D231" s="1" t="s">
        <v>707</v>
      </c>
      <c r="E231" s="12"/>
    </row>
    <row r="232" spans="1:5" x14ac:dyDescent="0.25">
      <c r="A232" s="1" t="s">
        <v>708</v>
      </c>
      <c r="B232" s="646" t="s">
        <v>709</v>
      </c>
      <c r="C232" s="12" t="s">
        <v>321</v>
      </c>
      <c r="D232" s="1" t="s">
        <v>710</v>
      </c>
      <c r="E232" s="12"/>
    </row>
    <row r="233" spans="1:5" x14ac:dyDescent="0.25">
      <c r="A233" s="1" t="s">
        <v>711</v>
      </c>
      <c r="B233" s="58" t="s">
        <v>712</v>
      </c>
      <c r="D233" s="1" t="s">
        <v>713</v>
      </c>
    </row>
    <row r="234" spans="1:5" x14ac:dyDescent="0.25">
      <c r="A234" s="1" t="s">
        <v>714</v>
      </c>
      <c r="B234" s="58" t="s">
        <v>589</v>
      </c>
      <c r="C234" s="12" t="s">
        <v>321</v>
      </c>
      <c r="D234" s="1" t="s">
        <v>715</v>
      </c>
    </row>
    <row r="235" spans="1:5" x14ac:dyDescent="0.25">
      <c r="A235" s="1" t="s">
        <v>716</v>
      </c>
      <c r="B235" s="58" t="s">
        <v>717</v>
      </c>
      <c r="D235" s="1" t="s">
        <v>718</v>
      </c>
    </row>
    <row r="236" spans="1:5" x14ac:dyDescent="0.25">
      <c r="A236" s="1" t="s">
        <v>719</v>
      </c>
      <c r="B236" s="58" t="s">
        <v>720</v>
      </c>
      <c r="D236" s="1" t="s">
        <v>721</v>
      </c>
    </row>
    <row r="237" spans="1:5" x14ac:dyDescent="0.25">
      <c r="A237" s="1" t="s">
        <v>722</v>
      </c>
      <c r="B237" s="58" t="s">
        <v>158</v>
      </c>
      <c r="D237" s="1" t="s">
        <v>723</v>
      </c>
    </row>
    <row r="238" spans="1:5" x14ac:dyDescent="0.25">
      <c r="A238" s="1" t="s">
        <v>724</v>
      </c>
      <c r="B238" s="58" t="s">
        <v>412</v>
      </c>
      <c r="D238" s="1" t="s">
        <v>725</v>
      </c>
    </row>
    <row r="239" spans="1:5" x14ac:dyDescent="0.25">
      <c r="A239" s="1" t="s">
        <v>726</v>
      </c>
      <c r="B239" s="58" t="s">
        <v>727</v>
      </c>
      <c r="D239" s="1" t="s">
        <v>728</v>
      </c>
    </row>
    <row r="240" spans="1:5" x14ac:dyDescent="0.25">
      <c r="A240" s="1" t="s">
        <v>729</v>
      </c>
      <c r="B240" s="648" t="s">
        <v>730</v>
      </c>
      <c r="D240" s="1" t="s">
        <v>731</v>
      </c>
    </row>
    <row r="241" spans="1:17" x14ac:dyDescent="0.25">
      <c r="A241" s="1" t="s">
        <v>732</v>
      </c>
      <c r="B241" s="648" t="s">
        <v>733</v>
      </c>
      <c r="C241" s="12" t="s">
        <v>321</v>
      </c>
      <c r="D241" s="1" t="s">
        <v>734</v>
      </c>
    </row>
    <row r="242" spans="1:17" x14ac:dyDescent="0.25">
      <c r="A242" s="1" t="s">
        <v>735</v>
      </c>
      <c r="B242" s="75">
        <f>'鱼属性|FishAttribute'!DM2</f>
        <v>5000</v>
      </c>
      <c r="D242" s="1" t="s">
        <v>736</v>
      </c>
    </row>
    <row r="243" spans="1:17" x14ac:dyDescent="0.25">
      <c r="A243" s="1" t="s">
        <v>737</v>
      </c>
      <c r="B243" s="58" t="s">
        <v>453</v>
      </c>
      <c r="D243" s="1" t="s">
        <v>738</v>
      </c>
    </row>
    <row r="244" spans="1:17" x14ac:dyDescent="0.25">
      <c r="A244" s="1" t="s">
        <v>739</v>
      </c>
      <c r="B244" s="58" t="s">
        <v>399</v>
      </c>
      <c r="D244" s="1" t="s">
        <v>740</v>
      </c>
    </row>
    <row r="245" spans="1:17" x14ac:dyDescent="0.25">
      <c r="A245" s="1" t="s">
        <v>741</v>
      </c>
      <c r="B245" s="58" t="s">
        <v>742</v>
      </c>
      <c r="D245" s="1" t="s">
        <v>743</v>
      </c>
    </row>
    <row r="246" spans="1:17" x14ac:dyDescent="0.25">
      <c r="A246" s="1" t="s">
        <v>744</v>
      </c>
      <c r="B246" s="58" t="s">
        <v>745</v>
      </c>
      <c r="D246" s="1" t="s">
        <v>746</v>
      </c>
    </row>
    <row r="247" spans="1:17" x14ac:dyDescent="0.25">
      <c r="A247" s="1" t="s">
        <v>747</v>
      </c>
      <c r="B247" s="58" t="s">
        <v>349</v>
      </c>
      <c r="D247" s="1" t="s">
        <v>748</v>
      </c>
    </row>
    <row r="248" spans="1:17" x14ac:dyDescent="0.25">
      <c r="A248" s="1" t="s">
        <v>749</v>
      </c>
      <c r="B248" s="58" t="s">
        <v>246</v>
      </c>
      <c r="D248" s="1" t="s">
        <v>750</v>
      </c>
    </row>
    <row r="249" spans="1:17" x14ac:dyDescent="0.25">
      <c r="A249" s="1" t="s">
        <v>751</v>
      </c>
      <c r="B249" s="58" t="s">
        <v>752</v>
      </c>
      <c r="D249" s="1" t="s">
        <v>750</v>
      </c>
    </row>
    <row r="250" spans="1:17" ht="16.2" x14ac:dyDescent="0.25">
      <c r="A250" s="524" t="s">
        <v>753</v>
      </c>
      <c r="B250" s="58" t="s">
        <v>349</v>
      </c>
      <c r="D250" s="1" t="s">
        <v>754</v>
      </c>
      <c r="L250" s="66"/>
      <c r="M250" s="66"/>
      <c r="N250" s="66"/>
      <c r="O250" s="66"/>
      <c r="P250" s="66"/>
      <c r="Q250" s="66"/>
    </row>
    <row r="251" spans="1:17" ht="16.2" x14ac:dyDescent="0.25">
      <c r="A251" s="524" t="s">
        <v>755</v>
      </c>
      <c r="B251" s="649">
        <v>2000</v>
      </c>
      <c r="D251" s="1" t="s">
        <v>756</v>
      </c>
      <c r="L251" s="66"/>
      <c r="M251" s="66"/>
      <c r="N251" s="66"/>
      <c r="O251" s="66"/>
      <c r="P251" s="66"/>
      <c r="Q251" s="66"/>
    </row>
    <row r="252" spans="1:17" ht="16.2" x14ac:dyDescent="0.25">
      <c r="A252" s="524" t="s">
        <v>757</v>
      </c>
      <c r="B252" s="649">
        <f>B251*9</f>
        <v>18000</v>
      </c>
      <c r="D252" s="1" t="s">
        <v>756</v>
      </c>
      <c r="G252" s="1" t="s">
        <v>758</v>
      </c>
      <c r="L252" s="66"/>
      <c r="M252" s="66"/>
      <c r="N252" s="66"/>
      <c r="O252" s="66"/>
      <c r="P252" s="66"/>
      <c r="Q252" s="66"/>
    </row>
    <row r="253" spans="1:17" x14ac:dyDescent="0.25">
      <c r="A253" s="1" t="s">
        <v>759</v>
      </c>
      <c r="B253" s="58" t="s">
        <v>760</v>
      </c>
      <c r="D253" s="1" t="s">
        <v>761</v>
      </c>
      <c r="L253" s="58"/>
    </row>
    <row r="254" spans="1:17" x14ac:dyDescent="0.25">
      <c r="A254" s="1" t="s">
        <v>762</v>
      </c>
      <c r="B254" s="58" t="s">
        <v>763</v>
      </c>
      <c r="C254" s="12" t="s">
        <v>321</v>
      </c>
      <c r="D254" s="1" t="s">
        <v>764</v>
      </c>
    </row>
    <row r="255" spans="1:17" x14ac:dyDescent="0.25">
      <c r="A255" s="1" t="s">
        <v>765</v>
      </c>
      <c r="B255" s="75">
        <f>8*60*60*6*7</f>
        <v>1209600</v>
      </c>
      <c r="D255" s="1" t="s">
        <v>766</v>
      </c>
    </row>
    <row r="256" spans="1:17" x14ac:dyDescent="0.25">
      <c r="A256" s="1" t="s">
        <v>767</v>
      </c>
      <c r="B256" s="58" t="s">
        <v>349</v>
      </c>
      <c r="D256" s="1" t="s">
        <v>768</v>
      </c>
    </row>
    <row r="257" spans="1:24" x14ac:dyDescent="0.25">
      <c r="A257" s="1" t="s">
        <v>769</v>
      </c>
      <c r="B257" s="75">
        <f>5%*1000</f>
        <v>50</v>
      </c>
      <c r="D257" s="1" t="s">
        <v>770</v>
      </c>
    </row>
    <row r="258" spans="1:24" x14ac:dyDescent="0.25">
      <c r="A258" s="1" t="s">
        <v>771</v>
      </c>
      <c r="B258" s="58" t="s">
        <v>772</v>
      </c>
      <c r="D258" s="1" t="s">
        <v>773</v>
      </c>
    </row>
    <row r="259" spans="1:24" x14ac:dyDescent="0.25">
      <c r="A259" s="1" t="s">
        <v>774</v>
      </c>
      <c r="B259" s="58" t="s">
        <v>775</v>
      </c>
      <c r="D259" s="1" t="s">
        <v>776</v>
      </c>
    </row>
    <row r="260" spans="1:24" x14ac:dyDescent="0.25">
      <c r="A260" s="1" t="s">
        <v>777</v>
      </c>
      <c r="B260" s="58" t="s">
        <v>778</v>
      </c>
      <c r="D260" s="1" t="s">
        <v>779</v>
      </c>
    </row>
    <row r="261" spans="1:24" x14ac:dyDescent="0.25">
      <c r="A261" s="1" t="s">
        <v>780</v>
      </c>
      <c r="B261" s="58" t="s">
        <v>487</v>
      </c>
      <c r="C261" s="12" t="s">
        <v>321</v>
      </c>
      <c r="D261" s="1" t="s">
        <v>781</v>
      </c>
    </row>
    <row r="262" spans="1:24" x14ac:dyDescent="0.25">
      <c r="A262" s="1" t="s">
        <v>782</v>
      </c>
      <c r="B262" s="75">
        <f>50%*10000</f>
        <v>5000</v>
      </c>
      <c r="C262" s="12" t="s">
        <v>321</v>
      </c>
      <c r="D262" s="1" t="s">
        <v>783</v>
      </c>
    </row>
    <row r="263" spans="1:24" x14ac:dyDescent="0.25">
      <c r="A263" s="1" t="s">
        <v>784</v>
      </c>
      <c r="B263" s="75">
        <f>2%*10000</f>
        <v>200</v>
      </c>
      <c r="C263" s="12" t="s">
        <v>321</v>
      </c>
      <c r="D263" s="1" t="s">
        <v>785</v>
      </c>
      <c r="K263" s="47"/>
      <c r="L263" s="48"/>
      <c r="M263" s="48"/>
      <c r="N263" s="48"/>
      <c r="O263" s="48"/>
      <c r="P263" s="48"/>
      <c r="Q263" s="48"/>
      <c r="R263" s="48"/>
      <c r="S263" s="48" t="s">
        <v>786</v>
      </c>
      <c r="T263" s="669">
        <v>25000000</v>
      </c>
      <c r="U263" s="669"/>
      <c r="V263" s="48"/>
      <c r="W263" s="48"/>
      <c r="X263" s="50"/>
    </row>
    <row r="264" spans="1:24" x14ac:dyDescent="0.25">
      <c r="A264" s="1" t="s">
        <v>787</v>
      </c>
      <c r="B264" s="75">
        <f>648*10*100000</f>
        <v>648000000</v>
      </c>
      <c r="D264" s="1" t="s">
        <v>788</v>
      </c>
      <c r="K264" s="10"/>
      <c r="L264" s="11"/>
      <c r="M264" s="11"/>
      <c r="N264" s="11"/>
      <c r="O264" s="11"/>
      <c r="P264" s="11"/>
      <c r="Q264" s="11"/>
      <c r="R264" s="11"/>
      <c r="S264" s="670" t="s">
        <v>789</v>
      </c>
      <c r="T264" s="11">
        <f>'道具|Item'!E33</f>
        <v>100000</v>
      </c>
      <c r="U264" s="11"/>
      <c r="V264" s="11"/>
      <c r="W264" s="11"/>
      <c r="X264" s="19"/>
    </row>
    <row r="265" spans="1:24" x14ac:dyDescent="0.25">
      <c r="A265" s="1" t="s">
        <v>790</v>
      </c>
      <c r="B265" s="75">
        <f>T263</f>
        <v>25000000</v>
      </c>
      <c r="D265" s="1" t="s">
        <v>786</v>
      </c>
      <c r="E265" s="651"/>
      <c r="F265" s="652"/>
      <c r="G265" s="652"/>
      <c r="H265" s="69"/>
      <c r="K265" s="10"/>
      <c r="L265" s="11" t="s">
        <v>791</v>
      </c>
      <c r="M265" s="11"/>
      <c r="N265" s="11"/>
      <c r="O265" s="11"/>
      <c r="P265" s="11"/>
      <c r="Q265" s="11"/>
      <c r="R265" s="11"/>
      <c r="S265" s="11" t="s">
        <v>792</v>
      </c>
      <c r="T265" s="11">
        <f>'道具|Item'!U33</f>
        <v>10</v>
      </c>
      <c r="U265" s="11"/>
      <c r="V265" s="11"/>
      <c r="W265" s="670" t="s">
        <v>793</v>
      </c>
      <c r="X265" s="19"/>
    </row>
    <row r="266" spans="1:24" ht="16.2" x14ac:dyDescent="0.25">
      <c r="A266" s="1" t="s">
        <v>794</v>
      </c>
      <c r="B266" s="58" t="s">
        <v>795</v>
      </c>
      <c r="D266" s="1" t="s">
        <v>796</v>
      </c>
      <c r="K266" s="10"/>
      <c r="L266" s="659" t="s">
        <v>797</v>
      </c>
      <c r="M266" s="659"/>
      <c r="N266" s="659"/>
      <c r="O266" s="659" t="s">
        <v>798</v>
      </c>
      <c r="P266" s="659"/>
      <c r="Q266" s="659"/>
      <c r="R266" s="11"/>
      <c r="S266" s="11"/>
      <c r="T266" s="671" t="s">
        <v>799</v>
      </c>
      <c r="U266" s="671" t="s">
        <v>800</v>
      </c>
      <c r="V266" s="11" t="s">
        <v>112</v>
      </c>
      <c r="W266" s="672" t="s">
        <v>801</v>
      </c>
      <c r="X266" s="673" t="s">
        <v>802</v>
      </c>
    </row>
    <row r="267" spans="1:24" ht="16.2" x14ac:dyDescent="0.35">
      <c r="A267" s="1" t="s">
        <v>803</v>
      </c>
      <c r="B267" s="241" t="str">
        <f>"[["&amp;L268&amp;","&amp;M268&amp;"]]"</f>
        <v>[[57500,67500]]</v>
      </c>
      <c r="D267" s="1" t="s">
        <v>804</v>
      </c>
      <c r="K267" s="660" t="s">
        <v>805</v>
      </c>
      <c r="L267" s="661" t="s">
        <v>806</v>
      </c>
      <c r="M267" s="661" t="s">
        <v>807</v>
      </c>
      <c r="N267" s="661" t="s">
        <v>808</v>
      </c>
      <c r="O267" s="502" t="s">
        <v>806</v>
      </c>
      <c r="P267" s="502" t="s">
        <v>807</v>
      </c>
      <c r="Q267" s="502" t="s">
        <v>808</v>
      </c>
      <c r="R267" s="11"/>
      <c r="S267" s="671" t="s">
        <v>797</v>
      </c>
      <c r="T267" s="11">
        <f>$T$263/N268</f>
        <v>400</v>
      </c>
      <c r="U267" s="11">
        <f>T267*T265</f>
        <v>4000</v>
      </c>
      <c r="V267" s="11">
        <f>T267*$T$264</f>
        <v>40000000</v>
      </c>
      <c r="W267" s="743">
        <v>5000000</v>
      </c>
      <c r="X267" s="674">
        <f>W267/V267</f>
        <v>0.125</v>
      </c>
    </row>
    <row r="268" spans="1:24" ht="16.2" x14ac:dyDescent="0.35">
      <c r="A268" s="1" t="s">
        <v>809</v>
      </c>
      <c r="B268" s="241" t="str">
        <f>"[["&amp;O268&amp;","&amp;P268&amp;"]]"</f>
        <v>[[575000,675000]]</v>
      </c>
      <c r="D268" s="1" t="s">
        <v>810</v>
      </c>
      <c r="K268" s="13">
        <v>1</v>
      </c>
      <c r="L268" s="662">
        <v>57500</v>
      </c>
      <c r="M268" s="662">
        <v>67500</v>
      </c>
      <c r="N268" s="662">
        <f>AVERAGE(L268:M268)</f>
        <v>62500</v>
      </c>
      <c r="O268" s="662">
        <f>L268*10</f>
        <v>575000</v>
      </c>
      <c r="P268" s="662">
        <f>M268*10</f>
        <v>675000</v>
      </c>
      <c r="Q268" s="662">
        <f>AVERAGE(O268:P268)</f>
        <v>625000</v>
      </c>
      <c r="R268" s="14"/>
      <c r="S268" s="675" t="s">
        <v>798</v>
      </c>
      <c r="T268" s="14">
        <f>$T$263/Q268</f>
        <v>40</v>
      </c>
      <c r="U268" s="14">
        <f>T268*T265*10*0.9</f>
        <v>3600</v>
      </c>
      <c r="V268" s="14">
        <f>T268*$T$264*10*0.9</f>
        <v>36000000</v>
      </c>
      <c r="W268" s="744"/>
      <c r="X268" s="676">
        <f>W267/V268</f>
        <v>0.1388888888888889</v>
      </c>
    </row>
    <row r="269" spans="1:24" x14ac:dyDescent="0.25">
      <c r="A269" s="1" t="s">
        <v>811</v>
      </c>
      <c r="B269" s="58" t="s">
        <v>812</v>
      </c>
      <c r="D269" s="1" t="s">
        <v>813</v>
      </c>
      <c r="L269" s="66"/>
      <c r="M269" s="66"/>
      <c r="N269" s="66"/>
      <c r="O269" s="66"/>
      <c r="P269" s="66"/>
      <c r="Q269" s="66"/>
    </row>
    <row r="270" spans="1:24" x14ac:dyDescent="0.25">
      <c r="A270" s="1" t="s">
        <v>814</v>
      </c>
      <c r="B270" s="58" t="s">
        <v>487</v>
      </c>
      <c r="D270" s="1" t="s">
        <v>815</v>
      </c>
      <c r="L270" s="66"/>
      <c r="M270" s="66"/>
      <c r="N270" s="66"/>
      <c r="O270" s="66"/>
      <c r="P270" s="66"/>
      <c r="Q270" s="66"/>
    </row>
    <row r="271" spans="1:24" x14ac:dyDescent="0.25">
      <c r="A271" s="1" t="s">
        <v>816</v>
      </c>
      <c r="B271" s="58" t="s">
        <v>817</v>
      </c>
      <c r="D271" s="1" t="s">
        <v>818</v>
      </c>
      <c r="L271" s="66"/>
      <c r="M271" s="66"/>
      <c r="N271" s="66"/>
      <c r="O271" s="66"/>
      <c r="P271" s="66"/>
      <c r="Q271" s="66"/>
    </row>
    <row r="272" spans="1:24" x14ac:dyDescent="0.25">
      <c r="A272" s="1" t="s">
        <v>819</v>
      </c>
      <c r="B272" s="58" t="s">
        <v>266</v>
      </c>
      <c r="C272" s="66" t="s">
        <v>820</v>
      </c>
      <c r="D272" s="1" t="s">
        <v>821</v>
      </c>
      <c r="L272" s="66"/>
      <c r="M272" s="66"/>
      <c r="N272" s="66"/>
      <c r="O272" s="66"/>
      <c r="P272" s="66"/>
      <c r="Q272" s="66"/>
    </row>
    <row r="273" spans="1:17" x14ac:dyDescent="0.25">
      <c r="A273" s="1" t="s">
        <v>822</v>
      </c>
      <c r="B273" s="58" t="s">
        <v>823</v>
      </c>
      <c r="C273" s="66" t="s">
        <v>824</v>
      </c>
      <c r="L273" s="66"/>
      <c r="M273" s="66"/>
      <c r="N273" s="66"/>
      <c r="O273" s="66"/>
      <c r="P273" s="66"/>
      <c r="Q273" s="66"/>
    </row>
    <row r="274" spans="1:17" ht="16.2" x14ac:dyDescent="0.25">
      <c r="A274" s="1" t="s">
        <v>825</v>
      </c>
      <c r="B274" s="645" t="s">
        <v>487</v>
      </c>
      <c r="D274" s="1" t="s">
        <v>826</v>
      </c>
      <c r="L274" s="66"/>
      <c r="M274" s="66"/>
      <c r="N274" s="66"/>
      <c r="O274" s="66"/>
      <c r="P274" s="66"/>
      <c r="Q274" s="66"/>
    </row>
    <row r="275" spans="1:17" x14ac:dyDescent="0.25">
      <c r="A275" s="1" t="s">
        <v>827</v>
      </c>
      <c r="B275" s="75">
        <v>60</v>
      </c>
      <c r="D275" s="1" t="s">
        <v>828</v>
      </c>
      <c r="L275" s="66"/>
      <c r="M275" s="66"/>
      <c r="N275" s="66"/>
      <c r="O275" s="66"/>
      <c r="P275" s="66"/>
      <c r="Q275" s="66"/>
    </row>
    <row r="276" spans="1:17" ht="16.2" x14ac:dyDescent="0.25">
      <c r="A276" s="42" t="s">
        <v>829</v>
      </c>
      <c r="B276" s="649" t="s">
        <v>830</v>
      </c>
      <c r="D276" s="1" t="s">
        <v>831</v>
      </c>
      <c r="L276" s="66"/>
      <c r="M276" s="66"/>
      <c r="N276" s="66"/>
      <c r="O276" s="66"/>
      <c r="P276" s="66"/>
      <c r="Q276" s="66"/>
    </row>
    <row r="277" spans="1:17" x14ac:dyDescent="0.25">
      <c r="A277" s="1" t="s">
        <v>832</v>
      </c>
      <c r="B277" s="58" t="s">
        <v>412</v>
      </c>
      <c r="D277" s="1" t="s">
        <v>833</v>
      </c>
      <c r="L277" s="66"/>
      <c r="M277" s="66"/>
      <c r="N277" s="66"/>
      <c r="O277" s="66"/>
      <c r="P277" s="66"/>
      <c r="Q277" s="66"/>
    </row>
    <row r="278" spans="1:17" ht="16.2" x14ac:dyDescent="0.25">
      <c r="A278" s="42" t="s">
        <v>834</v>
      </c>
      <c r="B278" s="611" t="s">
        <v>835</v>
      </c>
      <c r="D278" s="1" t="s">
        <v>836</v>
      </c>
      <c r="L278" s="66"/>
      <c r="M278" s="66"/>
      <c r="N278" s="66"/>
      <c r="O278" s="66"/>
      <c r="P278" s="66"/>
      <c r="Q278" s="66"/>
    </row>
    <row r="279" spans="1:17" x14ac:dyDescent="0.25">
      <c r="A279" s="1" t="s">
        <v>837</v>
      </c>
      <c r="B279" s="58" t="s">
        <v>394</v>
      </c>
      <c r="D279" s="1" t="s">
        <v>838</v>
      </c>
      <c r="L279" s="66"/>
      <c r="M279" s="66"/>
      <c r="N279" s="66"/>
      <c r="O279" s="66"/>
      <c r="P279" s="66"/>
      <c r="Q279" s="66"/>
    </row>
    <row r="280" spans="1:17" x14ac:dyDescent="0.25">
      <c r="A280" s="1" t="s">
        <v>839</v>
      </c>
      <c r="B280" s="58" t="s">
        <v>745</v>
      </c>
      <c r="D280" s="1" t="s">
        <v>840</v>
      </c>
    </row>
    <row r="281" spans="1:17" x14ac:dyDescent="0.25">
      <c r="A281" s="1" t="s">
        <v>841</v>
      </c>
      <c r="B281" s="514" t="str">
        <f>"["&amp;J281&amp;","&amp;J282&amp;","&amp;J283&amp;","&amp;J284&amp;","&amp;J285&amp;","&amp;J286&amp;","&amp;J287&amp;","&amp;J288&amp;","&amp;J289&amp;","&amp;J290&amp;","&amp;J291&amp;","&amp;J292&amp;","&amp;J293&amp;","&amp;J294&amp;","&amp;J295&amp;","&amp;J296&amp;","&amp;J297&amp;","&amp;J298&amp;","&amp;J299&amp;","&amp;J300&amp;"]"</f>
        <v>[30,50,30,50,30,50,10,30,50,30,50,0,10,60,10,0,70,10,0,80]</v>
      </c>
      <c r="D281" s="1" t="s">
        <v>842</v>
      </c>
      <c r="I281" s="1">
        <v>1</v>
      </c>
      <c r="J281" s="663">
        <v>30</v>
      </c>
      <c r="K281" s="1">
        <v>1</v>
      </c>
    </row>
    <row r="282" spans="1:17" x14ac:dyDescent="0.25">
      <c r="A282" s="1" t="s">
        <v>843</v>
      </c>
      <c r="B282" s="514" t="str">
        <f>"["&amp;K281&amp;","&amp;K282&amp;","&amp;K283&amp;","&amp;K284&amp;","&amp;K285&amp;","&amp;K286&amp;","&amp;K287&amp;","&amp;K288&amp;","&amp;K289&amp;","&amp;K290&amp;","&amp;K291&amp;","&amp;K292&amp;","&amp;K293&amp;","&amp;K294&amp;","&amp;K295&amp;","&amp;K296&amp;","&amp;K297&amp;","&amp;K298&amp;","&amp;K299&amp;","&amp;K300&amp;"]"</f>
        <v>[1,0,1,0,1,0,1,0,1,0,1,0,1,0,1,0,0,1,0,0]</v>
      </c>
      <c r="D282" s="1" t="s">
        <v>844</v>
      </c>
      <c r="I282" s="1">
        <v>2</v>
      </c>
      <c r="J282" s="663">
        <v>50</v>
      </c>
      <c r="K282" s="1">
        <v>0</v>
      </c>
    </row>
    <row r="283" spans="1:17" x14ac:dyDescent="0.25">
      <c r="A283" s="1" t="s">
        <v>845</v>
      </c>
      <c r="B283" s="58" t="s">
        <v>846</v>
      </c>
      <c r="D283" s="1" t="s">
        <v>847</v>
      </c>
      <c r="I283" s="1">
        <v>3</v>
      </c>
      <c r="J283" s="1">
        <v>30</v>
      </c>
      <c r="K283" s="1">
        <v>1</v>
      </c>
    </row>
    <row r="284" spans="1:17" ht="16.2" x14ac:dyDescent="0.25">
      <c r="A284" s="1" t="s">
        <v>848</v>
      </c>
      <c r="B284" s="645" t="s">
        <v>849</v>
      </c>
      <c r="D284" s="1" t="s">
        <v>850</v>
      </c>
      <c r="G284" s="1">
        <v>1250</v>
      </c>
      <c r="I284" s="1">
        <v>4</v>
      </c>
      <c r="J284" s="1">
        <v>50</v>
      </c>
      <c r="K284" s="1">
        <v>0</v>
      </c>
    </row>
    <row r="285" spans="1:17" x14ac:dyDescent="0.35">
      <c r="A285" s="39" t="s">
        <v>851</v>
      </c>
      <c r="B285" s="653" t="s">
        <v>852</v>
      </c>
      <c r="D285" s="39" t="s">
        <v>853</v>
      </c>
      <c r="E285" s="39"/>
      <c r="I285" s="1">
        <v>5</v>
      </c>
      <c r="J285" s="1">
        <v>30</v>
      </c>
      <c r="K285" s="1">
        <v>1</v>
      </c>
    </row>
    <row r="286" spans="1:17" x14ac:dyDescent="0.35">
      <c r="A286" s="39" t="s">
        <v>854</v>
      </c>
      <c r="B286" s="654" t="str">
        <f>ROUND(B285*0.95,0)&amp;","&amp;ROUND(B285*1.05,0)</f>
        <v>147250000,162750000</v>
      </c>
      <c r="D286" s="39" t="s">
        <v>855</v>
      </c>
      <c r="E286" s="39"/>
      <c r="I286" s="1">
        <v>6</v>
      </c>
      <c r="J286" s="1">
        <v>50</v>
      </c>
      <c r="K286" s="1">
        <v>0</v>
      </c>
    </row>
    <row r="287" spans="1:17" x14ac:dyDescent="0.35">
      <c r="A287" s="39" t="s">
        <v>856</v>
      </c>
      <c r="B287" s="654" t="str">
        <f>1&amp;","&amp;ROUND(B285*(1/0.72/100000),0)</f>
        <v>1,2153</v>
      </c>
      <c r="D287" s="39" t="s">
        <v>857</v>
      </c>
      <c r="E287" s="39"/>
      <c r="I287" s="1">
        <v>7</v>
      </c>
      <c r="J287" s="663">
        <v>10</v>
      </c>
      <c r="K287" s="1">
        <v>1</v>
      </c>
    </row>
    <row r="288" spans="1:17" x14ac:dyDescent="0.35">
      <c r="A288" s="39" t="s">
        <v>858</v>
      </c>
      <c r="B288" s="655" t="s">
        <v>246</v>
      </c>
      <c r="D288" s="39" t="s">
        <v>859</v>
      </c>
      <c r="E288" s="39"/>
      <c r="I288" s="1">
        <v>8</v>
      </c>
      <c r="J288" s="663">
        <v>30</v>
      </c>
      <c r="K288" s="1">
        <v>0</v>
      </c>
    </row>
    <row r="289" spans="1:11" x14ac:dyDescent="0.35">
      <c r="A289" s="39" t="s">
        <v>860</v>
      </c>
      <c r="B289" s="653" t="s">
        <v>861</v>
      </c>
      <c r="D289" s="39"/>
      <c r="E289" s="39"/>
      <c r="I289" s="1">
        <v>9</v>
      </c>
      <c r="J289" s="663">
        <v>50</v>
      </c>
      <c r="K289" s="1">
        <v>1</v>
      </c>
    </row>
    <row r="290" spans="1:11" x14ac:dyDescent="0.35">
      <c r="A290" s="39" t="s">
        <v>862</v>
      </c>
      <c r="B290" s="655" t="s">
        <v>412</v>
      </c>
      <c r="D290" s="39" t="s">
        <v>863</v>
      </c>
      <c r="E290" s="39"/>
      <c r="I290" s="1">
        <v>10</v>
      </c>
      <c r="J290" s="663">
        <v>30</v>
      </c>
      <c r="K290" s="1">
        <v>0</v>
      </c>
    </row>
    <row r="291" spans="1:11" x14ac:dyDescent="0.35">
      <c r="A291" s="39" t="s">
        <v>864</v>
      </c>
      <c r="B291" s="653" t="s">
        <v>865</v>
      </c>
      <c r="D291" s="39"/>
      <c r="E291" s="39"/>
      <c r="I291" s="1">
        <v>11</v>
      </c>
      <c r="J291" s="663">
        <v>50</v>
      </c>
      <c r="K291" s="1">
        <v>1</v>
      </c>
    </row>
    <row r="292" spans="1:11" x14ac:dyDescent="0.35">
      <c r="A292" s="39" t="s">
        <v>866</v>
      </c>
      <c r="B292" s="655" t="s">
        <v>412</v>
      </c>
      <c r="D292" s="39" t="s">
        <v>867</v>
      </c>
      <c r="E292" s="39"/>
      <c r="I292" s="1">
        <v>12</v>
      </c>
      <c r="J292" s="1">
        <v>0</v>
      </c>
      <c r="K292" s="1">
        <v>0</v>
      </c>
    </row>
    <row r="293" spans="1:11" x14ac:dyDescent="0.35">
      <c r="A293" s="39" t="s">
        <v>868</v>
      </c>
      <c r="B293" s="653" t="s">
        <v>869</v>
      </c>
      <c r="C293" s="39"/>
      <c r="D293" s="39"/>
      <c r="E293" s="39"/>
      <c r="I293" s="1">
        <v>13</v>
      </c>
      <c r="J293" s="1">
        <v>10</v>
      </c>
      <c r="K293" s="1">
        <v>1</v>
      </c>
    </row>
    <row r="294" spans="1:11" x14ac:dyDescent="0.25">
      <c r="A294" s="1" t="s">
        <v>870</v>
      </c>
      <c r="B294" s="58" t="s">
        <v>497</v>
      </c>
      <c r="D294" s="1" t="s">
        <v>871</v>
      </c>
      <c r="I294" s="1">
        <v>14</v>
      </c>
      <c r="J294" s="1">
        <v>60</v>
      </c>
      <c r="K294" s="1">
        <v>0</v>
      </c>
    </row>
    <row r="295" spans="1:11" x14ac:dyDescent="0.25">
      <c r="A295" s="1" t="s">
        <v>872</v>
      </c>
      <c r="B295" s="58" t="s">
        <v>873</v>
      </c>
      <c r="D295" s="1" t="s">
        <v>874</v>
      </c>
      <c r="I295" s="1">
        <v>15</v>
      </c>
      <c r="J295" s="1">
        <v>10</v>
      </c>
      <c r="K295" s="1">
        <v>1</v>
      </c>
    </row>
    <row r="296" spans="1:11" x14ac:dyDescent="0.25">
      <c r="A296" s="1" t="s">
        <v>875</v>
      </c>
      <c r="B296" s="75">
        <f>'鱼属性|FishAttribute'!GB2</f>
        <v>7200000</v>
      </c>
      <c r="D296" s="1" t="s">
        <v>876</v>
      </c>
      <c r="I296" s="1">
        <v>16</v>
      </c>
      <c r="J296" s="1">
        <v>0</v>
      </c>
      <c r="K296" s="1">
        <v>0</v>
      </c>
    </row>
    <row r="297" spans="1:11" x14ac:dyDescent="0.25">
      <c r="A297" s="1" t="s">
        <v>877</v>
      </c>
      <c r="B297" s="58" t="s">
        <v>878</v>
      </c>
      <c r="C297" s="12"/>
      <c r="D297" s="12" t="s">
        <v>879</v>
      </c>
      <c r="I297" s="1">
        <v>17</v>
      </c>
      <c r="J297" s="1">
        <v>70</v>
      </c>
      <c r="K297" s="1">
        <v>0</v>
      </c>
    </row>
    <row r="298" spans="1:11" x14ac:dyDescent="0.25">
      <c r="A298" s="1" t="s">
        <v>880</v>
      </c>
      <c r="B298" s="58" t="s">
        <v>412</v>
      </c>
      <c r="D298" s="1" t="s">
        <v>881</v>
      </c>
      <c r="I298" s="1">
        <v>18</v>
      </c>
      <c r="J298" s="1">
        <v>10</v>
      </c>
      <c r="K298" s="1">
        <v>1</v>
      </c>
    </row>
    <row r="299" spans="1:11" x14ac:dyDescent="0.25">
      <c r="A299" s="1" t="s">
        <v>882</v>
      </c>
      <c r="B299" s="58" t="s">
        <v>368</v>
      </c>
      <c r="D299" s="1" t="s">
        <v>883</v>
      </c>
      <c r="I299" s="1">
        <v>19</v>
      </c>
      <c r="J299" s="1">
        <v>0</v>
      </c>
      <c r="K299" s="1">
        <v>0</v>
      </c>
    </row>
    <row r="300" spans="1:11" x14ac:dyDescent="0.25">
      <c r="A300" s="1" t="s">
        <v>884</v>
      </c>
      <c r="B300" s="656" t="s">
        <v>885</v>
      </c>
      <c r="C300" s="657" t="s">
        <v>886</v>
      </c>
      <c r="D300" s="6" t="s">
        <v>887</v>
      </c>
      <c r="I300" s="1">
        <v>20</v>
      </c>
      <c r="J300" s="1">
        <v>80</v>
      </c>
      <c r="K300" s="1">
        <v>0</v>
      </c>
    </row>
    <row r="301" spans="1:11" x14ac:dyDescent="0.25">
      <c r="A301" s="1" t="s">
        <v>888</v>
      </c>
      <c r="B301" s="656" t="s">
        <v>889</v>
      </c>
      <c r="D301" s="1" t="s">
        <v>890</v>
      </c>
      <c r="J301" s="1">
        <f>SUM(J281:J300)</f>
        <v>650</v>
      </c>
      <c r="K301" s="1">
        <f>'鱼属性|FishAttribute'!E43</f>
        <v>650</v>
      </c>
    </row>
    <row r="302" spans="1:11" x14ac:dyDescent="0.25">
      <c r="A302" s="1" t="s">
        <v>891</v>
      </c>
      <c r="B302" s="658" t="s">
        <v>892</v>
      </c>
      <c r="D302" s="1" t="s">
        <v>893</v>
      </c>
    </row>
    <row r="303" spans="1:11" x14ac:dyDescent="0.25">
      <c r="A303" s="1" t="s">
        <v>894</v>
      </c>
      <c r="B303" s="58" t="s">
        <v>895</v>
      </c>
      <c r="D303" s="6" t="s">
        <v>896</v>
      </c>
    </row>
    <row r="304" spans="1:11" x14ac:dyDescent="0.25">
      <c r="A304" s="1" t="s">
        <v>897</v>
      </c>
      <c r="B304" s="58" t="s">
        <v>158</v>
      </c>
      <c r="D304" s="1" t="s">
        <v>898</v>
      </c>
    </row>
    <row r="305" spans="1:34" x14ac:dyDescent="0.25">
      <c r="A305" s="1" t="s">
        <v>899</v>
      </c>
      <c r="B305" s="58" t="s">
        <v>900</v>
      </c>
      <c r="C305" s="12" t="s">
        <v>321</v>
      </c>
      <c r="D305" s="1" t="s">
        <v>901</v>
      </c>
      <c r="E305" s="1" t="s">
        <v>902</v>
      </c>
    </row>
    <row r="306" spans="1:34" x14ac:dyDescent="0.25">
      <c r="A306" s="1" t="s">
        <v>903</v>
      </c>
      <c r="B306" s="58" t="s">
        <v>904</v>
      </c>
      <c r="C306" s="12" t="s">
        <v>321</v>
      </c>
      <c r="D306" s="1" t="s">
        <v>905</v>
      </c>
    </row>
    <row r="307" spans="1:34" x14ac:dyDescent="0.25">
      <c r="A307" s="1" t="s">
        <v>906</v>
      </c>
      <c r="B307" s="58" t="s">
        <v>907</v>
      </c>
      <c r="C307" s="12" t="s">
        <v>321</v>
      </c>
      <c r="D307" s="1" t="s">
        <v>908</v>
      </c>
    </row>
    <row r="308" spans="1:34" x14ac:dyDescent="0.25">
      <c r="A308" s="1" t="s">
        <v>909</v>
      </c>
      <c r="B308" s="58" t="s">
        <v>910</v>
      </c>
      <c r="C308" s="12" t="s">
        <v>321</v>
      </c>
      <c r="D308" s="1" t="s">
        <v>911</v>
      </c>
    </row>
    <row r="309" spans="1:34" x14ac:dyDescent="0.25">
      <c r="A309" s="1" t="s">
        <v>912</v>
      </c>
      <c r="B309" s="58" t="s">
        <v>913</v>
      </c>
      <c r="C309" s="12" t="s">
        <v>321</v>
      </c>
      <c r="D309" s="1" t="s">
        <v>914</v>
      </c>
    </row>
    <row r="310" spans="1:34" x14ac:dyDescent="0.25">
      <c r="A310" s="1" t="s">
        <v>915</v>
      </c>
      <c r="B310" s="58" t="s">
        <v>916</v>
      </c>
      <c r="C310" s="12" t="s">
        <v>321</v>
      </c>
      <c r="D310" s="1" t="s">
        <v>917</v>
      </c>
    </row>
    <row r="311" spans="1:34" x14ac:dyDescent="0.25">
      <c r="A311" s="1" t="s">
        <v>918</v>
      </c>
      <c r="B311" s="58" t="s">
        <v>919</v>
      </c>
      <c r="C311" s="12" t="s">
        <v>321</v>
      </c>
      <c r="D311" s="1" t="s">
        <v>920</v>
      </c>
    </row>
    <row r="312" spans="1:34" x14ac:dyDescent="0.25">
      <c r="A312" s="1" t="s">
        <v>921</v>
      </c>
      <c r="B312" s="58" t="s">
        <v>922</v>
      </c>
      <c r="C312" s="12" t="s">
        <v>321</v>
      </c>
      <c r="D312" s="1" t="s">
        <v>923</v>
      </c>
      <c r="E312" s="1" t="s">
        <v>924</v>
      </c>
    </row>
    <row r="313" spans="1:34" x14ac:dyDescent="0.25">
      <c r="A313" s="1" t="s">
        <v>925</v>
      </c>
      <c r="B313" s="58" t="s">
        <v>926</v>
      </c>
      <c r="C313" s="12" t="s">
        <v>321</v>
      </c>
      <c r="D313" s="1" t="s">
        <v>927</v>
      </c>
      <c r="E313" s="1" t="s">
        <v>928</v>
      </c>
    </row>
    <row r="314" spans="1:34" x14ac:dyDescent="0.25">
      <c r="A314" s="1" t="s">
        <v>929</v>
      </c>
      <c r="B314" s="58" t="s">
        <v>930</v>
      </c>
      <c r="C314" s="12" t="s">
        <v>321</v>
      </c>
      <c r="D314" s="1" t="s">
        <v>931</v>
      </c>
    </row>
    <row r="315" spans="1:34" x14ac:dyDescent="0.25">
      <c r="A315" s="1" t="s">
        <v>932</v>
      </c>
      <c r="B315" s="58" t="s">
        <v>933</v>
      </c>
      <c r="C315" s="12" t="s">
        <v>321</v>
      </c>
      <c r="D315" s="1" t="s">
        <v>934</v>
      </c>
    </row>
    <row r="316" spans="1:34" ht="15.6" customHeight="1" x14ac:dyDescent="0.25">
      <c r="A316" s="1" t="s">
        <v>935</v>
      </c>
      <c r="B316" s="58" t="s">
        <v>930</v>
      </c>
      <c r="C316" s="12" t="s">
        <v>321</v>
      </c>
      <c r="D316" s="1" t="s">
        <v>936</v>
      </c>
      <c r="H316" s="47"/>
      <c r="I316" s="741" t="s">
        <v>937</v>
      </c>
      <c r="J316" s="48"/>
      <c r="K316" s="48"/>
      <c r="L316" s="48"/>
      <c r="M316" s="48" t="s">
        <v>938</v>
      </c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50"/>
      <c r="AF316" s="745" t="s">
        <v>939</v>
      </c>
      <c r="AG316" s="747" t="s">
        <v>940</v>
      </c>
    </row>
    <row r="317" spans="1:34" x14ac:dyDescent="0.25">
      <c r="A317" s="1" t="s">
        <v>941</v>
      </c>
      <c r="B317" s="58" t="s">
        <v>942</v>
      </c>
      <c r="C317" s="12" t="s">
        <v>321</v>
      </c>
      <c r="D317" s="1" t="s">
        <v>943</v>
      </c>
      <c r="E317" s="1" t="s">
        <v>944</v>
      </c>
      <c r="H317" s="10" t="s">
        <v>945</v>
      </c>
      <c r="I317" s="742"/>
      <c r="J317" s="11" t="s">
        <v>946</v>
      </c>
      <c r="K317" s="11" t="s">
        <v>947</v>
      </c>
      <c r="L317" s="11" t="s">
        <v>948</v>
      </c>
      <c r="M317" s="11" t="s">
        <v>947</v>
      </c>
      <c r="N317" s="11" t="s">
        <v>949</v>
      </c>
      <c r="O317" s="11" t="s">
        <v>947</v>
      </c>
      <c r="P317" s="11" t="s">
        <v>950</v>
      </c>
      <c r="Q317" s="11" t="s">
        <v>947</v>
      </c>
      <c r="R317" s="11" t="s">
        <v>951</v>
      </c>
      <c r="S317" s="11" t="s">
        <v>947</v>
      </c>
      <c r="T317" s="11" t="s">
        <v>952</v>
      </c>
      <c r="U317" s="11" t="s">
        <v>947</v>
      </c>
      <c r="V317" s="11" t="s">
        <v>953</v>
      </c>
      <c r="W317" s="11" t="s">
        <v>947</v>
      </c>
      <c r="X317" s="11" t="s">
        <v>954</v>
      </c>
      <c r="Y317" s="11" t="s">
        <v>947</v>
      </c>
      <c r="Z317" s="11" t="s">
        <v>955</v>
      </c>
      <c r="AA317" s="11" t="s">
        <v>947</v>
      </c>
      <c r="AB317" s="11" t="s">
        <v>956</v>
      </c>
      <c r="AC317" s="11" t="s">
        <v>947</v>
      </c>
      <c r="AD317" s="11" t="s">
        <v>957</v>
      </c>
      <c r="AE317" s="19" t="s">
        <v>947</v>
      </c>
      <c r="AF317" s="746"/>
      <c r="AG317" s="747"/>
      <c r="AH317" s="1" t="s">
        <v>808</v>
      </c>
    </row>
    <row r="318" spans="1:34" x14ac:dyDescent="0.25">
      <c r="A318" s="1" t="s">
        <v>958</v>
      </c>
      <c r="B318" s="58" t="s">
        <v>959</v>
      </c>
      <c r="C318" s="12" t="s">
        <v>321</v>
      </c>
      <c r="D318" s="1" t="s">
        <v>960</v>
      </c>
      <c r="G318" s="648" t="str">
        <f>"["&amp;H318&amp;",["&amp;J318&amp;","&amp;K318&amp;"],["&amp;L318&amp;","&amp;M318&amp;"],["&amp;N318&amp;","&amp;O318&amp;"],["&amp;P318&amp;","&amp;Q318&amp;"],["&amp;R318&amp;","&amp;S318&amp;"],["&amp;T318&amp;","&amp;U318&amp;"],["&amp;V318&amp;","&amp;W318&amp;"],["&amp;X318&amp;","&amp;Y318&amp;"],["&amp;Z318&amp;","&amp;AA318&amp;"],["&amp;AB318&amp;","&amp;AC318&amp;"],["&amp;AD318&amp;","&amp;AE318&amp;"]]"</f>
        <v>[6,[0,6644],[50000,4200],[100000,3000],[200000,2300],[300000,1500],[400000,1500],[600000,1200],[800000,600],[1000000,500],[1200000,400],[1500000,300]]</v>
      </c>
      <c r="H318" s="10">
        <v>6</v>
      </c>
      <c r="I318" s="664">
        <f>K318/SUM(K318+M318+O318+Q318+S318+U318+W318+Y318+AA318+AC318+AE318)</f>
        <v>0.30003612716763006</v>
      </c>
      <c r="J318" s="22">
        <v>0</v>
      </c>
      <c r="K318" s="665">
        <v>6644</v>
      </c>
      <c r="L318" s="22">
        <v>50000</v>
      </c>
      <c r="M318" s="111">
        <v>4200</v>
      </c>
      <c r="N318" s="111">
        <v>100000</v>
      </c>
      <c r="O318" s="111">
        <v>3000</v>
      </c>
      <c r="P318" s="111">
        <v>200000</v>
      </c>
      <c r="Q318" s="111">
        <v>2300</v>
      </c>
      <c r="R318" s="111">
        <v>300000</v>
      </c>
      <c r="S318" s="111">
        <v>1500</v>
      </c>
      <c r="T318" s="111">
        <v>400000</v>
      </c>
      <c r="U318" s="111">
        <v>1500</v>
      </c>
      <c r="V318" s="111">
        <v>600000</v>
      </c>
      <c r="W318" s="111">
        <v>1200</v>
      </c>
      <c r="X318" s="111">
        <v>800000</v>
      </c>
      <c r="Y318" s="111">
        <v>600</v>
      </c>
      <c r="Z318" s="111">
        <v>1000000</v>
      </c>
      <c r="AA318" s="111">
        <v>500</v>
      </c>
      <c r="AB318" s="111">
        <v>1200000</v>
      </c>
      <c r="AC318" s="111">
        <v>400</v>
      </c>
      <c r="AD318" s="111">
        <v>1500000</v>
      </c>
      <c r="AE318" s="111">
        <v>300</v>
      </c>
      <c r="AF318" s="677">
        <f>(J318*K318+L318*M318+N318*O318+P318*Q318+R318*S318+T318*U318+V318*W318+X318*Y318+Z318*AA318+AB318*AC318+AD318*AE318)/SUM(K318+M318+O318+Q318+S318+U318+W318+Y318+AA318+AC318+AE318)</f>
        <v>209989.16184971097</v>
      </c>
      <c r="AG318" s="6">
        <f>(L318*M318+N318*O318+P318*Q318+R318*S318+T318*U318+V318*W318+X318*Y318+Z318*AA318+AB318*AC318+AD318*AE318)/SUM(M318+O318+Q318+S318+U318+W318+Y318+AA318+AC318+AE318)</f>
        <v>300000</v>
      </c>
      <c r="AH318" s="6">
        <v>300000</v>
      </c>
    </row>
    <row r="319" spans="1:34" x14ac:dyDescent="0.25">
      <c r="A319" s="1" t="s">
        <v>961</v>
      </c>
      <c r="B319" s="58" t="s">
        <v>962</v>
      </c>
      <c r="D319" s="1" t="s">
        <v>963</v>
      </c>
      <c r="G319" s="648" t="str">
        <f>"["&amp;H319&amp;",["&amp;J319&amp;","&amp;K319&amp;"],["&amp;L319&amp;","&amp;M319&amp;"],["&amp;N319&amp;","&amp;O319&amp;"],["&amp;P319&amp;","&amp;Q319&amp;"],["&amp;R319&amp;","&amp;S319&amp;"],["&amp;T319&amp;","&amp;U319&amp;"],["&amp;V319&amp;","&amp;W319&amp;"],["&amp;X319&amp;","&amp;Y319&amp;"],["&amp;Z319&amp;","&amp;AA319&amp;"],["&amp;AB319&amp;","&amp;AC319&amp;"],["&amp;AD319&amp;","&amp;AE319&amp;"]]"</f>
        <v>[7,[0,6644],[250000,4200],[500000,3000],[1000000,2300],[1500000,1500],[2000000,1500],[3000000,1200],[4000000,600],[5000000,500],[6000000,400],[7500000,300]]</v>
      </c>
      <c r="H319" s="10">
        <v>7</v>
      </c>
      <c r="I319" s="664">
        <f t="shared" ref="I319:I320" si="10">K319/SUM(K319+M319+O319+Q319+S319+U319+W319+Y319+AA319+AC319+AE319)</f>
        <v>0.30003612716763006</v>
      </c>
      <c r="J319" s="24">
        <f>J318*5</f>
        <v>0</v>
      </c>
      <c r="K319" s="212">
        <f>K318</f>
        <v>6644</v>
      </c>
      <c r="L319" s="24">
        <f>L318*5</f>
        <v>250000</v>
      </c>
      <c r="M319" s="70">
        <f>M318</f>
        <v>4200</v>
      </c>
      <c r="N319" s="24">
        <f>N318*5</f>
        <v>500000</v>
      </c>
      <c r="O319" s="70">
        <f>O318</f>
        <v>3000</v>
      </c>
      <c r="P319" s="24">
        <f>P318*5</f>
        <v>1000000</v>
      </c>
      <c r="Q319" s="70">
        <f>Q318</f>
        <v>2300</v>
      </c>
      <c r="R319" s="24">
        <f>R318*5</f>
        <v>1500000</v>
      </c>
      <c r="S319" s="70">
        <f>S318</f>
        <v>1500</v>
      </c>
      <c r="T319" s="24">
        <f>T318*5</f>
        <v>2000000</v>
      </c>
      <c r="U319" s="70">
        <f>U318</f>
        <v>1500</v>
      </c>
      <c r="V319" s="24">
        <f>V318*5</f>
        <v>3000000</v>
      </c>
      <c r="W319" s="70">
        <f>W318</f>
        <v>1200</v>
      </c>
      <c r="X319" s="24">
        <f>X318*5</f>
        <v>4000000</v>
      </c>
      <c r="Y319" s="70">
        <f>Y318</f>
        <v>600</v>
      </c>
      <c r="Z319" s="24">
        <f>Z318*5</f>
        <v>5000000</v>
      </c>
      <c r="AA319" s="70">
        <f>AA318</f>
        <v>500</v>
      </c>
      <c r="AB319" s="24">
        <f>AB318*5</f>
        <v>6000000</v>
      </c>
      <c r="AC319" s="70">
        <f>AC318</f>
        <v>400</v>
      </c>
      <c r="AD319" s="24">
        <f>AD318*5</f>
        <v>7500000</v>
      </c>
      <c r="AE319" s="70">
        <f>AE318</f>
        <v>300</v>
      </c>
      <c r="AF319" s="678">
        <f t="shared" ref="AF319:AF320" si="11">(J319*K319+L319*M319+N319*O319+P319*Q319+R319*S319+T319*U319+V319*W319+X319*Y319+Z319*AA319+AB319*AC319+AD319*AE319)/SUM(K319+M319+O319+Q319+S319+U319+W319+Y319+AA319+AC319+AE319)</f>
        <v>1049945.809248555</v>
      </c>
      <c r="AG319" s="6">
        <f>(L319*M319+N319*O319+P319*Q319+R319*S319+T319*U319+V319*W319+X319*Y319+Z319*AA319+AB319*AC319+AD319*AE319)/SUM(M319+O319+Q319+S319+U319+W319+Y319+AA319+AC319+AE319)</f>
        <v>1500000</v>
      </c>
      <c r="AH319" s="6">
        <v>1500000</v>
      </c>
    </row>
    <row r="320" spans="1:34" x14ac:dyDescent="0.25">
      <c r="A320" s="1" t="s">
        <v>964</v>
      </c>
      <c r="B320" s="648" t="str">
        <f>"["&amp;G318&amp;","&amp;G319&amp;","&amp;G320&amp;"]"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0" s="6"/>
      <c r="D320" s="1" t="s">
        <v>965</v>
      </c>
      <c r="G320" s="648" t="str">
        <f>"["&amp;H320&amp;",["&amp;J320&amp;","&amp;K320&amp;"],["&amp;L320&amp;","&amp;M320&amp;"],["&amp;N320&amp;","&amp;O320&amp;"],["&amp;P320&amp;","&amp;Q320&amp;"],["&amp;R320&amp;","&amp;S320&amp;"],["&amp;T320&amp;","&amp;U320&amp;"],["&amp;V320&amp;","&amp;W320&amp;"],["&amp;X320&amp;","&amp;Y320&amp;"],["&amp;Z320&amp;","&amp;AA320&amp;"],["&amp;AB320&amp;","&amp;AC320&amp;"],["&amp;AD320&amp;","&amp;AE320&amp;"]]"</f>
        <v>[8,[0,6644],[500000,4200],[1000000,3000],[2000000,2300],[3000000,1500],[4000000,1500],[6000000,1200],[8000000,600],[10000000,500],[12000000,400],[15000000,300]]</v>
      </c>
      <c r="H320" s="13">
        <v>8</v>
      </c>
      <c r="I320" s="666">
        <f t="shared" si="10"/>
        <v>0.30003612716763006</v>
      </c>
      <c r="J320" s="25">
        <f>J318*10</f>
        <v>0</v>
      </c>
      <c r="K320" s="667">
        <f>K319</f>
        <v>6644</v>
      </c>
      <c r="L320" s="25">
        <f>L318*10</f>
        <v>500000</v>
      </c>
      <c r="M320" s="668">
        <f>M319</f>
        <v>4200</v>
      </c>
      <c r="N320" s="25">
        <f>N318*10</f>
        <v>1000000</v>
      </c>
      <c r="O320" s="668">
        <f>O319</f>
        <v>3000</v>
      </c>
      <c r="P320" s="25">
        <f>P318*10</f>
        <v>2000000</v>
      </c>
      <c r="Q320" s="668">
        <f>Q319</f>
        <v>2300</v>
      </c>
      <c r="R320" s="25">
        <f>R318*10</f>
        <v>3000000</v>
      </c>
      <c r="S320" s="668">
        <f>S319</f>
        <v>1500</v>
      </c>
      <c r="T320" s="25">
        <f>T318*10</f>
        <v>4000000</v>
      </c>
      <c r="U320" s="668">
        <f>U319</f>
        <v>1500</v>
      </c>
      <c r="V320" s="25">
        <f>V318*10</f>
        <v>6000000</v>
      </c>
      <c r="W320" s="668">
        <f>W319</f>
        <v>1200</v>
      </c>
      <c r="X320" s="25">
        <f>X318*10</f>
        <v>8000000</v>
      </c>
      <c r="Y320" s="668">
        <f>Y319</f>
        <v>600</v>
      </c>
      <c r="Z320" s="25">
        <f>Z318*10</f>
        <v>10000000</v>
      </c>
      <c r="AA320" s="668">
        <f>AA319</f>
        <v>500</v>
      </c>
      <c r="AB320" s="25">
        <f>AB318*10</f>
        <v>12000000</v>
      </c>
      <c r="AC320" s="668">
        <f>AC319</f>
        <v>400</v>
      </c>
      <c r="AD320" s="25">
        <f>AD318*10</f>
        <v>15000000</v>
      </c>
      <c r="AE320" s="668">
        <f>AE319</f>
        <v>300</v>
      </c>
      <c r="AF320" s="679">
        <f t="shared" si="11"/>
        <v>2099891.61849711</v>
      </c>
      <c r="AG320" s="6">
        <f>(L320*M320+N320*O320+P320*Q320+R320*S320+T320*U320+V320*W320+X320*Y320+Z320*AA320+AB320*AC320+AD320*AE320)/SUM(M320+O320+Q320+S320+U320+W320+Y320+AA320+AC320+AE320)</f>
        <v>3000000</v>
      </c>
      <c r="AH320" s="6">
        <v>3000000</v>
      </c>
    </row>
    <row r="321" spans="1:31" x14ac:dyDescent="0.25">
      <c r="A321" t="s">
        <v>966</v>
      </c>
      <c r="B321" s="58" t="s">
        <v>425</v>
      </c>
      <c r="D321" s="1" t="s">
        <v>967</v>
      </c>
      <c r="K321" s="1">
        <f>K318/SUM(K318+M318+O318+Q318+S318+U318+W318+Y318+AA318+AC318+AE318)</f>
        <v>0.30003612716763006</v>
      </c>
      <c r="M321" s="1">
        <f>M318/SUM(K318+M318+O318+Q318+S318+U318+W318+Y318+AA318+AC318+AE318)</f>
        <v>0.18966763005780346</v>
      </c>
      <c r="O321" s="1">
        <f>O318/SUM(K318+M318+O318+Q318+S318+U318+W318+Y318+AA318+AC318+AE318)</f>
        <v>0.13547687861271676</v>
      </c>
      <c r="Q321" s="1">
        <f>Q318/SUM(K318+M318+O318+Q318+S318+U318+W318+Y318+AA318+AC318+AE318)</f>
        <v>0.10386560693641618</v>
      </c>
      <c r="S321" s="1">
        <f>S318/SUM(K318+M318+O318+Q318+S318+U318+W318+Y318+AA318+AC318+AE318)</f>
        <v>6.7738439306358381E-2</v>
      </c>
      <c r="U321" s="1">
        <f>U318/SUM(K318+M318+O318+Q318+S318+U318+W318+Y318+AA318+AC318+AE318)</f>
        <v>6.7738439306358381E-2</v>
      </c>
      <c r="W321" s="1">
        <f>W318/SUM(K318+M318+O318+Q318+S318+U318+W318+Y318+AA318+AC318+AE318)</f>
        <v>5.4190751445086706E-2</v>
      </c>
      <c r="Y321" s="463">
        <f>Y318/SUM(K318+M318+O318+Q318+S318+U318+W318+Y318+AA318+AC318+AE318)</f>
        <v>2.7095375722543353E-2</v>
      </c>
      <c r="Z321" s="680"/>
      <c r="AA321" s="463">
        <f>AA318/SUM(K318+M318+O318+Q318+S318+U318+W318+Y318+AA318+AC318+AE318)</f>
        <v>2.2579479768786128E-2</v>
      </c>
      <c r="AB321" s="680"/>
      <c r="AC321" s="463">
        <f>AC318/SUM(K318+M318+O318+Q318+S318+U318+W318+Y318+AA318+AC318+AE318)</f>
        <v>1.8063583815028903E-2</v>
      </c>
      <c r="AE321" s="1">
        <f>AE318/SUM(K318+M318+O318+Q318+S318+U318+W318+Y318+AA318+AC318+AE318)</f>
        <v>1.3547687861271676E-2</v>
      </c>
    </row>
    <row r="322" spans="1:31" x14ac:dyDescent="0.25">
      <c r="A322" s="115" t="s">
        <v>968</v>
      </c>
      <c r="B322" s="58" t="s">
        <v>969</v>
      </c>
      <c r="D322" s="1" t="s">
        <v>970</v>
      </c>
      <c r="K322" s="57">
        <f>1-K321</f>
        <v>0.69996387283236994</v>
      </c>
    </row>
    <row r="323" spans="1:31" x14ac:dyDescent="0.25">
      <c r="A323" s="115" t="s">
        <v>2453</v>
      </c>
      <c r="B323" s="58" t="s">
        <v>2454</v>
      </c>
      <c r="D323" s="1" t="s">
        <v>2455</v>
      </c>
      <c r="K323" s="1" t="s">
        <v>971</v>
      </c>
      <c r="L323" s="1" t="s">
        <v>972</v>
      </c>
      <c r="M323" s="1" t="s">
        <v>973</v>
      </c>
      <c r="N323" s="1" t="s">
        <v>974</v>
      </c>
      <c r="O323" s="1" t="s">
        <v>975</v>
      </c>
    </row>
    <row r="324" spans="1:31" ht="16.2" x14ac:dyDescent="0.25">
      <c r="A324" s="115" t="s">
        <v>2456</v>
      </c>
      <c r="B324" s="611" t="s">
        <v>2550</v>
      </c>
      <c r="D324" s="1" t="s">
        <v>2457</v>
      </c>
      <c r="K324" s="1">
        <f>$K$322^0*(1-$K$322)^4*1</f>
        <v>8.1039024389536404E-3</v>
      </c>
      <c r="L324" s="1">
        <f>$K$322*(1-$K$322)^3*4</f>
        <v>7.5623412284034575E-2</v>
      </c>
      <c r="M324" s="1">
        <f>$K$322^2*(1-$K$322)^2*6</f>
        <v>0.26463641414867611</v>
      </c>
      <c r="N324" s="1">
        <f>$K$322^3*(1-$K$322)^1*4</f>
        <v>0.41158583376524976</v>
      </c>
      <c r="O324" s="1">
        <f>$K$322^4*(1-$K$322)^0*1</f>
        <v>0.24005043736308596</v>
      </c>
    </row>
    <row r="325" spans="1:31" x14ac:dyDescent="0.25">
      <c r="A325" s="115" t="s">
        <v>2458</v>
      </c>
      <c r="B325" s="58" t="s">
        <v>2459</v>
      </c>
      <c r="D325" s="1" t="s">
        <v>2460</v>
      </c>
    </row>
    <row r="326" spans="1:31" x14ac:dyDescent="0.25">
      <c r="A326" s="115" t="s">
        <v>2553</v>
      </c>
      <c r="B326" s="58" t="s">
        <v>425</v>
      </c>
      <c r="C326" s="1" t="s">
        <v>2512</v>
      </c>
      <c r="D326" s="1" t="s">
        <v>2554</v>
      </c>
    </row>
    <row r="327" spans="1:31" x14ac:dyDescent="0.25">
      <c r="A327" s="86" t="s">
        <v>2461</v>
      </c>
      <c r="B327" s="174" t="s">
        <v>2462</v>
      </c>
      <c r="C327" s="86"/>
      <c r="D327" s="86" t="s">
        <v>2463</v>
      </c>
    </row>
    <row r="328" spans="1:31" x14ac:dyDescent="0.25">
      <c r="A328" s="115" t="s">
        <v>2511</v>
      </c>
      <c r="B328" s="58" t="s">
        <v>595</v>
      </c>
      <c r="C328" s="1" t="s">
        <v>2512</v>
      </c>
      <c r="D328" s="1" t="s">
        <v>2513</v>
      </c>
    </row>
    <row r="329" spans="1:31" x14ac:dyDescent="0.25">
      <c r="A329" s="115" t="s">
        <v>2514</v>
      </c>
      <c r="B329" s="58" t="s">
        <v>2515</v>
      </c>
      <c r="C329" s="1" t="s">
        <v>2512</v>
      </c>
      <c r="D329" s="1" t="s">
        <v>2516</v>
      </c>
    </row>
    <row r="330" spans="1:31" x14ac:dyDescent="0.25">
      <c r="A330" s="115" t="s">
        <v>2517</v>
      </c>
      <c r="B330" s="58" t="s">
        <v>368</v>
      </c>
      <c r="C330" s="1" t="s">
        <v>2512</v>
      </c>
      <c r="D330" s="1" t="s">
        <v>2518</v>
      </c>
    </row>
    <row r="331" spans="1:31" x14ac:dyDescent="0.25">
      <c r="A331" s="115" t="s">
        <v>2519</v>
      </c>
      <c r="B331" s="58" t="s">
        <v>266</v>
      </c>
      <c r="C331" s="1" t="s">
        <v>2512</v>
      </c>
      <c r="D331" s="1" t="s">
        <v>2520</v>
      </c>
    </row>
    <row r="332" spans="1:31" x14ac:dyDescent="0.25">
      <c r="A332" s="115" t="s">
        <v>2521</v>
      </c>
      <c r="B332" s="58" t="s">
        <v>2522</v>
      </c>
      <c r="C332" s="1" t="s">
        <v>2512</v>
      </c>
      <c r="D332" s="1" t="s">
        <v>2523</v>
      </c>
    </row>
    <row r="333" spans="1:31" x14ac:dyDescent="0.25">
      <c r="A333" s="115" t="s">
        <v>2524</v>
      </c>
      <c r="B333" s="58" t="s">
        <v>2525</v>
      </c>
      <c r="C333" s="1" t="s">
        <v>2512</v>
      </c>
      <c r="D333" s="1" t="s">
        <v>2526</v>
      </c>
    </row>
    <row r="334" spans="1:31" x14ac:dyDescent="0.25">
      <c r="A334" s="115" t="s">
        <v>2527</v>
      </c>
      <c r="B334" s="58" t="s">
        <v>2528</v>
      </c>
      <c r="C334" s="1" t="s">
        <v>2512</v>
      </c>
      <c r="D334" s="1" t="s">
        <v>2529</v>
      </c>
    </row>
    <row r="335" spans="1:31" x14ac:dyDescent="0.25">
      <c r="A335" s="115" t="s">
        <v>2530</v>
      </c>
      <c r="B335" s="58" t="s">
        <v>164</v>
      </c>
      <c r="C335" s="1" t="s">
        <v>2512</v>
      </c>
      <c r="D335" s="1" t="s">
        <v>2531</v>
      </c>
    </row>
    <row r="336" spans="1:31" x14ac:dyDescent="0.25">
      <c r="A336" s="115" t="s">
        <v>2532</v>
      </c>
      <c r="B336" s="58" t="s">
        <v>2533</v>
      </c>
      <c r="C336" s="1" t="s">
        <v>2512</v>
      </c>
      <c r="D336" s="1" t="s">
        <v>2534</v>
      </c>
    </row>
    <row r="337" spans="1:4" x14ac:dyDescent="0.25">
      <c r="A337" s="115" t="s">
        <v>2535</v>
      </c>
      <c r="B337" s="58" t="s">
        <v>2536</v>
      </c>
      <c r="C337" s="1" t="s">
        <v>2512</v>
      </c>
      <c r="D337" s="1" t="s">
        <v>2537</v>
      </c>
    </row>
    <row r="338" spans="1:4" x14ac:dyDescent="0.25">
      <c r="A338" s="115" t="s">
        <v>2538</v>
      </c>
      <c r="B338" s="75">
        <f>30*60</f>
        <v>1800</v>
      </c>
      <c r="C338" s="1" t="s">
        <v>2512</v>
      </c>
      <c r="D338" s="1" t="s">
        <v>2539</v>
      </c>
    </row>
    <row r="339" spans="1:4" x14ac:dyDescent="0.25">
      <c r="A339" s="115" t="s">
        <v>2540</v>
      </c>
      <c r="B339" s="58" t="s">
        <v>266</v>
      </c>
      <c r="C339" s="1" t="s">
        <v>2512</v>
      </c>
      <c r="D339" s="1" t="s">
        <v>2541</v>
      </c>
    </row>
    <row r="340" spans="1:4" x14ac:dyDescent="0.25">
      <c r="A340" s="115" t="s">
        <v>2542</v>
      </c>
      <c r="B340" s="55" t="s">
        <v>2555</v>
      </c>
      <c r="C340" s="1" t="s">
        <v>2512</v>
      </c>
      <c r="D340" s="1" t="s">
        <v>2543</v>
      </c>
    </row>
    <row r="341" spans="1:4" x14ac:dyDescent="0.25">
      <c r="A341" s="115" t="s">
        <v>2556</v>
      </c>
      <c r="B341" s="58" t="s">
        <v>2557</v>
      </c>
      <c r="C341" s="1" t="s">
        <v>2512</v>
      </c>
      <c r="D341" s="1" t="s">
        <v>2558</v>
      </c>
    </row>
    <row r="342" spans="1:4" x14ac:dyDescent="0.25">
      <c r="A342" s="115" t="s">
        <v>2559</v>
      </c>
      <c r="B342" s="58" t="s">
        <v>1699</v>
      </c>
      <c r="C342" s="1" t="s">
        <v>2512</v>
      </c>
      <c r="D342" s="1" t="s">
        <v>2560</v>
      </c>
    </row>
    <row r="343" spans="1:4" x14ac:dyDescent="0.25">
      <c r="A343" s="1" t="s">
        <v>2561</v>
      </c>
      <c r="B343" s="648" t="s">
        <v>2562</v>
      </c>
      <c r="D343" s="1" t="s">
        <v>2563</v>
      </c>
    </row>
    <row r="344" spans="1:4" x14ac:dyDescent="0.25">
      <c r="A344" s="1" t="s">
        <v>2564</v>
      </c>
      <c r="B344" s="648" t="s">
        <v>2565</v>
      </c>
      <c r="D344" s="1" t="s">
        <v>2566</v>
      </c>
    </row>
    <row r="345" spans="1:4" x14ac:dyDescent="0.25">
      <c r="A345" s="115" t="s">
        <v>2567</v>
      </c>
      <c r="B345" s="58" t="s">
        <v>425</v>
      </c>
      <c r="C345" s="1" t="s">
        <v>2512</v>
      </c>
      <c r="D345" s="1" t="s">
        <v>2568</v>
      </c>
    </row>
  </sheetData>
  <mergeCells count="5">
    <mergeCell ref="I316:I317"/>
    <mergeCell ref="L39:L40"/>
    <mergeCell ref="W267:W268"/>
    <mergeCell ref="AF316:AF317"/>
    <mergeCell ref="AG316:AG317"/>
  </mergeCells>
  <phoneticPr fontId="64" type="noConversion"/>
  <conditionalFormatting sqref="B21">
    <cfRule type="containsText" dxfId="2669" priority="23" operator="containsText" text=".">
      <formula>NOT(ISERROR(SEARCH(".",B21)))</formula>
    </cfRule>
  </conditionalFormatting>
  <conditionalFormatting sqref="B26">
    <cfRule type="containsText" dxfId="2668" priority="120" operator="containsText" text=".">
      <formula>NOT(ISERROR(SEARCH(".",B26)))</formula>
    </cfRule>
    <cfRule type="containsText" dxfId="2667" priority="121" operator="containsText" text=" ">
      <formula>NOT(ISERROR(SEARCH(" ",B26)))</formula>
    </cfRule>
  </conditionalFormatting>
  <conditionalFormatting sqref="B50">
    <cfRule type="containsText" dxfId="2666" priority="185" operator="containsText" text=".">
      <formula>NOT(ISERROR(SEARCH(".",B50)))</formula>
    </cfRule>
    <cfRule type="containsText" dxfId="2665" priority="186" operator="containsText" text=" ">
      <formula>NOT(ISERROR(SEARCH(" ",B50)))</formula>
    </cfRule>
  </conditionalFormatting>
  <conditionalFormatting sqref="B52">
    <cfRule type="containsText" dxfId="2664" priority="131" operator="containsText" text=".">
      <formula>NOT(ISERROR(SEARCH(".",B52)))</formula>
    </cfRule>
    <cfRule type="containsText" dxfId="2663" priority="132" operator="containsText" text=" ">
      <formula>NOT(ISERROR(SEARCH(" ",B52)))</formula>
    </cfRule>
  </conditionalFormatting>
  <conditionalFormatting sqref="B53">
    <cfRule type="containsText" dxfId="2662" priority="128" operator="containsText" text=".">
      <formula>NOT(ISERROR(SEARCH(".",B53)))</formula>
    </cfRule>
    <cfRule type="containsText" dxfId="2661" priority="129" operator="containsText" text=" ">
      <formula>NOT(ISERROR(SEARCH(" ",B53)))</formula>
    </cfRule>
  </conditionalFormatting>
  <conditionalFormatting sqref="A121">
    <cfRule type="containsText" dxfId="2660" priority="192" operator="containsText" text=" ">
      <formula>NOT(ISERROR(SEARCH(" ",A121)))</formula>
    </cfRule>
  </conditionalFormatting>
  <conditionalFormatting sqref="A122:B122">
    <cfRule type="containsText" dxfId="2659" priority="211" operator="containsText" text=" ">
      <formula>NOT(ISERROR(SEARCH(" ",A122)))</formula>
    </cfRule>
  </conditionalFormatting>
  <conditionalFormatting sqref="A126">
    <cfRule type="containsText" dxfId="2658" priority="207" operator="containsText" text=" ">
      <formula>NOT(ISERROR(SEARCH(" ",A126)))</formula>
    </cfRule>
  </conditionalFormatting>
  <conditionalFormatting sqref="E130">
    <cfRule type="containsText" dxfId="2657" priority="112" operator="containsText" text=" ">
      <formula>NOT(ISERROR(SEARCH(" ",E130)))</formula>
    </cfRule>
  </conditionalFormatting>
  <conditionalFormatting sqref="A133">
    <cfRule type="containsText" dxfId="2656" priority="209" operator="containsText" text=" ">
      <formula>NOT(ISERROR(SEARCH(" ",A133)))</formula>
    </cfRule>
  </conditionalFormatting>
  <conditionalFormatting sqref="B135">
    <cfRule type="containsText" dxfId="2655" priority="170" operator="containsText" text=".">
      <formula>NOT(ISERROR(SEARCH(".",B135)))</formula>
    </cfRule>
    <cfRule type="containsText" dxfId="2654" priority="171" operator="containsText" text=" ">
      <formula>NOT(ISERROR(SEARCH(" ",B135)))</formula>
    </cfRule>
  </conditionalFormatting>
  <conditionalFormatting sqref="F135:H135">
    <cfRule type="containsText" dxfId="2653" priority="183" operator="containsText" text=" ">
      <formula>NOT(ISERROR(SEARCH(" ",F135)))</formula>
    </cfRule>
  </conditionalFormatting>
  <conditionalFormatting sqref="B136">
    <cfRule type="containsText" dxfId="2652" priority="176" operator="containsText" text=".">
      <formula>NOT(ISERROR(SEARCH(".",B136)))</formula>
    </cfRule>
    <cfRule type="containsText" dxfId="2651" priority="177" operator="containsText" text=" ">
      <formula>NOT(ISERROR(SEARCH(" ",B136)))</formula>
    </cfRule>
  </conditionalFormatting>
  <conditionalFormatting sqref="B137">
    <cfRule type="containsText" dxfId="2650" priority="168" operator="containsText" text=".">
      <formula>NOT(ISERROR(SEARCH(".",B137)))</formula>
    </cfRule>
    <cfRule type="containsText" dxfId="2649" priority="169" operator="containsText" text=" ">
      <formula>NOT(ISERROR(SEARCH(" ",B137)))</formula>
    </cfRule>
  </conditionalFormatting>
  <conditionalFormatting sqref="B149">
    <cfRule type="containsText" dxfId="2648" priority="179" operator="containsText" text=" ">
      <formula>NOT(ISERROR(SEARCH(" ",B149)))</formula>
    </cfRule>
  </conditionalFormatting>
  <conditionalFormatting sqref="B150">
    <cfRule type="containsText" dxfId="2647" priority="180" operator="containsText" text=" ">
      <formula>NOT(ISERROR(SEARCH(" ",B150)))</formula>
    </cfRule>
  </conditionalFormatting>
  <conditionalFormatting sqref="A152:B152">
    <cfRule type="containsText" dxfId="2646" priority="201" operator="containsText" text=" ">
      <formula>NOT(ISERROR(SEARCH(" ",A152)))</formula>
    </cfRule>
  </conditionalFormatting>
  <conditionalFormatting sqref="D152">
    <cfRule type="containsText" dxfId="2645" priority="202" operator="containsText" text=" ">
      <formula>NOT(ISERROR(SEARCH(" ",D152)))</formula>
    </cfRule>
  </conditionalFormatting>
  <conditionalFormatting sqref="E186">
    <cfRule type="containsText" dxfId="2644" priority="115" operator="containsText" text=" ">
      <formula>NOT(ISERROR(SEARCH(" ",E186)))</formula>
    </cfRule>
  </conditionalFormatting>
  <conditionalFormatting sqref="E187">
    <cfRule type="containsText" dxfId="2643" priority="116" operator="containsText" text=" ">
      <formula>NOT(ISERROR(SEARCH(" ",E187)))</formula>
    </cfRule>
  </conditionalFormatting>
  <conditionalFormatting sqref="N200">
    <cfRule type="containsText" dxfId="2642" priority="161" operator="containsText" text=" ">
      <formula>NOT(ISERROR(SEARCH(" ",N200)))</formula>
    </cfRule>
  </conditionalFormatting>
  <conditionalFormatting sqref="D222">
    <cfRule type="containsText" dxfId="2641" priority="160" operator="containsText" text=" ">
      <formula>NOT(ISERROR(SEARCH(" ",D222)))</formula>
    </cfRule>
  </conditionalFormatting>
  <conditionalFormatting sqref="A225">
    <cfRule type="containsText" dxfId="2640" priority="157" operator="containsText" text=" ">
      <formula>NOT(ISERROR(SEARCH(" ",A225)))</formula>
    </cfRule>
  </conditionalFormatting>
  <conditionalFormatting sqref="A227">
    <cfRule type="containsText" dxfId="2639" priority="154" operator="containsText" text=" ">
      <formula>NOT(ISERROR(SEARCH(" ",A227)))</formula>
    </cfRule>
  </conditionalFormatting>
  <conditionalFormatting sqref="A228:B228">
    <cfRule type="containsText" dxfId="2638" priority="156" operator="containsText" text=" ">
      <formula>NOT(ISERROR(SEARCH(" ",A228)))</formula>
    </cfRule>
  </conditionalFormatting>
  <conditionalFormatting sqref="A229">
    <cfRule type="containsText" dxfId="2637" priority="150" operator="containsText" text=" ">
      <formula>NOT(ISERROR(SEARCH(" ",A229)))</formula>
    </cfRule>
  </conditionalFormatting>
  <conditionalFormatting sqref="D229">
    <cfRule type="containsText" dxfId="2636" priority="153" operator="containsText" text=" ">
      <formula>NOT(ISERROR(SEARCH(" ",D229)))</formula>
    </cfRule>
  </conditionalFormatting>
  <conditionalFormatting sqref="A230">
    <cfRule type="containsText" dxfId="2635" priority="152" operator="containsText" text=" ">
      <formula>NOT(ISERROR(SEARCH(" ",A230)))</formula>
    </cfRule>
  </conditionalFormatting>
  <conditionalFormatting sqref="B230">
    <cfRule type="containsText" dxfId="2634" priority="145" operator="containsText" text=".">
      <formula>NOT(ISERROR(SEARCH(".",B230)))</formula>
    </cfRule>
    <cfRule type="containsText" dxfId="2633" priority="146" operator="containsText" text=" ">
      <formula>NOT(ISERROR(SEARCH(" ",B230)))</formula>
    </cfRule>
  </conditionalFormatting>
  <conditionalFormatting sqref="A231">
    <cfRule type="containsText" dxfId="2632" priority="138" operator="containsText" text=" ">
      <formula>NOT(ISERROR(SEARCH(" ",A231)))</formula>
    </cfRule>
  </conditionalFormatting>
  <conditionalFormatting sqref="D231">
    <cfRule type="containsText" dxfId="2631" priority="143" operator="containsText" text=" ">
      <formula>NOT(ISERROR(SEARCH(" ",D231)))</formula>
    </cfRule>
  </conditionalFormatting>
  <conditionalFormatting sqref="A232">
    <cfRule type="containsText" dxfId="2630" priority="137" operator="containsText" text=" ">
      <formula>NOT(ISERROR(SEARCH(" ",A232)))</formula>
    </cfRule>
  </conditionalFormatting>
  <conditionalFormatting sqref="B232">
    <cfRule type="containsText" dxfId="2629" priority="135" operator="containsText" text=".">
      <formula>NOT(ISERROR(SEARCH(".",B232)))</formula>
    </cfRule>
    <cfRule type="containsText" dxfId="2628" priority="136" operator="containsText" text=" ">
      <formula>NOT(ISERROR(SEARCH(" ",B232)))</formula>
    </cfRule>
  </conditionalFormatting>
  <conditionalFormatting sqref="A233:XFD233">
    <cfRule type="containsText" dxfId="2627" priority="149" operator="containsText" text=" ">
      <formula>NOT(ISERROR(SEARCH(" ",A233)))</formula>
    </cfRule>
  </conditionalFormatting>
  <conditionalFormatting sqref="A234">
    <cfRule type="containsText" dxfId="2626" priority="147" operator="containsText" text=" ">
      <formula>NOT(ISERROR(SEARCH(" ",A234)))</formula>
    </cfRule>
  </conditionalFormatting>
  <conditionalFormatting sqref="C234">
    <cfRule type="containsText" dxfId="2625" priority="82" operator="containsText" text=" ">
      <formula>NOT(ISERROR(SEARCH(" ",C234)))</formula>
    </cfRule>
  </conditionalFormatting>
  <conditionalFormatting sqref="G250:H250">
    <cfRule type="containsText" dxfId="2624" priority="88" operator="containsText" text=" ">
      <formula>NOT(ISERROR(SEARCH(" ",G250)))</formula>
    </cfRule>
  </conditionalFormatting>
  <conditionalFormatting sqref="B253">
    <cfRule type="containsText" dxfId="2623" priority="99" operator="containsText" text=".">
      <formula>NOT(ISERROR(SEARCH(".",B253)))</formula>
    </cfRule>
  </conditionalFormatting>
  <conditionalFormatting sqref="L253">
    <cfRule type="containsText" dxfId="2622" priority="100" operator="containsText" text=".">
      <formula>NOT(ISERROR(SEARCH(".",L253)))</formula>
    </cfRule>
  </conditionalFormatting>
  <conditionalFormatting sqref="A256:F256">
    <cfRule type="containsText" dxfId="2621" priority="122" operator="containsText" text=" ">
      <formula>NOT(ISERROR(SEARCH(" ",A256)))</formula>
    </cfRule>
  </conditionalFormatting>
  <conditionalFormatting sqref="O266">
    <cfRule type="containsText" dxfId="2620" priority="97" operator="containsText" text=" ">
      <formula>NOT(ISERROR(SEARCH(" ",O266)))</formula>
    </cfRule>
  </conditionalFormatting>
  <conditionalFormatting sqref="L268:N268">
    <cfRule type="containsText" dxfId="2619" priority="92" operator="containsText" text=" ">
      <formula>NOT(ISERROR(SEARCH(" ",L268)))</formula>
    </cfRule>
  </conditionalFormatting>
  <conditionalFormatting sqref="O268:P268">
    <cfRule type="containsText" dxfId="2618" priority="93" operator="containsText" text=" ">
      <formula>NOT(ISERROR(SEARCH(" ",O268)))</formula>
    </cfRule>
  </conditionalFormatting>
  <conditionalFormatting sqref="Q268">
    <cfRule type="containsText" dxfId="2617" priority="91" operator="containsText" text=" ">
      <formula>NOT(ISERROR(SEARCH(" ",Q268)))</formula>
    </cfRule>
  </conditionalFormatting>
  <conditionalFormatting sqref="V268">
    <cfRule type="containsText" dxfId="2616" priority="95" operator="containsText" text=" ">
      <formula>NOT(ISERROR(SEARCH(" ",V268)))</formula>
    </cfRule>
  </conditionalFormatting>
  <conditionalFormatting sqref="X268">
    <cfRule type="containsText" dxfId="2615" priority="94" operator="containsText" text=" ">
      <formula>NOT(ISERROR(SEARCH(" ",X268)))</formula>
    </cfRule>
  </conditionalFormatting>
  <conditionalFormatting sqref="B271">
    <cfRule type="containsText" dxfId="2614" priority="89" operator="containsText" text=" ">
      <formula>NOT(ISERROR(SEARCH(" ",B271)))</formula>
    </cfRule>
    <cfRule type="containsText" dxfId="2613" priority="90" operator="containsText" text=".">
      <formula>NOT(ISERROR(SEARCH(".",B271)))</formula>
    </cfRule>
  </conditionalFormatting>
  <conditionalFormatting sqref="A274:D274">
    <cfRule type="containsText" dxfId="2612" priority="87" operator="containsText" text=" ">
      <formula>NOT(ISERROR(SEARCH(" ",A274)))</formula>
    </cfRule>
  </conditionalFormatting>
  <conditionalFormatting sqref="B274">
    <cfRule type="containsText" dxfId="2611" priority="86" operator="containsText" text=".">
      <formula>NOT(ISERROR(SEARCH(".",B274)))</formula>
    </cfRule>
  </conditionalFormatting>
  <conditionalFormatting sqref="B278">
    <cfRule type="containsText" dxfId="2610" priority="55" operator="containsText" text=".">
      <formula>NOT(ISERROR(SEARCH(".",B278)))</formula>
    </cfRule>
  </conditionalFormatting>
  <conditionalFormatting sqref="B280">
    <cfRule type="containsText" dxfId="2609" priority="85" operator="containsText" text=".">
      <formula>NOT(ISERROR(SEARCH(".",B280)))</formula>
    </cfRule>
  </conditionalFormatting>
  <conditionalFormatting sqref="B289">
    <cfRule type="containsText" dxfId="2608" priority="78" operator="containsText" text=" ">
      <formula>NOT(ISERROR(SEARCH(" ",B289)))</formula>
    </cfRule>
    <cfRule type="containsText" dxfId="2607" priority="79" operator="containsText" text=".">
      <formula>NOT(ISERROR(SEARCH(".",B289)))</formula>
    </cfRule>
  </conditionalFormatting>
  <conditionalFormatting sqref="B291">
    <cfRule type="containsText" dxfId="2606" priority="76" operator="containsText" text=".">
      <formula>NOT(ISERROR(SEARCH(".",B291)))</formula>
    </cfRule>
    <cfRule type="containsText" dxfId="2605" priority="77" operator="containsText" text=" ">
      <formula>NOT(ISERROR(SEARCH(" ",B291)))</formula>
    </cfRule>
  </conditionalFormatting>
  <conditionalFormatting sqref="B293">
    <cfRule type="containsText" dxfId="2604" priority="74" operator="containsText" text=".">
      <formula>NOT(ISERROR(SEARCH(".",B293)))</formula>
    </cfRule>
    <cfRule type="containsText" dxfId="2603" priority="75" operator="containsText" text=" ">
      <formula>NOT(ISERROR(SEARCH(" ",B293)))</formula>
    </cfRule>
  </conditionalFormatting>
  <conditionalFormatting sqref="B296">
    <cfRule type="containsText" dxfId="2602" priority="72" operator="containsText" text=".">
      <formula>NOT(ISERROR(SEARCH(".",B296)))</formula>
    </cfRule>
  </conditionalFormatting>
  <conditionalFormatting sqref="A304:D304">
    <cfRule type="containsText" dxfId="2601" priority="70" operator="containsText" text=" ">
      <formula>NOT(ISERROR(SEARCH(" ",A304)))</formula>
    </cfRule>
  </conditionalFormatting>
  <conditionalFormatting sqref="B304">
    <cfRule type="containsText" dxfId="2600" priority="71" operator="containsText" text=".">
      <formula>NOT(ISERROR(SEARCH(".",B304)))</formula>
    </cfRule>
  </conditionalFormatting>
  <conditionalFormatting sqref="B311">
    <cfRule type="containsText" dxfId="2599" priority="66" operator="containsText" text=".">
      <formula>NOT(ISERROR(SEARCH(".",B311)))</formula>
    </cfRule>
    <cfRule type="containsText" dxfId="2598" priority="67" operator="containsText" text=" ">
      <formula>NOT(ISERROR(SEARCH(" ",B311)))</formula>
    </cfRule>
  </conditionalFormatting>
  <conditionalFormatting sqref="AD317">
    <cfRule type="containsText" dxfId="2597" priority="52" operator="containsText" text=" ">
      <formula>NOT(ISERROR(SEARCH(" ",AD317)))</formula>
    </cfRule>
  </conditionalFormatting>
  <conditionalFormatting sqref="B318">
    <cfRule type="containsText" dxfId="2596" priority="62" operator="containsText" text=".">
      <formula>NOT(ISERROR(SEARCH(".",B318)))</formula>
    </cfRule>
    <cfRule type="containsText" dxfId="2595" priority="63" operator="containsText" text=" ">
      <formula>NOT(ISERROR(SEARCH(" ",B318)))</formula>
    </cfRule>
  </conditionalFormatting>
  <conditionalFormatting sqref="G318">
    <cfRule type="containsText" dxfId="2594" priority="30" operator="containsText" text=".">
      <formula>NOT(ISERROR(SEARCH(".",G318)))</formula>
    </cfRule>
    <cfRule type="containsText" dxfId="2593" priority="31" operator="containsText" text=" ">
      <formula>NOT(ISERROR(SEARCH(" ",G318)))</formula>
    </cfRule>
  </conditionalFormatting>
  <conditionalFormatting sqref="Z318:AA318">
    <cfRule type="containsText" dxfId="2592" priority="48" operator="containsText" text=" ">
      <formula>NOT(ISERROR(SEARCH(" ",Z318)))</formula>
    </cfRule>
  </conditionalFormatting>
  <conditionalFormatting sqref="AB318:AC318">
    <cfRule type="containsText" dxfId="2591" priority="47" operator="containsText" text=" ">
      <formula>NOT(ISERROR(SEARCH(" ",AB318)))</formula>
    </cfRule>
  </conditionalFormatting>
  <conditionalFormatting sqref="AD318:AE318">
    <cfRule type="containsText" dxfId="2590" priority="46" operator="containsText" text=" ">
      <formula>NOT(ISERROR(SEARCH(" ",AD318)))</formula>
    </cfRule>
  </conditionalFormatting>
  <conditionalFormatting sqref="B319">
    <cfRule type="containsText" dxfId="2589" priority="58" operator="containsText" text=".">
      <formula>NOT(ISERROR(SEARCH(".",B319)))</formula>
    </cfRule>
    <cfRule type="containsText" dxfId="2588" priority="59" operator="containsText" text=" ">
      <formula>NOT(ISERROR(SEARCH(" ",B319)))</formula>
    </cfRule>
  </conditionalFormatting>
  <conditionalFormatting sqref="G319">
    <cfRule type="containsText" dxfId="2587" priority="28" operator="containsText" text=".">
      <formula>NOT(ISERROR(SEARCH(".",G319)))</formula>
    </cfRule>
    <cfRule type="containsText" dxfId="2586" priority="29" operator="containsText" text=" ">
      <formula>NOT(ISERROR(SEARCH(" ",G319)))</formula>
    </cfRule>
  </conditionalFormatting>
  <conditionalFormatting sqref="B320">
    <cfRule type="containsText" dxfId="2585" priority="32" operator="containsText" text=" ">
      <formula>NOT(ISERROR(SEARCH(" ",B320)))</formula>
    </cfRule>
    <cfRule type="containsText" dxfId="2584" priority="33" operator="containsText" text=".">
      <formula>NOT(ISERROR(SEARCH(".",B320)))</formula>
    </cfRule>
    <cfRule type="containsText" dxfId="2583" priority="34" operator="containsText" text=" ">
      <formula>NOT(ISERROR(SEARCH(" ",B320)))</formula>
    </cfRule>
  </conditionalFormatting>
  <conditionalFormatting sqref="G320">
    <cfRule type="containsText" dxfId="2582" priority="26" operator="containsText" text=".">
      <formula>NOT(ISERROR(SEARCH(".",G320)))</formula>
    </cfRule>
    <cfRule type="containsText" dxfId="2581" priority="27" operator="containsText" text=" ">
      <formula>NOT(ISERROR(SEARCH(" ",G320)))</formula>
    </cfRule>
  </conditionalFormatting>
  <conditionalFormatting sqref="A65:A66">
    <cfRule type="containsText" dxfId="2580" priority="224" operator="containsText" text=" ">
      <formula>NOT(ISERROR(SEARCH(" ",A65)))</formula>
    </cfRule>
  </conditionalFormatting>
  <conditionalFormatting sqref="A131:A132">
    <cfRule type="containsText" dxfId="2579" priority="210" operator="containsText" text=" ">
      <formula>NOT(ISERROR(SEARCH(" ",A131)))</formula>
    </cfRule>
  </conditionalFormatting>
  <conditionalFormatting sqref="B13:B15">
    <cfRule type="containsText" dxfId="2578" priority="217" operator="containsText" text=" ">
      <formula>NOT(ISERROR(SEARCH(" ",B13)))</formula>
    </cfRule>
  </conditionalFormatting>
  <conditionalFormatting sqref="B58:B60">
    <cfRule type="containsText" dxfId="2577" priority="226" operator="containsText" text=" ">
      <formula>NOT(ISERROR(SEARCH(" ",B58)))</formula>
    </cfRule>
  </conditionalFormatting>
  <conditionalFormatting sqref="B142:B145">
    <cfRule type="containsText" dxfId="2576" priority="172" operator="containsText" text=".">
      <formula>NOT(ISERROR(SEARCH(".",B142)))</formula>
    </cfRule>
    <cfRule type="containsText" dxfId="2575" priority="173" operator="containsText" text=" ">
      <formula>NOT(ISERROR(SEARCH(" ",B142)))</formula>
    </cfRule>
  </conditionalFormatting>
  <conditionalFormatting sqref="B147:B148">
    <cfRule type="containsText" dxfId="2574" priority="174" operator="containsText" text=".">
      <formula>NOT(ISERROR(SEARCH(".",B147)))</formula>
    </cfRule>
    <cfRule type="containsText" dxfId="2573" priority="175" operator="containsText" text=" ">
      <formula>NOT(ISERROR(SEARCH(" ",B147)))</formula>
    </cfRule>
  </conditionalFormatting>
  <conditionalFormatting sqref="B200:B201">
    <cfRule type="containsText" dxfId="2572" priority="166" operator="containsText" text=".">
      <formula>NOT(ISERROR(SEARCH(".",B200)))</formula>
    </cfRule>
    <cfRule type="containsText" dxfId="2571" priority="167" operator="containsText" text=" ">
      <formula>NOT(ISERROR(SEARCH(" ",B200)))</formula>
    </cfRule>
  </conditionalFormatting>
  <conditionalFormatting sqref="B285:B286">
    <cfRule type="containsText" dxfId="2570" priority="80" operator="containsText" text=" ">
      <formula>NOT(ISERROR(SEARCH(" ",B285)))</formula>
    </cfRule>
    <cfRule type="containsText" dxfId="2569" priority="81" operator="containsText" text=".">
      <formula>NOT(ISERROR(SEARCH(".",B285)))</formula>
    </cfRule>
  </conditionalFormatting>
  <conditionalFormatting sqref="B305:B310">
    <cfRule type="containsText" dxfId="2568" priority="68" operator="containsText" text=".">
      <formula>NOT(ISERROR(SEARCH(".",B305)))</formula>
    </cfRule>
  </conditionalFormatting>
  <conditionalFormatting sqref="C14:C15">
    <cfRule type="containsText" dxfId="2567" priority="83" operator="containsText" text=" ">
      <formula>NOT(ISERROR(SEARCH(" ",C14)))</formula>
    </cfRule>
  </conditionalFormatting>
  <conditionalFormatting sqref="C130:C152">
    <cfRule type="containsText" dxfId="2566" priority="110" operator="containsText" text=" ">
      <formula>NOT(ISERROR(SEARCH(" ",C130)))</formula>
    </cfRule>
  </conditionalFormatting>
  <conditionalFormatting sqref="C165:C168">
    <cfRule type="containsText" dxfId="2565" priority="109" operator="containsText" text=" ">
      <formula>NOT(ISERROR(SEARCH(" ",C165)))</formula>
    </cfRule>
  </conditionalFormatting>
  <conditionalFormatting sqref="C176:C183">
    <cfRule type="containsText" dxfId="2564" priority="108" operator="containsText" text=" ">
      <formula>NOT(ISERROR(SEARCH(" ",C176)))</formula>
    </cfRule>
  </conditionalFormatting>
  <conditionalFormatting sqref="C186:C187">
    <cfRule type="containsText" dxfId="2563" priority="107" operator="containsText" text=" ">
      <formula>NOT(ISERROR(SEARCH(" ",C186)))</formula>
    </cfRule>
  </conditionalFormatting>
  <conditionalFormatting sqref="C200:C201">
    <cfRule type="containsText" dxfId="2562" priority="106" operator="containsText" text=" ">
      <formula>NOT(ISERROR(SEARCH(" ",C200)))</formula>
    </cfRule>
  </conditionalFormatting>
  <conditionalFormatting sqref="C221:C232">
    <cfRule type="containsText" dxfId="2561" priority="105" operator="containsText" text=" ">
      <formula>NOT(ISERROR(SEARCH(" ",C221)))</formula>
    </cfRule>
  </conditionalFormatting>
  <conditionalFormatting sqref="D120:D121">
    <cfRule type="containsText" dxfId="2560" priority="195" operator="containsText" text=" ">
      <formula>NOT(ISERROR(SEARCH(" ",D120)))</formula>
    </cfRule>
  </conditionalFormatting>
  <conditionalFormatting sqref="E95:E120">
    <cfRule type="containsText" dxfId="2559" priority="111" operator="containsText" text=" ">
      <formula>NOT(ISERROR(SEARCH(" ",E95)))</formula>
    </cfRule>
  </conditionalFormatting>
  <conditionalFormatting sqref="E122:E127">
    <cfRule type="containsText" dxfId="2558" priority="113" operator="containsText" text=" ">
      <formula>NOT(ISERROR(SEARCH(" ",E122)))</formula>
    </cfRule>
  </conditionalFormatting>
  <conditionalFormatting sqref="E131:E152">
    <cfRule type="containsText" dxfId="2557" priority="119" operator="containsText" text=" ">
      <formula>NOT(ISERROR(SEARCH(" ",E131)))</formula>
    </cfRule>
  </conditionalFormatting>
  <conditionalFormatting sqref="E165:E168">
    <cfRule type="containsText" dxfId="2556" priority="118" operator="containsText" text=" ">
      <formula>NOT(ISERROR(SEARCH(" ",E165)))</formula>
    </cfRule>
  </conditionalFormatting>
  <conditionalFormatting sqref="E176:E183">
    <cfRule type="containsText" dxfId="2555" priority="117" operator="containsText" text=" ">
      <formula>NOT(ISERROR(SEARCH(" ",E176)))</formula>
    </cfRule>
  </conditionalFormatting>
  <conditionalFormatting sqref="E200:E201">
    <cfRule type="containsText" dxfId="2554" priority="114" operator="containsText" text=" ">
      <formula>NOT(ISERROR(SEARCH(" ",E200)))</formula>
    </cfRule>
  </conditionalFormatting>
  <conditionalFormatting sqref="P319:P320">
    <cfRule type="containsText" dxfId="2553" priority="45" operator="containsText" text=" ">
      <formula>NOT(ISERROR(SEARCH(" ",P319)))</formula>
    </cfRule>
  </conditionalFormatting>
  <conditionalFormatting sqref="Q319:Q320">
    <cfRule type="containsText" dxfId="2552" priority="40" operator="containsText" text=" ">
      <formula>NOT(ISERROR(SEARCH(" ",Q319)))</formula>
    </cfRule>
  </conditionalFormatting>
  <conditionalFormatting sqref="R319:R320">
    <cfRule type="containsText" dxfId="2551" priority="44" operator="containsText" text=" ">
      <formula>NOT(ISERROR(SEARCH(" ",R319)))</formula>
    </cfRule>
  </conditionalFormatting>
  <conditionalFormatting sqref="S319:S320">
    <cfRule type="containsText" dxfId="2550" priority="39" operator="containsText" text=" ">
      <formula>NOT(ISERROR(SEARCH(" ",S319)))</formula>
    </cfRule>
  </conditionalFormatting>
  <conditionalFormatting sqref="Z319:Z320">
    <cfRule type="containsText" dxfId="2549" priority="43" operator="containsText" text=" ">
      <formula>NOT(ISERROR(SEARCH(" ",Z319)))</formula>
    </cfRule>
  </conditionalFormatting>
  <conditionalFormatting sqref="AA319:AA320">
    <cfRule type="containsText" dxfId="2548" priority="38" operator="containsText" text=" ">
      <formula>NOT(ISERROR(SEARCH(" ",AA319)))</formula>
    </cfRule>
  </conditionalFormatting>
  <conditionalFormatting sqref="AB319:AB320">
    <cfRule type="containsText" dxfId="2547" priority="42" operator="containsText" text=" ">
      <formula>NOT(ISERROR(SEARCH(" ",AB319)))</formula>
    </cfRule>
  </conditionalFormatting>
  <conditionalFormatting sqref="AC319:AC320">
    <cfRule type="containsText" dxfId="2546" priority="37" operator="containsText" text=" ">
      <formula>NOT(ISERROR(SEARCH(" ",AC319)))</formula>
    </cfRule>
  </conditionalFormatting>
  <conditionalFormatting sqref="AD319:AD320">
    <cfRule type="containsText" dxfId="2545" priority="41" operator="containsText" text=" ">
      <formula>NOT(ISERROR(SEARCH(" ",AD319)))</formula>
    </cfRule>
  </conditionalFormatting>
  <conditionalFormatting sqref="AE319:AE320">
    <cfRule type="containsText" dxfId="2544" priority="36" operator="containsText" text=" ">
      <formula>NOT(ISERROR(SEARCH(" ",AE319)))</formula>
    </cfRule>
  </conditionalFormatting>
  <conditionalFormatting sqref="D53 A1:XFD9 A11:XFD12 A10:D10 F10:XFD10">
    <cfRule type="containsText" dxfId="2543" priority="127" operator="containsText" text=" ">
      <formula>NOT(ISERROR(SEARCH(" ",A1)))</formula>
    </cfRule>
  </conditionalFormatting>
  <conditionalFormatting sqref="B182:B183 B1:B20 B27:B38 B22:B25">
    <cfRule type="containsText" dxfId="2542" priority="188" operator="containsText" text=".">
      <formula>NOT(ISERROR(SEARCH(".",B1)))</formula>
    </cfRule>
  </conditionalFormatting>
  <conditionalFormatting sqref="C13 L300:XFD300 K301 F291:XFD293 A298:XFD299 G297:XFD297 C295:XFD296 A295:A297 C300:J300 A300:A301">
    <cfRule type="containsText" dxfId="2541" priority="84" operator="containsText" text=" ">
      <formula>NOT(ISERROR(SEARCH(" ",A13)))</formula>
    </cfRule>
  </conditionalFormatting>
  <conditionalFormatting sqref="A49 C49:XFD49 A54:XFD55 I87:XFD88 A87:G88 C89:XFD91 A89:A91 L14:XFD14 A13:A16 D13:XFD13 A38:C38 E38:XFD38 F118:XFD118 O29:XFD37 A58:A63 C58:XFD60 J61:XFD63 B61:H63 D119 A134 A123:B125 A128:H129 I126:XFD134 D149 A93:XFD94 E121:I121 A136:A149 A110 A70:XFD86 E50:XFD50 A111:B116 I136:XFD148 D136:D147 D134 K21:K24 M21:N24 K16:N18 Q26:XFD28 O16:XFD19 D96:D98 D101:D106 A57:XFD57 A56:D56 F56:XFD56 A27:J37 A26 C26:J26 F149:XFD149 F123:XFD125 A127:B127 F127:H127 A130:B130 F130:H130 A95:D95 F95:XFD107 F119:I120 D127 D123:D125 C110:C127 D130 D67 A67:B69 D68:XFD69 B64:XFD66 D14:J15 Q15:XFD15 A46:XFD48 A17:J20 A22:J25 L19:L24 O20:P25 Q22:Q23 R22:XFD25 Q20:XFD20">
    <cfRule type="containsText" dxfId="2540" priority="228" operator="containsText" text=" ">
      <formula>NOT(ISERROR(SEARCH(" ",A13)))</formula>
    </cfRule>
  </conditionalFormatting>
  <conditionalFormatting sqref="C69 C16:E16 K15:P15 G16:J16">
    <cfRule type="containsText" dxfId="2539" priority="101" operator="containsText" text=" ">
      <formula>NOT(ISERROR(SEARCH(" ",C15)))</formula>
    </cfRule>
  </conditionalFormatting>
  <conditionalFormatting sqref="B16 A151:B151 A150 A184:XFD185 A199:A201 K203 K205 K207 K209 K211 K213 N201:XFD201 O200:XFD200 M201:M213 N202:N213 A153:XFD164 F150:XFD152 A165:B167 F165:XFD167 A188:XFD198 A186:B187 F186:XFD187 D150:D151 D165:D167 D186:D187">
    <cfRule type="containsText" dxfId="2538" priority="213" operator="containsText" text=" ">
      <formula>NOT(ISERROR(SEARCH(" ",A16)))</formula>
    </cfRule>
  </conditionalFormatting>
  <conditionalFormatting sqref="D38 F131:H134 D148 M119:XFD122 H118:L125 D122 F136:H148 F122:I122 M19:N20 K19:K20">
    <cfRule type="containsText" dxfId="2537" priority="216" operator="containsText" text=" ">
      <formula>NOT(ISERROR(SEARCH(" ",D19)))</formula>
    </cfRule>
  </conditionalFormatting>
  <conditionalFormatting sqref="Q21:XFD21 A21:J21">
    <cfRule type="containsText" dxfId="2536" priority="25" operator="containsText" text=" ">
      <formula>NOT(ISERROR(SEARCH(" ",A21)))</formula>
    </cfRule>
  </conditionalFormatting>
  <conditionalFormatting sqref="L25 A96:C109 D108:D117 F108:XFD117">
    <cfRule type="containsText" dxfId="2535" priority="124" operator="containsText" text=" ">
      <formula>NOT(ISERROR(SEARCH(" ",A25)))</formula>
    </cfRule>
  </conditionalFormatting>
  <conditionalFormatting sqref="K25 M25:N25 G256:XFD256 A267:A268 R268:U268 Y266:XFD268 E270:J270 A271 C271:J271 A253:XFD255 A303:XFD303 E304:E311 E313:E325 D241:XFD241 A312:A321 B313 A302 B317:B318 C302:XFD302 C301:J301 L301:XFD301 A280:XFD284 F285:XFD290 A242:XFD249 A241:B241 F320 B321:D322 C319:D320 F323:XFD325 F322:J322 L322:XFD322 N328:XFD339 A346:XFD1048576 E327:XFD327">
    <cfRule type="containsText" dxfId="2534" priority="126" operator="containsText" text=" ">
      <formula>NOT(ISERROR(SEARCH(" ",A25)))</formula>
    </cfRule>
  </conditionalFormatting>
  <conditionalFormatting sqref="B51 A39:D39 A41:D45">
    <cfRule type="containsText" dxfId="2533" priority="218" operator="containsText" text=" ">
      <formula>NOT(ISERROR(SEARCH(" ",A39)))</formula>
    </cfRule>
  </conditionalFormatting>
  <conditionalFormatting sqref="B152 B39 B41:B45">
    <cfRule type="containsText" dxfId="2532" priority="200" operator="containsText" text=".">
      <formula>NOT(ISERROR(SEARCH(".",B39)))</formula>
    </cfRule>
  </conditionalFormatting>
  <conditionalFormatting sqref="E39:XFD39 E41:XFD45 E40:K40 M40:XFD40">
    <cfRule type="containsText" dxfId="2531" priority="165" operator="containsText" text=" ">
      <formula>NOT(ISERROR(SEARCH(" ",E39)))</formula>
    </cfRule>
  </conditionalFormatting>
  <conditionalFormatting sqref="A40 K67:XFD67 E67:I67">
    <cfRule type="containsText" dxfId="2530" priority="134" operator="containsText" text=" ">
      <formula>NOT(ISERROR(SEARCH(" ",A40)))</formula>
    </cfRule>
  </conditionalFormatting>
  <conditionalFormatting sqref="B151 B51 B111:B130 B184:B198 B153:B167 B46:B49">
    <cfRule type="containsText" dxfId="2529" priority="205" operator="containsText" text=".">
      <formula>NOT(ISERROR(SEARCH(".",B46)))</formula>
    </cfRule>
  </conditionalFormatting>
  <conditionalFormatting sqref="B49 F199:XFD199 B199:D199">
    <cfRule type="containsText" dxfId="2528" priority="227" operator="containsText" text=" ">
      <formula>NOT(ISERROR(SEARCH(" ",B49)))</formula>
    </cfRule>
  </conditionalFormatting>
  <conditionalFormatting sqref="A50 C50:D50">
    <cfRule type="containsText" dxfId="2527" priority="187" operator="containsText" text=" ">
      <formula>NOT(ISERROR(SEARCH(" ",A50)))</formula>
    </cfRule>
  </conditionalFormatting>
  <conditionalFormatting sqref="A51 C51:XFD51">
    <cfRule type="containsText" dxfId="2526" priority="219" operator="containsText" text=" ">
      <formula>NOT(ISERROR(SEARCH(" ",A51)))</formula>
    </cfRule>
  </conditionalFormatting>
  <conditionalFormatting sqref="A52 C52:XFD52">
    <cfRule type="containsText" dxfId="2525" priority="133" operator="containsText" text=" ">
      <formula>NOT(ISERROR(SEARCH(" ",A52)))</formula>
    </cfRule>
  </conditionalFormatting>
  <conditionalFormatting sqref="A53 C53 E53:XFD53">
    <cfRule type="containsText" dxfId="2524" priority="130" operator="containsText" text=" ">
      <formula>NOT(ISERROR(SEARCH(" ",A53)))</formula>
    </cfRule>
  </conditionalFormatting>
  <conditionalFormatting sqref="B256 B54:B109">
    <cfRule type="containsText" dxfId="2523" priority="123" operator="containsText" text=".">
      <formula>NOT(ISERROR(SEARCH(".",B54)))</formula>
    </cfRule>
  </conditionalFormatting>
  <conditionalFormatting sqref="A64 A169:XFD175 A168:B168 F168:XFD168 F176:XFD181 D168 A176:B181 D176:D181">
    <cfRule type="containsText" dxfId="2522" priority="225" operator="containsText" text=" ">
      <formula>NOT(ISERROR(SEARCH(" ",A64)))</formula>
    </cfRule>
  </conditionalFormatting>
  <conditionalFormatting sqref="J66 B272:B273 B250:B252 B275:B277 B281:B284 B295 B298:B299 B303 B313 B317:B318 B321:B322 B279 B346:B1048576">
    <cfRule type="containsText" dxfId="2521" priority="98" operator="containsText" text=".">
      <formula>NOT(ISERROR(SEARCH(".",B66)))</formula>
    </cfRule>
  </conditionalFormatting>
  <conditionalFormatting sqref="C67 L265:L266 K267:R267 R266 O265:R265 T267:W267 V265:V266 A257:XFD260 A261:J265 K263:X264 X266:X267 Y261:XFD265 W265:X265 C267:D268 E266:J269 A269:D270">
    <cfRule type="containsText" dxfId="2520" priority="104" operator="containsText" text=" ">
      <formula>NOT(ISERROR(SEARCH(" ",A67)))</formula>
    </cfRule>
  </conditionalFormatting>
  <conditionalFormatting sqref="C68 A272:J273 A251:J252 L269:XFD277 L250:XFD252 A250:F250 I250:J250 E274:J274 A275:J277 A279:J279 L279:XFD279">
    <cfRule type="containsText" dxfId="2519" priority="102" operator="containsText" text=" ">
      <formula>NOT(ISERROR(SEARCH(" ",A68)))</formula>
    </cfRule>
  </conditionalFormatting>
  <conditionalFormatting sqref="B89 B91">
    <cfRule type="containsText" dxfId="2518" priority="223" operator="containsText" text=" ">
      <formula>NOT(ISERROR(SEARCH(" ",B89)))</formula>
    </cfRule>
  </conditionalFormatting>
  <conditionalFormatting sqref="B90 C297:F297 C294:XFD294 B295:B296 A294">
    <cfRule type="containsText" dxfId="2517" priority="222" operator="containsText" text=" ">
      <formula>NOT(ISERROR(SEARCH(" ",A90)))</formula>
    </cfRule>
  </conditionalFormatting>
  <conditionalFormatting sqref="B92 A235:XFD239 A240:B240 D240:XFD240 C241">
    <cfRule type="containsText" dxfId="2516" priority="220" operator="containsText" text=" ">
      <formula>NOT(ISERROR(SEARCH(" ",A92)))</formula>
    </cfRule>
  </conditionalFormatting>
  <conditionalFormatting sqref="C92:XFD92 A92">
    <cfRule type="containsText" dxfId="2515" priority="221" operator="containsText" text=" ">
      <formula>NOT(ISERROR(SEARCH(" ",A92)))</formula>
    </cfRule>
  </conditionalFormatting>
  <conditionalFormatting sqref="D99 F304:XFD306 M316 P318:S318 F312:XFD315 F307:U311 X307:XFD311 P316:U316 AA316:AF316 AF318:AF320 N317 P317 R317 T317 V317 X317 Z317 AB317 AH316:XFD316 T318:Y320 AJ317:XFD320 F316:G317 F318:F319">
    <cfRule type="containsText" dxfId="2514" priority="215" operator="containsText" text=" ">
      <formula>NOT(ISERROR(SEARCH(" ",D99)))</formula>
    </cfRule>
  </conditionalFormatting>
  <conditionalFormatting sqref="A117:B119 B120:B121">
    <cfRule type="containsText" dxfId="2513" priority="214" operator="containsText" text=" ">
      <formula>NOT(ISERROR(SEARCH(" ",A117)))</formula>
    </cfRule>
  </conditionalFormatting>
  <conditionalFormatting sqref="A120 L317 L318:O320 H317:H320 F321:J321 L321:XFD321 K322">
    <cfRule type="containsText" dxfId="2512" priority="194" operator="containsText" text=" ">
      <formula>NOT(ISERROR(SEARCH(" ",A120)))</formula>
    </cfRule>
  </conditionalFormatting>
  <conditionalFormatting sqref="B138:B141 B149:B150 B146 B131:B134">
    <cfRule type="containsText" dxfId="2511" priority="178" operator="containsText" text=".">
      <formula>NOT(ISERROR(SEARCH(".",B131)))</formula>
    </cfRule>
  </conditionalFormatting>
  <conditionalFormatting sqref="B134 B138:B141 B146">
    <cfRule type="containsText" dxfId="2510" priority="181" operator="containsText" text=" ">
      <formula>NOT(ISERROR(SEARCH(" ",B134)))</formula>
    </cfRule>
  </conditionalFormatting>
  <conditionalFormatting sqref="A135 I135:XFD135 D135">
    <cfRule type="containsText" dxfId="2509" priority="184" operator="containsText" text=" ">
      <formula>NOT(ISERROR(SEARCH(" ",A135)))</formula>
    </cfRule>
  </conditionalFormatting>
  <conditionalFormatting sqref="B228 B168:B181">
    <cfRule type="containsText" dxfId="2508" priority="155" operator="containsText" text=".">
      <formula>NOT(ISERROR(SEARCH(".",B168)))</formula>
    </cfRule>
  </conditionalFormatting>
  <conditionalFormatting sqref="A182:B183 F182:XFD183 D182:D183">
    <cfRule type="containsText" dxfId="2507" priority="189" operator="containsText" text=" ">
      <formula>NOT(ISERROR(SEARCH(" ",A182)))</formula>
    </cfRule>
  </conditionalFormatting>
  <conditionalFormatting sqref="L201:L213 L200:M200 K200:K201 O202:XFD213 A211 E214:XFD214 C211:D211 E211:H213 A202:H210 F222:XFD230 B234 A226:B226 E222:E232 D200:D201 F200:H201 A221:B223 D221:XFD221 D226:D227 D223 A215:XFD220 D234:XFD234">
    <cfRule type="containsText" dxfId="2506" priority="164" operator="containsText" text=" ">
      <formula>NOT(ISERROR(SEARCH(" ",A200)))</formula>
    </cfRule>
  </conditionalFormatting>
  <conditionalFormatting sqref="B215:B223 B202:B210 B226">
    <cfRule type="containsText" dxfId="2505" priority="163" operator="containsText" text=".">
      <formula>NOT(ISERROR(SEARCH(".",B202)))</formula>
    </cfRule>
  </conditionalFormatting>
  <conditionalFormatting sqref="K202 K204 K206 K208 K210 K212">
    <cfRule type="containsText" dxfId="2504" priority="162" operator="containsText" text=" ">
      <formula>NOT(ISERROR(SEARCH(" ",K202)))</formula>
    </cfRule>
  </conditionalFormatting>
  <conditionalFormatting sqref="F231:XFD232">
    <cfRule type="containsText" dxfId="2503" priority="144" operator="containsText" text=" ">
      <formula>NOT(ISERROR(SEARCH(" ",F231)))</formula>
    </cfRule>
  </conditionalFormatting>
  <conditionalFormatting sqref="B257:B265 B269:B270 B253:B255 B233:B249">
    <cfRule type="containsText" dxfId="2502" priority="148" operator="containsText" text=".">
      <formula>NOT(ISERROR(SEARCH(".",B233)))</formula>
    </cfRule>
  </conditionalFormatting>
  <conditionalFormatting sqref="L278:XFD278 A278:J278">
    <cfRule type="containsText" dxfId="2501" priority="56" operator="containsText" text=" ">
      <formula>NOT(ISERROR(SEARCH(" ",A278)))</formula>
    </cfRule>
  </conditionalFormatting>
  <conditionalFormatting sqref="A305:C305 D305:D308 A311 D310:D311 A306:B310 C306:C318">
    <cfRule type="containsText" dxfId="2500" priority="69" operator="containsText" text=" ">
      <formula>NOT(ISERROR(SEARCH(" ",A305)))</formula>
    </cfRule>
  </conditionalFormatting>
  <conditionalFormatting sqref="D313:D315 D317:D318">
    <cfRule type="containsText" dxfId="2499" priority="57" operator="containsText" text=" ">
      <formula>NOT(ISERROR(SEARCH(" ",D313)))</formula>
    </cfRule>
  </conditionalFormatting>
  <conditionalFormatting sqref="J317 J318:K320">
    <cfRule type="containsText" dxfId="2498" priority="35" operator="containsText" text=" ">
      <formula>NOT(ISERROR(SEARCH(" ",J317)))</formula>
    </cfRule>
  </conditionalFormatting>
  <conditionalFormatting sqref="B327">
    <cfRule type="containsText" dxfId="2497" priority="20" operator="containsText" text=".">
      <formula>NOT(ISERROR(SEARCH(".",B327)))</formula>
    </cfRule>
    <cfRule type="containsText" dxfId="2496" priority="21" operator="containsText" text=" ">
      <formula>NOT(ISERROR(SEARCH(" ",B327)))</formula>
    </cfRule>
  </conditionalFormatting>
  <conditionalFormatting sqref="A327 C327:D327">
    <cfRule type="containsText" dxfId="2495" priority="22" operator="containsText" text=" ">
      <formula>NOT(ISERROR(SEARCH(" ",A327)))</formula>
    </cfRule>
  </conditionalFormatting>
  <conditionalFormatting sqref="A331">
    <cfRule type="containsText" dxfId="2494" priority="15" operator="containsText" text=" ">
      <formula>NOT(ISERROR(SEARCH(" ",A331)))</formula>
    </cfRule>
  </conditionalFormatting>
  <conditionalFormatting sqref="D338">
    <cfRule type="containsText" dxfId="2493" priority="12" operator="containsText" text=" ">
      <formula>NOT(ISERROR(SEARCH(" ",D338)))</formula>
    </cfRule>
  </conditionalFormatting>
  <conditionalFormatting sqref="D339">
    <cfRule type="containsText" dxfId="2492" priority="10" operator="containsText" text=" ">
      <formula>NOT(ISERROR(SEARCH(" ",D339)))</formula>
    </cfRule>
  </conditionalFormatting>
  <conditionalFormatting sqref="A332:A333">
    <cfRule type="containsText" dxfId="2491" priority="14" operator="containsText" text=" ">
      <formula>NOT(ISERROR(SEARCH(" ",A332)))</formula>
    </cfRule>
  </conditionalFormatting>
  <conditionalFormatting sqref="B328:B330 B334">
    <cfRule type="containsText" dxfId="2490" priority="16" operator="containsText" text=".">
      <formula>NOT(ISERROR(SEARCH(".",B328)))</formula>
    </cfRule>
  </conditionalFormatting>
  <conditionalFormatting sqref="E328:E339 F328:M328 D333 F337:M339 F329:F336 A335:B337 D335:D337 C328:C338 B339:C339">
    <cfRule type="containsText" dxfId="2489" priority="18" operator="containsText" text=" ">
      <formula>NOT(ISERROR(SEARCH(" ",A328)))</formula>
    </cfRule>
  </conditionalFormatting>
  <conditionalFormatting sqref="B335:B337 B339">
    <cfRule type="containsText" dxfId="2488" priority="17" operator="containsText" text=".">
      <formula>NOT(ISERROR(SEARCH(".",B335)))</formula>
    </cfRule>
  </conditionalFormatting>
  <conditionalFormatting sqref="A328:B330 A334:B334 D334 D328:D330">
    <cfRule type="containsText" dxfId="2487" priority="19" operator="containsText" text=" ">
      <formula>NOT(ISERROR(SEARCH(" ",A328)))</formula>
    </cfRule>
  </conditionalFormatting>
  <conditionalFormatting sqref="G329:M336">
    <cfRule type="containsText" dxfId="2486" priority="13" operator="containsText" text=" ">
      <formula>NOT(ISERROR(SEARCH(" ",G329)))</formula>
    </cfRule>
  </conditionalFormatting>
  <conditionalFormatting sqref="A325">
    <cfRule type="containsText" dxfId="2485" priority="8" operator="containsText" text=" ">
      <formula>NOT(ISERROR(SEARCH(" ",A325)))</formula>
    </cfRule>
  </conditionalFormatting>
  <conditionalFormatting sqref="A322:A324">
    <cfRule type="containsText" dxfId="2484" priority="9" operator="containsText" text=" ">
      <formula>NOT(ISERROR(SEARCH(" ",A322)))</formula>
    </cfRule>
  </conditionalFormatting>
  <conditionalFormatting sqref="E326:XFD326 C326">
    <cfRule type="containsText" dxfId="2483" priority="7" operator="containsText" text=" ">
      <formula>NOT(ISERROR(SEARCH(" ",C326)))</formula>
    </cfRule>
  </conditionalFormatting>
  <conditionalFormatting sqref="D340">
    <cfRule type="containsText" dxfId="2482" priority="4" operator="containsText" text=" ">
      <formula>NOT(ISERROR(SEARCH(" ",D340)))</formula>
    </cfRule>
  </conditionalFormatting>
  <conditionalFormatting sqref="B345">
    <cfRule type="containsText" dxfId="2481" priority="1" operator="containsText" text=".">
      <formula>NOT(ISERROR(SEARCH(".",B345)))</formula>
    </cfRule>
  </conditionalFormatting>
  <conditionalFormatting sqref="C345">
    <cfRule type="containsText" dxfId="2480" priority="2" operator="containsText" text=" ">
      <formula>NOT(ISERROR(SEARCH(" ",C345)))</formula>
    </cfRule>
  </conditionalFormatting>
  <conditionalFormatting sqref="E340:XFD345 B340:C340 B341:D342 A343:D344">
    <cfRule type="containsText" dxfId="2479" priority="6" operator="containsText" text=" ">
      <formula>NOT(ISERROR(SEARCH(" ",A340)))</formula>
    </cfRule>
  </conditionalFormatting>
  <conditionalFormatting sqref="B340:B344">
    <cfRule type="containsText" dxfId="2478" priority="5" operator="containsText" text=".">
      <formula>NOT(ISERROR(SEARCH(".",B340)))</formula>
    </cfRule>
  </conditionalFormatting>
  <conditionalFormatting sqref="A345:B345 D345">
    <cfRule type="containsText" dxfId="2477" priority="3" operator="containsText" text=" ">
      <formula>NOT(ISERROR(SEARCH(" ",A345)))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0000"/>
  </sheetPr>
  <dimension ref="A1:L12"/>
  <sheetViews>
    <sheetView workbookViewId="0">
      <selection activeCell="M29" sqref="M29"/>
    </sheetView>
  </sheetViews>
  <sheetFormatPr defaultColWidth="9" defaultRowHeight="15.6" x14ac:dyDescent="0.25"/>
  <cols>
    <col min="1" max="1" width="10.44140625" style="1" customWidth="1"/>
    <col min="2" max="2" width="9.88671875" style="1" customWidth="1"/>
    <col min="3" max="5" width="9" style="1"/>
    <col min="6" max="6" width="10.6640625" style="1" customWidth="1"/>
    <col min="7" max="7" width="13.44140625" style="1" customWidth="1"/>
    <col min="8" max="8" width="9.77734375" style="1" customWidth="1"/>
    <col min="9" max="9" width="21.33203125" style="1" customWidth="1"/>
    <col min="10" max="10" width="9" style="1"/>
    <col min="11" max="11" width="21.88671875" style="1" customWidth="1"/>
    <col min="12" max="13" width="9" style="1"/>
    <col min="14" max="14" width="10.6640625" style="1" customWidth="1"/>
    <col min="15" max="16384" width="9" style="1"/>
  </cols>
  <sheetData>
    <row r="1" spans="1:12" x14ac:dyDescent="0.35">
      <c r="A1" s="2" t="s">
        <v>0</v>
      </c>
      <c r="B1" s="2" t="s">
        <v>0</v>
      </c>
      <c r="C1" s="51" t="s">
        <v>0</v>
      </c>
      <c r="D1" s="51" t="s">
        <v>0</v>
      </c>
      <c r="E1" s="51" t="s">
        <v>0</v>
      </c>
      <c r="F1" s="51" t="s">
        <v>0</v>
      </c>
      <c r="G1" s="51" t="s">
        <v>0</v>
      </c>
      <c r="H1" s="51" t="s">
        <v>0</v>
      </c>
      <c r="I1" s="2" t="s">
        <v>0</v>
      </c>
      <c r="K1" s="12" t="s">
        <v>2404</v>
      </c>
      <c r="L1" s="1">
        <f>'鱼属性|FishAttribute'!$BS$55</f>
        <v>150</v>
      </c>
    </row>
    <row r="2" spans="1:12" x14ac:dyDescent="0.35">
      <c r="A2" s="2" t="s">
        <v>11</v>
      </c>
      <c r="B2" s="2" t="s">
        <v>11</v>
      </c>
      <c r="C2" s="51" t="s">
        <v>11</v>
      </c>
      <c r="D2" s="51" t="s">
        <v>11</v>
      </c>
      <c r="E2" s="51" t="s">
        <v>11</v>
      </c>
      <c r="F2" s="51" t="s">
        <v>11</v>
      </c>
      <c r="G2" s="51" t="s">
        <v>11</v>
      </c>
      <c r="H2" s="51" t="s">
        <v>11</v>
      </c>
      <c r="I2" s="2" t="s">
        <v>14</v>
      </c>
      <c r="K2" s="1" t="s">
        <v>2405</v>
      </c>
      <c r="L2" s="1">
        <f>1/(0.96/L1)/5*1000</f>
        <v>31250</v>
      </c>
    </row>
    <row r="3" spans="1:12" ht="30" x14ac:dyDescent="0.35">
      <c r="A3" s="2" t="s">
        <v>113</v>
      </c>
      <c r="B3" s="2" t="s">
        <v>1183</v>
      </c>
      <c r="C3" s="51" t="s">
        <v>2406</v>
      </c>
      <c r="D3" s="51" t="s">
        <v>2407</v>
      </c>
      <c r="E3" s="51" t="s">
        <v>2408</v>
      </c>
      <c r="F3" s="51" t="s">
        <v>2409</v>
      </c>
      <c r="G3" s="51" t="s">
        <v>2410</v>
      </c>
      <c r="H3" s="52" t="s">
        <v>2411</v>
      </c>
      <c r="I3" s="2" t="s">
        <v>2412</v>
      </c>
      <c r="K3" s="1" t="s">
        <v>2413</v>
      </c>
      <c r="L3" s="55" t="str">
        <f>'全局参数|GlobalPar'!B38</f>
        <v>80</v>
      </c>
    </row>
    <row r="4" spans="1:12" ht="66" x14ac:dyDescent="0.25">
      <c r="A4" s="4" t="s">
        <v>2414</v>
      </c>
      <c r="B4" s="4" t="s">
        <v>2415</v>
      </c>
      <c r="C4" s="53" t="s">
        <v>2416</v>
      </c>
      <c r="D4" s="53" t="s">
        <v>2417</v>
      </c>
      <c r="E4" s="53" t="s">
        <v>2418</v>
      </c>
      <c r="F4" s="53" t="s">
        <v>2419</v>
      </c>
      <c r="G4" s="53" t="s">
        <v>2420</v>
      </c>
      <c r="H4" s="53" t="s">
        <v>2421</v>
      </c>
      <c r="I4" s="4" t="s">
        <v>2422</v>
      </c>
      <c r="K4" s="56" t="s">
        <v>2423</v>
      </c>
      <c r="L4" s="57">
        <f>L2/F5*G5</f>
        <v>150</v>
      </c>
    </row>
    <row r="5" spans="1:12" x14ac:dyDescent="0.25">
      <c r="A5" s="1">
        <v>1</v>
      </c>
      <c r="B5" s="1">
        <v>2</v>
      </c>
      <c r="C5" s="12">
        <v>10</v>
      </c>
      <c r="D5" s="12">
        <f t="shared" ref="D5:D10" si="0">C5+100</f>
        <v>110</v>
      </c>
      <c r="E5" s="12">
        <v>200</v>
      </c>
      <c r="F5" s="54">
        <v>625</v>
      </c>
      <c r="G5" s="54">
        <v>3</v>
      </c>
      <c r="H5" s="12">
        <f>L5</f>
        <v>100</v>
      </c>
      <c r="I5" s="58" t="s">
        <v>2424</v>
      </c>
      <c r="K5" s="1" t="s">
        <v>2425</v>
      </c>
      <c r="L5" s="59">
        <v>100</v>
      </c>
    </row>
    <row r="6" spans="1:12" x14ac:dyDescent="0.25">
      <c r="A6" s="1">
        <v>2</v>
      </c>
      <c r="B6" s="1">
        <v>2</v>
      </c>
      <c r="C6" s="12">
        <f>D5+20</f>
        <v>130</v>
      </c>
      <c r="D6" s="12">
        <f t="shared" si="0"/>
        <v>230</v>
      </c>
      <c r="E6" s="12">
        <f>E5</f>
        <v>200</v>
      </c>
      <c r="F6" s="12">
        <f>F5</f>
        <v>625</v>
      </c>
      <c r="G6" s="12">
        <f>G5</f>
        <v>3</v>
      </c>
      <c r="H6" s="12">
        <f>H5</f>
        <v>100</v>
      </c>
      <c r="I6" s="58" t="s">
        <v>2426</v>
      </c>
    </row>
    <row r="7" spans="1:12" x14ac:dyDescent="0.25">
      <c r="A7" s="1">
        <v>4</v>
      </c>
      <c r="B7" s="1">
        <v>3</v>
      </c>
      <c r="C7" s="12">
        <v>10</v>
      </c>
      <c r="D7" s="12">
        <f t="shared" si="0"/>
        <v>110</v>
      </c>
      <c r="E7" s="12">
        <f t="shared" ref="E7:E8" si="1">E6</f>
        <v>200</v>
      </c>
      <c r="F7" s="12">
        <f t="shared" ref="F7:H8" si="2">F6</f>
        <v>625</v>
      </c>
      <c r="G7" s="12">
        <f t="shared" si="2"/>
        <v>3</v>
      </c>
      <c r="H7" s="12">
        <f t="shared" si="2"/>
        <v>100</v>
      </c>
      <c r="I7" s="58" t="s">
        <v>2424</v>
      </c>
    </row>
    <row r="8" spans="1:12" x14ac:dyDescent="0.25">
      <c r="A8" s="1">
        <v>5</v>
      </c>
      <c r="B8" s="1">
        <v>3</v>
      </c>
      <c r="C8" s="12">
        <f>D7+20</f>
        <v>130</v>
      </c>
      <c r="D8" s="12">
        <f t="shared" si="0"/>
        <v>230</v>
      </c>
      <c r="E8" s="12">
        <f t="shared" si="1"/>
        <v>200</v>
      </c>
      <c r="F8" s="12">
        <f t="shared" si="2"/>
        <v>625</v>
      </c>
      <c r="G8" s="12">
        <f t="shared" si="2"/>
        <v>3</v>
      </c>
      <c r="H8" s="12">
        <f t="shared" si="2"/>
        <v>100</v>
      </c>
      <c r="I8" s="58" t="s">
        <v>2426</v>
      </c>
    </row>
    <row r="9" spans="1:12" x14ac:dyDescent="0.25">
      <c r="A9" s="1">
        <v>6</v>
      </c>
      <c r="B9" s="1">
        <v>1</v>
      </c>
      <c r="C9" s="12">
        <v>10</v>
      </c>
      <c r="D9" s="12">
        <f t="shared" si="0"/>
        <v>110</v>
      </c>
      <c r="E9" s="12">
        <v>200</v>
      </c>
      <c r="F9" s="12">
        <v>625</v>
      </c>
      <c r="G9" s="12">
        <v>3</v>
      </c>
      <c r="H9" s="12">
        <v>100</v>
      </c>
      <c r="I9" s="1">
        <v>701</v>
      </c>
    </row>
    <row r="10" spans="1:12" x14ac:dyDescent="0.25">
      <c r="A10" s="1">
        <v>7</v>
      </c>
      <c r="B10" s="1">
        <v>1</v>
      </c>
      <c r="C10" s="12">
        <f>D9+20</f>
        <v>130</v>
      </c>
      <c r="D10" s="12">
        <f t="shared" si="0"/>
        <v>230</v>
      </c>
      <c r="E10" s="12">
        <v>200</v>
      </c>
      <c r="F10" s="12">
        <v>625</v>
      </c>
      <c r="G10" s="12">
        <v>3</v>
      </c>
      <c r="H10" s="12">
        <v>100</v>
      </c>
      <c r="I10" s="1">
        <v>702</v>
      </c>
    </row>
    <row r="11" spans="1:12" x14ac:dyDescent="0.25">
      <c r="A11" s="1">
        <v>8</v>
      </c>
      <c r="B11" s="1">
        <v>4</v>
      </c>
      <c r="C11" s="12">
        <v>10</v>
      </c>
      <c r="D11" s="12">
        <f t="shared" ref="D11:D12" si="3">C11+100</f>
        <v>110</v>
      </c>
      <c r="E11" s="12">
        <v>200</v>
      </c>
      <c r="F11" s="12">
        <v>625</v>
      </c>
      <c r="G11" s="12">
        <v>3</v>
      </c>
      <c r="H11" s="12">
        <v>100</v>
      </c>
      <c r="I11" s="1">
        <v>701</v>
      </c>
    </row>
    <row r="12" spans="1:12" x14ac:dyDescent="0.25">
      <c r="A12" s="1">
        <v>9</v>
      </c>
      <c r="B12" s="1">
        <v>4</v>
      </c>
      <c r="C12" s="12">
        <f>D11+20</f>
        <v>130</v>
      </c>
      <c r="D12" s="12">
        <f t="shared" si="3"/>
        <v>230</v>
      </c>
      <c r="E12" s="12">
        <v>200</v>
      </c>
      <c r="F12" s="12">
        <v>625</v>
      </c>
      <c r="G12" s="12">
        <v>3</v>
      </c>
      <c r="H12" s="12">
        <v>100</v>
      </c>
      <c r="I12" s="1">
        <v>702</v>
      </c>
    </row>
  </sheetData>
  <phoneticPr fontId="64" type="noConversion"/>
  <conditionalFormatting sqref="B11:B12">
    <cfRule type="containsText" dxfId="41" priority="4" operator="containsText" text=" ">
      <formula>NOT(ISERROR(SEARCH(" ",B11)))</formula>
    </cfRule>
  </conditionalFormatting>
  <conditionalFormatting sqref="E11:E12">
    <cfRule type="containsText" dxfId="40" priority="2" operator="containsText" text=" ">
      <formula>NOT(ISERROR(SEARCH(" ",E11)))</formula>
    </cfRule>
  </conditionalFormatting>
  <conditionalFormatting sqref="O5:O6">
    <cfRule type="containsText" dxfId="39" priority="13" operator="containsText" text=" ">
      <formula>NOT(ISERROR(SEARCH(" ",O5)))</formula>
    </cfRule>
  </conditionalFormatting>
  <conditionalFormatting sqref="F5:N5 B5:B10 G6:N6 G7:H8 F6:F8 P5:XFD6 A13:N1048576 P11:XFD39 P44:XFD1048576 J11:N12">
    <cfRule type="containsText" dxfId="38" priority="23" operator="containsText" text=" ">
      <formula>NOT(ISERROR(SEARCH(" ",A5)))</formula>
    </cfRule>
  </conditionalFormatting>
  <conditionalFormatting sqref="C5:E5 C6:D6 E6:E10">
    <cfRule type="containsText" dxfId="37" priority="15" operator="containsText" text=" ">
      <formula>NOT(ISERROR(SEARCH(" ",C5)))</formula>
    </cfRule>
  </conditionalFormatting>
  <conditionalFormatting sqref="C7:D8">
    <cfRule type="containsText" dxfId="36" priority="6" operator="containsText" text=" ">
      <formula>NOT(ISERROR(SEARCH(" ",C7)))</formula>
    </cfRule>
  </conditionalFormatting>
  <conditionalFormatting sqref="P7:XFD10 I7:N8 P40:XFD43 F9:N10 O20:O36 O38:O40 O53:O1048576">
    <cfRule type="containsText" dxfId="35" priority="21" operator="containsText" text=" ">
      <formula>NOT(ISERROR(SEARCH(" ",F7)))</formula>
    </cfRule>
  </conditionalFormatting>
  <conditionalFormatting sqref="O7:O8 O52 O17">
    <cfRule type="containsText" dxfId="34" priority="12" operator="containsText" text=" ">
      <formula>NOT(ISERROR(SEARCH(" ",O7)))</formula>
    </cfRule>
  </conditionalFormatting>
  <conditionalFormatting sqref="C9:D10">
    <cfRule type="containsText" dxfId="33" priority="5" operator="containsText" text=" ">
      <formula>NOT(ISERROR(SEARCH(" ",C9)))</formula>
    </cfRule>
  </conditionalFormatting>
  <conditionalFormatting sqref="C11:D12">
    <cfRule type="containsText" dxfId="32" priority="1" operator="containsText" text=" ">
      <formula>NOT(ISERROR(SEARCH(" ",C11)))</formula>
    </cfRule>
  </conditionalFormatting>
  <conditionalFormatting sqref="F11:I12">
    <cfRule type="containsText" dxfId="31" priority="3" operator="containsText" text=" ">
      <formula>NOT(ISERROR(SEARCH(" ",F11)))</formula>
    </cfRule>
  </conditionalFormatting>
  <pageMargins left="0.69930555555555596" right="0.69930555555555596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0000"/>
  </sheetPr>
  <dimension ref="A1:Q27"/>
  <sheetViews>
    <sheetView workbookViewId="0">
      <selection activeCell="E6" sqref="E6"/>
    </sheetView>
  </sheetViews>
  <sheetFormatPr defaultColWidth="9" defaultRowHeight="15.6" x14ac:dyDescent="0.25"/>
  <cols>
    <col min="2" max="4" width="23.33203125" customWidth="1"/>
    <col min="5" max="5" width="12" customWidth="1"/>
    <col min="12" max="13" width="10.33203125" style="1" customWidth="1"/>
    <col min="14" max="16" width="9" style="1"/>
  </cols>
  <sheetData>
    <row r="1" spans="1:17" x14ac:dyDescent="0.35">
      <c r="A1" s="2" t="s">
        <v>0</v>
      </c>
      <c r="B1" s="30" t="s">
        <v>0</v>
      </c>
      <c r="C1" s="31" t="s">
        <v>0</v>
      </c>
    </row>
    <row r="2" spans="1:17" x14ac:dyDescent="0.35">
      <c r="A2" s="2" t="s">
        <v>11</v>
      </c>
      <c r="B2" s="30" t="s">
        <v>14</v>
      </c>
      <c r="C2" s="31" t="s">
        <v>14</v>
      </c>
    </row>
    <row r="3" spans="1:17" ht="16.2" x14ac:dyDescent="0.4">
      <c r="A3" s="2" t="s">
        <v>113</v>
      </c>
      <c r="B3" s="30" t="s">
        <v>36</v>
      </c>
      <c r="C3" s="32" t="s">
        <v>2427</v>
      </c>
      <c r="E3" s="33" t="s">
        <v>2428</v>
      </c>
    </row>
    <row r="4" spans="1:17" ht="92.4" x14ac:dyDescent="0.25">
      <c r="A4" s="34" t="s">
        <v>2429</v>
      </c>
      <c r="B4" s="4" t="s">
        <v>2430</v>
      </c>
      <c r="C4" s="35" t="s">
        <v>2430</v>
      </c>
      <c r="E4" s="36" t="s">
        <v>1949</v>
      </c>
      <c r="F4" s="37" t="s">
        <v>1396</v>
      </c>
      <c r="G4" s="37" t="s">
        <v>1397</v>
      </c>
      <c r="H4" s="38" t="s">
        <v>114</v>
      </c>
      <c r="I4" s="46" t="s">
        <v>2431</v>
      </c>
      <c r="L4" s="47">
        <f>'抽奖|MoonBless'!DN4</f>
        <v>0</v>
      </c>
      <c r="M4" s="48" t="str">
        <f>'抽奖|MoonBless'!DO4</f>
        <v>人民币价值</v>
      </c>
      <c r="N4" s="49" t="str">
        <f>'抽奖|MoonBless'!DP4</f>
        <v>价值
钻石价值</v>
      </c>
      <c r="O4" s="48" t="str">
        <f>'抽奖|MoonBless'!DQ4</f>
        <v>物品类型</v>
      </c>
      <c r="P4" s="50" t="str">
        <f>'抽奖|MoonBless'!DR4</f>
        <v>id</v>
      </c>
    </row>
    <row r="5" spans="1:17" x14ac:dyDescent="0.35">
      <c r="A5" s="39">
        <v>1</v>
      </c>
      <c r="B5" s="1" t="str">
        <f t="shared" ref="B5:B11" si="0">F5&amp;"|"&amp;G5&amp;"|"&amp;H5</f>
        <v>1|2|3000</v>
      </c>
      <c r="C5" s="1" t="str">
        <f>F5&amp;"|"&amp;G5&amp;"|"&amp;H5</f>
        <v>1|2|3000</v>
      </c>
      <c r="D5" s="1"/>
      <c r="E5" s="40" t="s">
        <v>177</v>
      </c>
      <c r="F5" s="11">
        <f t="shared" ref="F5:F11" si="1">VLOOKUP(E5,L:P,4,0)</f>
        <v>1</v>
      </c>
      <c r="G5" s="11">
        <f t="shared" ref="G5:G11" si="2">VLOOKUP(E5,L:P,5,0)</f>
        <v>2</v>
      </c>
      <c r="H5" s="41">
        <v>3000</v>
      </c>
      <c r="I5" s="19">
        <f t="shared" ref="I5:I11" si="3">VLOOKUP(E5,L:P,2,0)*H5</f>
        <v>1.5000000000000001E-2</v>
      </c>
      <c r="L5" s="10" t="str">
        <f>'抽奖|MoonBless'!DN5</f>
        <v>人民币</v>
      </c>
      <c r="M5" s="11">
        <f>'抽奖|MoonBless'!DO5</f>
        <v>1</v>
      </c>
      <c r="N5" s="11">
        <f>'抽奖|MoonBless'!DP5</f>
        <v>20</v>
      </c>
      <c r="O5" s="11">
        <f>'抽奖|MoonBless'!DQ5</f>
        <v>1</v>
      </c>
      <c r="P5" s="19">
        <f>'抽奖|MoonBless'!DR5</f>
        <v>0</v>
      </c>
    </row>
    <row r="6" spans="1:17" ht="16.2" x14ac:dyDescent="0.35">
      <c r="A6" s="39">
        <v>2</v>
      </c>
      <c r="B6" s="1" t="str">
        <f t="shared" si="0"/>
        <v>2|1204|10</v>
      </c>
      <c r="C6" s="42" t="s">
        <v>2042</v>
      </c>
      <c r="D6" s="39"/>
      <c r="E6" s="40" t="s">
        <v>1372</v>
      </c>
      <c r="F6" s="11">
        <f t="shared" si="1"/>
        <v>2</v>
      </c>
      <c r="G6" s="11">
        <f t="shared" si="2"/>
        <v>1204</v>
      </c>
      <c r="H6" s="41">
        <v>10</v>
      </c>
      <c r="I6" s="19">
        <f t="shared" si="3"/>
        <v>7.4999999999999997E-3</v>
      </c>
      <c r="L6" s="10" t="str">
        <f>'抽奖|MoonBless'!DN6</f>
        <v>钻石</v>
      </c>
      <c r="M6" s="11">
        <f>'抽奖|MoonBless'!DO6</f>
        <v>0.1</v>
      </c>
      <c r="N6" s="11">
        <f>'抽奖|MoonBless'!DP6</f>
        <v>2</v>
      </c>
      <c r="O6" s="11">
        <f>'抽奖|MoonBless'!DQ6</f>
        <v>1</v>
      </c>
      <c r="P6" s="19">
        <f>'抽奖|MoonBless'!DR6</f>
        <v>1</v>
      </c>
    </row>
    <row r="7" spans="1:17" ht="16.2" x14ac:dyDescent="0.35">
      <c r="A7" s="39">
        <v>3</v>
      </c>
      <c r="B7" s="1" t="str">
        <f t="shared" si="0"/>
        <v>1|1|20</v>
      </c>
      <c r="C7" s="1" t="str">
        <f t="shared" ref="C7:C11" si="4">F7&amp;"|"&amp;G7&amp;"|"&amp;H7</f>
        <v>1|1|20</v>
      </c>
      <c r="D7" s="39"/>
      <c r="E7" s="43" t="s">
        <v>1369</v>
      </c>
      <c r="F7" s="11">
        <f t="shared" si="1"/>
        <v>1</v>
      </c>
      <c r="G7" s="11">
        <f t="shared" si="2"/>
        <v>1</v>
      </c>
      <c r="H7" s="41">
        <v>20</v>
      </c>
      <c r="I7" s="19">
        <f t="shared" si="3"/>
        <v>2</v>
      </c>
      <c r="L7" s="10" t="str">
        <f>'抽奖|MoonBless'!DN7</f>
        <v>金币</v>
      </c>
      <c r="M7" s="11">
        <f>'抽奖|MoonBless'!DO7</f>
        <v>5.0000000000000004E-6</v>
      </c>
      <c r="N7" s="11">
        <f>'抽奖|MoonBless'!DP7</f>
        <v>1E-4</v>
      </c>
      <c r="O7" s="11">
        <f>'抽奖|MoonBless'!DQ7</f>
        <v>1</v>
      </c>
      <c r="P7" s="19">
        <f>'抽奖|MoonBless'!DR7</f>
        <v>2</v>
      </c>
    </row>
    <row r="8" spans="1:17" ht="16.2" x14ac:dyDescent="0.35">
      <c r="A8" s="39">
        <v>4</v>
      </c>
      <c r="B8" s="1" t="str">
        <f t="shared" si="0"/>
        <v>1|2|10000</v>
      </c>
      <c r="C8" s="1" t="str">
        <f t="shared" si="4"/>
        <v>1|2|10000</v>
      </c>
      <c r="D8" s="39"/>
      <c r="E8" s="43" t="s">
        <v>177</v>
      </c>
      <c r="F8" s="11">
        <f t="shared" si="1"/>
        <v>1</v>
      </c>
      <c r="G8" s="11">
        <f t="shared" si="2"/>
        <v>2</v>
      </c>
      <c r="H8" s="41">
        <v>10000</v>
      </c>
      <c r="I8" s="19">
        <f t="shared" si="3"/>
        <v>0.05</v>
      </c>
      <c r="L8" s="10" t="str">
        <f>'抽奖|MoonBless'!DN8</f>
        <v>锁定</v>
      </c>
      <c r="M8" s="11">
        <f>'抽奖|MoonBless'!DO8</f>
        <v>0.1</v>
      </c>
      <c r="N8" s="11">
        <f>'抽奖|MoonBless'!DP8</f>
        <v>2</v>
      </c>
      <c r="O8" s="11">
        <f>'抽奖|MoonBless'!DQ8</f>
        <v>2</v>
      </c>
      <c r="P8" s="19">
        <f>'抽奖|MoonBless'!DR8</f>
        <v>1001</v>
      </c>
    </row>
    <row r="9" spans="1:17" ht="16.2" x14ac:dyDescent="0.35">
      <c r="A9" s="39">
        <v>5</v>
      </c>
      <c r="B9" s="1" t="str">
        <f t="shared" si="0"/>
        <v>1|1|50</v>
      </c>
      <c r="C9" s="1" t="str">
        <f t="shared" si="4"/>
        <v>1|1|50</v>
      </c>
      <c r="D9" s="39"/>
      <c r="E9" s="43" t="s">
        <v>1369</v>
      </c>
      <c r="F9" s="11">
        <f t="shared" si="1"/>
        <v>1</v>
      </c>
      <c r="G9" s="11">
        <f t="shared" si="2"/>
        <v>1</v>
      </c>
      <c r="H9" s="41">
        <v>50</v>
      </c>
      <c r="I9" s="19">
        <f t="shared" si="3"/>
        <v>5</v>
      </c>
      <c r="L9" s="10" t="str">
        <f>'抽奖|MoonBless'!DN9</f>
        <v>冰冻</v>
      </c>
      <c r="M9" s="11">
        <f>'抽奖|MoonBless'!DO9</f>
        <v>0.25</v>
      </c>
      <c r="N9" s="11">
        <f>'抽奖|MoonBless'!DP9</f>
        <v>5</v>
      </c>
      <c r="O9" s="11">
        <f>'抽奖|MoonBless'!DQ9</f>
        <v>2</v>
      </c>
      <c r="P9" s="19">
        <f>'抽奖|MoonBless'!DR9</f>
        <v>1002</v>
      </c>
    </row>
    <row r="10" spans="1:17" x14ac:dyDescent="0.35">
      <c r="A10" s="39">
        <v>6</v>
      </c>
      <c r="B10" s="1" t="str">
        <f t="shared" si="0"/>
        <v>1|2|50000</v>
      </c>
      <c r="C10" s="1" t="str">
        <f t="shared" si="4"/>
        <v>1|2|50000</v>
      </c>
      <c r="D10" s="39"/>
      <c r="E10" s="40" t="s">
        <v>177</v>
      </c>
      <c r="F10" s="11">
        <f t="shared" si="1"/>
        <v>1</v>
      </c>
      <c r="G10" s="11">
        <f t="shared" si="2"/>
        <v>2</v>
      </c>
      <c r="H10" s="41">
        <v>50000</v>
      </c>
      <c r="I10" s="19">
        <f t="shared" si="3"/>
        <v>0.25</v>
      </c>
      <c r="L10" s="10" t="str">
        <f>'抽奖|MoonBless'!DN10</f>
        <v>狂暴</v>
      </c>
      <c r="M10" s="11">
        <f>'抽奖|MoonBless'!DO10</f>
        <v>0.5</v>
      </c>
      <c r="N10" s="11">
        <f>'抽奖|MoonBless'!DP10</f>
        <v>10</v>
      </c>
      <c r="O10" s="11">
        <f>'抽奖|MoonBless'!DQ10</f>
        <v>2</v>
      </c>
      <c r="P10" s="19">
        <f>'抽奖|MoonBless'!DR10</f>
        <v>1003</v>
      </c>
    </row>
    <row r="11" spans="1:17" ht="16.2" x14ac:dyDescent="0.35">
      <c r="A11" s="39">
        <v>7</v>
      </c>
      <c r="B11" s="1" t="str">
        <f t="shared" si="0"/>
        <v>2|1005|1</v>
      </c>
      <c r="C11" s="1" t="str">
        <f t="shared" si="4"/>
        <v>2|1005|1</v>
      </c>
      <c r="D11" s="39"/>
      <c r="E11" s="44" t="s">
        <v>1974</v>
      </c>
      <c r="F11" s="14">
        <f t="shared" si="1"/>
        <v>2</v>
      </c>
      <c r="G11" s="14">
        <f t="shared" si="2"/>
        <v>1005</v>
      </c>
      <c r="H11" s="45">
        <v>1</v>
      </c>
      <c r="I11" s="21">
        <f t="shared" si="3"/>
        <v>5</v>
      </c>
      <c r="L11" s="10" t="str">
        <f>'抽奖|MoonBless'!DN11</f>
        <v>召唤</v>
      </c>
      <c r="M11" s="11">
        <f>'抽奖|MoonBless'!DO11</f>
        <v>0.1</v>
      </c>
      <c r="N11" s="11">
        <f>'抽奖|MoonBless'!DP11</f>
        <v>2</v>
      </c>
      <c r="O11" s="11">
        <f>'抽奖|MoonBless'!DQ11</f>
        <v>2</v>
      </c>
      <c r="P11" s="19">
        <f>'抽奖|MoonBless'!DR11</f>
        <v>1004</v>
      </c>
    </row>
    <row r="12" spans="1:17" x14ac:dyDescent="0.25">
      <c r="L12" s="10" t="str">
        <f>'抽奖|MoonBless'!DN12</f>
        <v>福卡</v>
      </c>
      <c r="M12" s="11">
        <f>'抽奖|MoonBless'!DO12</f>
        <v>7.5000000000000002E-4</v>
      </c>
      <c r="N12" s="11">
        <f>'抽奖|MoonBless'!DP12</f>
        <v>1.5000000000000001E-2</v>
      </c>
      <c r="O12" s="11">
        <f>'抽奖|MoonBless'!DQ12</f>
        <v>2</v>
      </c>
      <c r="P12" s="19">
        <f>'抽奖|MoonBless'!DR12</f>
        <v>1204</v>
      </c>
      <c r="Q12">
        <v>5</v>
      </c>
    </row>
    <row r="13" spans="1:17" x14ac:dyDescent="0.25">
      <c r="L13" s="10" t="str">
        <f>'抽奖|MoonBless'!DN13</f>
        <v>超级武器1</v>
      </c>
      <c r="M13" s="11">
        <f>'抽奖|MoonBless'!DO13</f>
        <v>5</v>
      </c>
      <c r="N13" s="11">
        <f>'抽奖|MoonBless'!DP13</f>
        <v>100</v>
      </c>
      <c r="O13" s="11">
        <f>'抽奖|MoonBless'!DQ13</f>
        <v>2</v>
      </c>
      <c r="P13" s="19">
        <f>'抽奖|MoonBless'!DR13</f>
        <v>1005</v>
      </c>
    </row>
    <row r="14" spans="1:17" x14ac:dyDescent="0.25">
      <c r="L14" s="10" t="str">
        <f>'抽奖|MoonBless'!DN14</f>
        <v>超级武器2</v>
      </c>
      <c r="M14" s="11">
        <f>'抽奖|MoonBless'!DO14</f>
        <v>10</v>
      </c>
      <c r="N14" s="11">
        <f>'抽奖|MoonBless'!DP14</f>
        <v>200</v>
      </c>
      <c r="O14" s="11">
        <f>'抽奖|MoonBless'!DQ14</f>
        <v>2</v>
      </c>
      <c r="P14" s="19">
        <f>'抽奖|MoonBless'!DR14</f>
        <v>1006</v>
      </c>
    </row>
    <row r="15" spans="1:17" x14ac:dyDescent="0.25">
      <c r="E15" s="40"/>
      <c r="F15" s="11"/>
      <c r="G15" s="11"/>
      <c r="H15" s="41"/>
      <c r="I15" s="19"/>
      <c r="L15" s="10" t="str">
        <f>'抽奖|MoonBless'!DN15</f>
        <v>超级武器3</v>
      </c>
      <c r="M15" s="11">
        <f>'抽奖|MoonBless'!DO15</f>
        <v>25</v>
      </c>
      <c r="N15" s="11">
        <f>'抽奖|MoonBless'!DP15</f>
        <v>500</v>
      </c>
      <c r="O15" s="11">
        <f>'抽奖|MoonBless'!DQ15</f>
        <v>2</v>
      </c>
      <c r="P15" s="19">
        <f>'抽奖|MoonBless'!DR15</f>
        <v>1007</v>
      </c>
    </row>
    <row r="16" spans="1:17" x14ac:dyDescent="0.25">
      <c r="E16" s="40"/>
      <c r="F16" s="11"/>
      <c r="G16" s="11"/>
      <c r="H16" s="41"/>
      <c r="I16" s="19"/>
      <c r="L16" s="10" t="str">
        <f>'抽奖|MoonBless'!DN16</f>
        <v>超级武器4</v>
      </c>
      <c r="M16" s="11">
        <f>'抽奖|MoonBless'!DO16</f>
        <v>50</v>
      </c>
      <c r="N16" s="11">
        <f>'抽奖|MoonBless'!DP16</f>
        <v>1000</v>
      </c>
      <c r="O16" s="11">
        <f>'抽奖|MoonBless'!DQ16</f>
        <v>2</v>
      </c>
      <c r="P16" s="19">
        <f>'抽奖|MoonBless'!DR16</f>
        <v>1008</v>
      </c>
    </row>
    <row r="17" spans="12:16" x14ac:dyDescent="0.25">
      <c r="L17" s="10" t="str">
        <f>'抽奖|MoonBless'!DN17</f>
        <v>5元话费卡</v>
      </c>
      <c r="M17" s="11">
        <f>'抽奖|MoonBless'!DO17</f>
        <v>5</v>
      </c>
      <c r="N17" s="11">
        <f>'抽奖|MoonBless'!DP17</f>
        <v>100</v>
      </c>
      <c r="O17" s="11">
        <f>'抽奖|MoonBless'!DQ17</f>
        <v>2</v>
      </c>
      <c r="P17" s="19">
        <f>'抽奖|MoonBless'!DR17</f>
        <v>1206</v>
      </c>
    </row>
    <row r="18" spans="12:16" x14ac:dyDescent="0.25">
      <c r="L18" s="10" t="str">
        <f>'抽奖|MoonBless'!DN18</f>
        <v>2元话费卡</v>
      </c>
      <c r="M18" s="11">
        <f>'抽奖|MoonBless'!DO18</f>
        <v>2</v>
      </c>
      <c r="N18" s="11">
        <f>'抽奖|MoonBless'!DP18</f>
        <v>40</v>
      </c>
      <c r="O18" s="11">
        <f>'抽奖|MoonBless'!DQ18</f>
        <v>2</v>
      </c>
      <c r="P18" s="19">
        <f>'抽奖|MoonBless'!DR18</f>
        <v>1205</v>
      </c>
    </row>
    <row r="19" spans="12:16" x14ac:dyDescent="0.25">
      <c r="L19" s="13" t="str">
        <f>'抽奖|MoonBless'!DN19</f>
        <v>高压锅</v>
      </c>
      <c r="M19" s="14">
        <f>'抽奖|MoonBless'!DO19</f>
        <v>200</v>
      </c>
      <c r="N19" s="14">
        <f>'抽奖|MoonBless'!DP19</f>
        <v>4000</v>
      </c>
      <c r="O19" s="14">
        <f>'抽奖|MoonBless'!DQ19</f>
        <v>2</v>
      </c>
      <c r="P19" s="21">
        <f>'抽奖|MoonBless'!DR19</f>
        <v>1208</v>
      </c>
    </row>
    <row r="20" spans="12:16" x14ac:dyDescent="0.25">
      <c r="L20" s="1" t="str">
        <f>'抽奖|MoonBless'!DN20</f>
        <v>30元话费卡</v>
      </c>
      <c r="M20" s="1">
        <f>'抽奖|MoonBless'!DO20</f>
        <v>30</v>
      </c>
      <c r="N20" s="1">
        <f>'抽奖|MoonBless'!DP20</f>
        <v>600</v>
      </c>
      <c r="O20" s="1">
        <f>'抽奖|MoonBless'!DQ20</f>
        <v>2</v>
      </c>
      <c r="P20" s="1">
        <f>'抽奖|MoonBless'!DR20</f>
        <v>1209</v>
      </c>
    </row>
    <row r="21" spans="12:16" x14ac:dyDescent="0.25">
      <c r="L21" s="1" t="str">
        <f>'抽奖|MoonBless'!DN21</f>
        <v>50元话费卡</v>
      </c>
      <c r="M21" s="1">
        <f>'抽奖|MoonBless'!DO21</f>
        <v>50</v>
      </c>
      <c r="N21" s="1">
        <f>'抽奖|MoonBless'!DP21</f>
        <v>1000</v>
      </c>
      <c r="O21" s="1">
        <f>'抽奖|MoonBless'!DQ21</f>
        <v>2</v>
      </c>
      <c r="P21" s="1">
        <f>'抽奖|MoonBless'!DR21</f>
        <v>1210</v>
      </c>
    </row>
    <row r="22" spans="12:16" x14ac:dyDescent="0.25">
      <c r="L22" s="1" t="str">
        <f>'抽奖|MoonBless'!DN22</f>
        <v>活跃度</v>
      </c>
      <c r="M22" s="1">
        <f>'抽奖|MoonBless'!DO22</f>
        <v>1</v>
      </c>
      <c r="N22" s="1">
        <f>'抽奖|MoonBless'!DP22</f>
        <v>20</v>
      </c>
      <c r="O22" s="1">
        <f>'抽奖|MoonBless'!DQ22</f>
        <v>1</v>
      </c>
      <c r="P22" s="1">
        <f>'抽奖|MoonBless'!DR22</f>
        <v>6</v>
      </c>
    </row>
    <row r="23" spans="12:16" x14ac:dyDescent="0.25">
      <c r="L23" s="1" t="str">
        <f>'抽奖|MoonBless'!DN23</f>
        <v>红包【恭】</v>
      </c>
      <c r="M23" s="1">
        <f>'抽奖|MoonBless'!DO23</f>
        <v>1</v>
      </c>
      <c r="N23" s="1">
        <f>'抽奖|MoonBless'!DP23</f>
        <v>20</v>
      </c>
      <c r="O23" s="1">
        <f>'抽奖|MoonBless'!DQ23</f>
        <v>2</v>
      </c>
      <c r="P23" s="1">
        <f>'抽奖|MoonBless'!DR23</f>
        <v>1301</v>
      </c>
    </row>
    <row r="24" spans="12:16" x14ac:dyDescent="0.25">
      <c r="L24" s="1" t="str">
        <f>'抽奖|MoonBless'!DN24</f>
        <v>红包【喜】</v>
      </c>
      <c r="M24" s="1">
        <f>'抽奖|MoonBless'!DO24</f>
        <v>1</v>
      </c>
      <c r="N24" s="1">
        <f>'抽奖|MoonBless'!DP24</f>
        <v>20</v>
      </c>
      <c r="O24" s="1">
        <f>'抽奖|MoonBless'!DQ24</f>
        <v>2</v>
      </c>
      <c r="P24" s="1">
        <f>'抽奖|MoonBless'!DR24</f>
        <v>1302</v>
      </c>
    </row>
    <row r="25" spans="12:16" x14ac:dyDescent="0.25">
      <c r="L25" s="1" t="str">
        <f>'抽奖|MoonBless'!DN25</f>
        <v>红包【发】</v>
      </c>
      <c r="M25" s="1">
        <f>'抽奖|MoonBless'!DO25</f>
        <v>1</v>
      </c>
      <c r="N25" s="1">
        <f>'抽奖|MoonBless'!DP25</f>
        <v>20</v>
      </c>
      <c r="O25" s="1">
        <f>'抽奖|MoonBless'!DQ25</f>
        <v>2</v>
      </c>
      <c r="P25" s="1">
        <f>'抽奖|MoonBless'!DR25</f>
        <v>1303</v>
      </c>
    </row>
    <row r="26" spans="12:16" x14ac:dyDescent="0.25">
      <c r="L26" s="1" t="str">
        <f>'抽奖|MoonBless'!DN26</f>
        <v>红包【财】</v>
      </c>
      <c r="M26" s="1">
        <f>'抽奖|MoonBless'!DO26</f>
        <v>1</v>
      </c>
      <c r="N26" s="1">
        <f>'抽奖|MoonBless'!DP26</f>
        <v>20</v>
      </c>
      <c r="O26" s="1">
        <f>'抽奖|MoonBless'!DQ26</f>
        <v>2</v>
      </c>
      <c r="P26" s="1">
        <f>'抽奖|MoonBless'!DR26</f>
        <v>1304</v>
      </c>
    </row>
    <row r="27" spans="12:16" x14ac:dyDescent="0.25">
      <c r="L27" s="1" t="str">
        <f>'抽奖|MoonBless'!DN27</f>
        <v>双轮</v>
      </c>
      <c r="M27" s="1">
        <f>'抽奖|MoonBless'!DO27</f>
        <v>30</v>
      </c>
      <c r="N27" s="1">
        <f>'抽奖|MoonBless'!DP27</f>
        <v>600</v>
      </c>
      <c r="O27" s="1">
        <f>'抽奖|MoonBless'!DQ27</f>
        <v>2</v>
      </c>
      <c r="P27" s="1">
        <f>'抽奖|MoonBless'!DR27</f>
        <v>1500</v>
      </c>
    </row>
  </sheetData>
  <phoneticPr fontId="64" type="noConversion"/>
  <conditionalFormatting sqref="E6">
    <cfRule type="containsText" dxfId="30" priority="13" operator="containsText" text=" ">
      <formula>NOT(ISERROR(SEARCH(" ",E6)))</formula>
    </cfRule>
  </conditionalFormatting>
  <conditionalFormatting sqref="E7">
    <cfRule type="containsText" dxfId="29" priority="6" operator="containsText" text=" ">
      <formula>NOT(ISERROR(SEARCH(" ",E7)))</formula>
    </cfRule>
  </conditionalFormatting>
  <conditionalFormatting sqref="E8">
    <cfRule type="containsText" dxfId="28" priority="5" operator="containsText" text=" ">
      <formula>NOT(ISERROR(SEARCH(" ",E8)))</formula>
    </cfRule>
  </conditionalFormatting>
  <conditionalFormatting sqref="E9">
    <cfRule type="containsText" dxfId="27" priority="12" operator="containsText" text=" ">
      <formula>NOT(ISERROR(SEARCH(" ",E9)))</formula>
    </cfRule>
  </conditionalFormatting>
  <conditionalFormatting sqref="E11">
    <cfRule type="containsText" dxfId="26" priority="11" operator="containsText" text=" ">
      <formula>NOT(ISERROR(SEARCH(" ",E11)))</formula>
    </cfRule>
  </conditionalFormatting>
  <conditionalFormatting sqref="P12">
    <cfRule type="containsText" dxfId="25" priority="20" operator="containsText" text=" ">
      <formula>NOT(ISERROR(SEARCH(" ",P12)))</formula>
    </cfRule>
  </conditionalFormatting>
  <conditionalFormatting sqref="E16">
    <cfRule type="containsText" dxfId="24" priority="3" operator="containsText" text=" ">
      <formula>NOT(ISERROR(SEARCH(" ",E16)))</formula>
    </cfRule>
  </conditionalFormatting>
  <conditionalFormatting sqref="L17:M17">
    <cfRule type="containsText" dxfId="23" priority="17" operator="containsText" text=" ">
      <formula>NOT(ISERROR(SEARCH(" ",L17)))</formula>
    </cfRule>
  </conditionalFormatting>
  <conditionalFormatting sqref="L18:M18">
    <cfRule type="containsText" dxfId="22" priority="16" operator="containsText" text=" ">
      <formula>NOT(ISERROR(SEARCH(" ",L18)))</formula>
    </cfRule>
  </conditionalFormatting>
  <conditionalFormatting sqref="P19">
    <cfRule type="containsText" dxfId="21" priority="15" operator="containsText" text=" ">
      <formula>NOT(ISERROR(SEARCH(" ",P19)))</formula>
    </cfRule>
  </conditionalFormatting>
  <conditionalFormatting sqref="A1:A11">
    <cfRule type="containsText" dxfId="20" priority="24" operator="containsText" text=" ">
      <formula>NOT(ISERROR(SEARCH(" ",A1)))</formula>
    </cfRule>
  </conditionalFormatting>
  <conditionalFormatting sqref="B5:B11">
    <cfRule type="containsText" dxfId="19" priority="7" operator="containsText" text=" ">
      <formula>NOT(ISERROR(SEARCH(" ",B5)))</formula>
    </cfRule>
  </conditionalFormatting>
  <conditionalFormatting sqref="C5:C11">
    <cfRule type="containsText" dxfId="18" priority="1" operator="containsText" text="1204">
      <formula>NOT(ISERROR(SEARCH("1204",C5)))</formula>
    </cfRule>
    <cfRule type="containsText" dxfId="17" priority="2" operator="containsText" text=" ">
      <formula>NOT(ISERROR(SEARCH(" ",C5)))</formula>
    </cfRule>
  </conditionalFormatting>
  <conditionalFormatting sqref="D5:D11">
    <cfRule type="containsText" dxfId="16" priority="31" operator="containsText" text=" ">
      <formula>NOT(ISERROR(SEARCH(" ",D5)))</formula>
    </cfRule>
  </conditionalFormatting>
  <conditionalFormatting sqref="N8:N11">
    <cfRule type="containsText" dxfId="15" priority="21" operator="containsText" text=" ">
      <formula>NOT(ISERROR(SEARCH(" ",N8)))</formula>
    </cfRule>
  </conditionalFormatting>
  <conditionalFormatting sqref="N13:N16">
    <cfRule type="containsText" dxfId="14" priority="18" operator="containsText" text=" ">
      <formula>NOT(ISERROR(SEARCH(" ",N13)))</formula>
    </cfRule>
  </conditionalFormatting>
  <conditionalFormatting sqref="P8:P11">
    <cfRule type="containsText" dxfId="13" priority="22" operator="containsText" text=" ">
      <formula>NOT(ISERROR(SEARCH(" ",P8)))</formula>
    </cfRule>
  </conditionalFormatting>
  <conditionalFormatting sqref="P13:P16">
    <cfRule type="containsText" dxfId="12" priority="19" operator="containsText" text=" ">
      <formula>NOT(ISERROR(SEARCH(" ",P13)))</formula>
    </cfRule>
  </conditionalFormatting>
  <conditionalFormatting sqref="O8:O11 L1:P7 L8:M11 L20:P1048576 L12:O12 L13:M16 O13:O16 N17:P18 L19:O19">
    <cfRule type="containsText" dxfId="11" priority="23" operator="containsText" text=" ">
      <formula>NOT(ISERROR(SEARCH(" ",L1)))</formula>
    </cfRule>
  </conditionalFormatting>
  <conditionalFormatting sqref="E10:I10 F11:I11 F6:I9 E5:I5">
    <cfRule type="containsText" dxfId="10" priority="14" operator="containsText" text=" ">
      <formula>NOT(ISERROR(SEARCH(" ",E5)))</formula>
    </cfRule>
  </conditionalFormatting>
  <conditionalFormatting sqref="F16:I16 E15:I15">
    <cfRule type="containsText" dxfId="9" priority="4" operator="containsText" text=" ">
      <formula>NOT(ISERROR(SEARCH(" ",E15)))</formula>
    </cfRule>
  </conditionalFormatting>
  <pageMargins left="0.69930555555555596" right="0.69930555555555596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rgb="FFFF0000"/>
  </sheetPr>
  <dimension ref="A1:V52"/>
  <sheetViews>
    <sheetView workbookViewId="0">
      <selection activeCell="X30" sqref="X30"/>
    </sheetView>
  </sheetViews>
  <sheetFormatPr defaultColWidth="9" defaultRowHeight="15.6" x14ac:dyDescent="0.25"/>
  <cols>
    <col min="1" max="2" width="7" customWidth="1"/>
    <col min="3" max="3" width="11.21875" customWidth="1"/>
    <col min="4" max="4" width="11.6640625" customWidth="1"/>
    <col min="5" max="5" width="10.6640625" customWidth="1"/>
    <col min="6" max="6" width="13.44140625" customWidth="1"/>
    <col min="7" max="7" width="10.109375" customWidth="1"/>
    <col min="9" max="10" width="9" style="1"/>
    <col min="11" max="11" width="7.77734375" style="1" customWidth="1"/>
    <col min="12" max="12" width="8" style="1" customWidth="1"/>
    <col min="13" max="13" width="7" style="1" customWidth="1"/>
    <col min="14" max="14" width="9.6640625" style="1" customWidth="1"/>
    <col min="15" max="15" width="9" style="1"/>
    <col min="16" max="16" width="10.109375" style="1" customWidth="1"/>
    <col min="17" max="17" width="9" style="1"/>
    <col min="18" max="18" width="9.21875" style="1" customWidth="1"/>
    <col min="19" max="19" width="13.109375" style="1" customWidth="1"/>
    <col min="20" max="20" width="9.6640625" style="1" customWidth="1"/>
    <col min="21" max="21" width="9" style="1"/>
    <col min="22" max="22" width="9.44140625" customWidth="1"/>
  </cols>
  <sheetData>
    <row r="1" spans="1:21" ht="45" x14ac:dyDescent="0.3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0</v>
      </c>
      <c r="I1" s="6" t="s">
        <v>2432</v>
      </c>
      <c r="K1" s="7" t="s">
        <v>2433</v>
      </c>
      <c r="L1" s="8" t="s">
        <v>2404</v>
      </c>
      <c r="M1" s="9" t="s">
        <v>2434</v>
      </c>
      <c r="N1" s="9" t="s">
        <v>2435</v>
      </c>
      <c r="O1" s="9" t="s">
        <v>2436</v>
      </c>
      <c r="P1" s="9" t="s">
        <v>2437</v>
      </c>
      <c r="Q1" s="17" t="s">
        <v>2438</v>
      </c>
      <c r="R1" s="18" t="s">
        <v>2439</v>
      </c>
      <c r="S1" s="6" t="s">
        <v>2440</v>
      </c>
      <c r="T1" s="6" t="s">
        <v>2441</v>
      </c>
    </row>
    <row r="2" spans="1:21" x14ac:dyDescent="0.35">
      <c r="A2" s="2" t="s">
        <v>11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I2" s="1">
        <f>100*1000</f>
        <v>100000</v>
      </c>
      <c r="K2" s="10">
        <v>0</v>
      </c>
      <c r="L2" s="11">
        <v>20</v>
      </c>
      <c r="M2" s="11">
        <f>L2</f>
        <v>20</v>
      </c>
      <c r="N2" s="11">
        <v>20</v>
      </c>
      <c r="O2" s="11">
        <v>0</v>
      </c>
      <c r="P2" s="11">
        <v>0</v>
      </c>
      <c r="Q2" s="19">
        <v>0</v>
      </c>
      <c r="R2" s="20">
        <v>0</v>
      </c>
      <c r="S2" s="20">
        <f t="shared" ref="S2:S8" si="0">R3</f>
        <v>3472.2222222222217</v>
      </c>
      <c r="T2" s="1">
        <v>0</v>
      </c>
      <c r="U2" s="20">
        <f>S2</f>
        <v>3472.2222222222217</v>
      </c>
    </row>
    <row r="3" spans="1:21" ht="30" x14ac:dyDescent="0.35">
      <c r="A3" s="2" t="s">
        <v>1373</v>
      </c>
      <c r="B3" s="3" t="s">
        <v>979</v>
      </c>
      <c r="C3" s="2" t="s">
        <v>2377</v>
      </c>
      <c r="D3" s="3" t="s">
        <v>2442</v>
      </c>
      <c r="E3" s="2" t="s">
        <v>2409</v>
      </c>
      <c r="F3" s="2" t="s">
        <v>2410</v>
      </c>
      <c r="G3" s="3" t="s">
        <v>2411</v>
      </c>
      <c r="K3" s="10">
        <v>1</v>
      </c>
      <c r="L3" s="11">
        <v>30</v>
      </c>
      <c r="M3" s="11">
        <f t="shared" ref="M3:M12" si="1">L3</f>
        <v>30</v>
      </c>
      <c r="N3" s="11">
        <f>L3</f>
        <v>30</v>
      </c>
      <c r="O3" s="11">
        <v>660</v>
      </c>
      <c r="P3" s="11">
        <v>1</v>
      </c>
      <c r="Q3" s="19">
        <f t="shared" ref="Q3:Q11" si="2">L3</f>
        <v>30</v>
      </c>
      <c r="R3" s="20">
        <f t="shared" ref="R3:R12" si="3">1/(0.96/L2)/6*1000</f>
        <v>3472.2222222222217</v>
      </c>
      <c r="S3" s="20">
        <f t="shared" si="0"/>
        <v>5208.333333333333</v>
      </c>
      <c r="T3" s="20">
        <f t="shared" ref="T3:T9" si="4">S3/O3*P3</f>
        <v>7.891414141414141</v>
      </c>
      <c r="U3" s="20">
        <f>U2+S3</f>
        <v>8680.5555555555547</v>
      </c>
    </row>
    <row r="4" spans="1:21" ht="26.4" x14ac:dyDescent="0.25">
      <c r="A4" s="4" t="s">
        <v>2433</v>
      </c>
      <c r="B4" s="4" t="s">
        <v>2404</v>
      </c>
      <c r="C4" s="4" t="s">
        <v>2434</v>
      </c>
      <c r="D4" s="4" t="s">
        <v>2435</v>
      </c>
      <c r="E4" s="4" t="s">
        <v>2436</v>
      </c>
      <c r="F4" s="4" t="s">
        <v>2437</v>
      </c>
      <c r="G4" s="4" t="s">
        <v>2438</v>
      </c>
      <c r="H4" s="5">
        <f>10+100+20+100+10</f>
        <v>240</v>
      </c>
      <c r="I4"/>
      <c r="J4" s="12" t="s">
        <v>2443</v>
      </c>
      <c r="K4" s="10">
        <v>2</v>
      </c>
      <c r="L4" s="11">
        <v>50</v>
      </c>
      <c r="M4" s="11">
        <f t="shared" si="1"/>
        <v>50</v>
      </c>
      <c r="N4" s="11">
        <f t="shared" ref="N4:N12" si="5">L4</f>
        <v>50</v>
      </c>
      <c r="O4" s="11">
        <f>O3</f>
        <v>660</v>
      </c>
      <c r="P4" s="11">
        <v>2</v>
      </c>
      <c r="Q4" s="19">
        <f t="shared" si="2"/>
        <v>50</v>
      </c>
      <c r="R4" s="20">
        <f t="shared" si="3"/>
        <v>5208.333333333333</v>
      </c>
      <c r="S4" s="20">
        <f t="shared" si="0"/>
        <v>8680.5555555555547</v>
      </c>
      <c r="T4" s="20">
        <f t="shared" si="4"/>
        <v>26.304713804713803</v>
      </c>
      <c r="U4" s="20">
        <f t="shared" ref="U4:U11" si="6">U3+S4</f>
        <v>17361.111111111109</v>
      </c>
    </row>
    <row r="5" spans="1:21" x14ac:dyDescent="0.25">
      <c r="A5" s="1">
        <v>0</v>
      </c>
      <c r="B5" s="1">
        <v>20</v>
      </c>
      <c r="C5" s="1">
        <v>20</v>
      </c>
      <c r="D5" s="1">
        <v>20</v>
      </c>
      <c r="E5" s="1">
        <v>0</v>
      </c>
      <c r="F5" s="1">
        <v>0</v>
      </c>
      <c r="G5" s="1">
        <v>0</v>
      </c>
      <c r="K5" s="10">
        <v>3</v>
      </c>
      <c r="L5" s="11">
        <v>80</v>
      </c>
      <c r="M5" s="11">
        <f t="shared" si="1"/>
        <v>80</v>
      </c>
      <c r="N5" s="11">
        <f t="shared" si="5"/>
        <v>80</v>
      </c>
      <c r="O5" s="11">
        <f t="shared" ref="O5:O12" si="7">O4</f>
        <v>660</v>
      </c>
      <c r="P5" s="11">
        <v>3</v>
      </c>
      <c r="Q5" s="19">
        <f t="shared" si="2"/>
        <v>80</v>
      </c>
      <c r="R5" s="20">
        <f t="shared" si="3"/>
        <v>8680.5555555555547</v>
      </c>
      <c r="S5" s="20">
        <f t="shared" si="0"/>
        <v>13888.888888888887</v>
      </c>
      <c r="T5" s="20">
        <f t="shared" si="4"/>
        <v>63.131313131313121</v>
      </c>
      <c r="U5" s="20">
        <f t="shared" si="6"/>
        <v>31249.999999999996</v>
      </c>
    </row>
    <row r="6" spans="1:21" x14ac:dyDescent="0.25">
      <c r="A6" s="1">
        <v>1</v>
      </c>
      <c r="B6" s="1">
        <v>30</v>
      </c>
      <c r="C6" s="1">
        <v>30</v>
      </c>
      <c r="D6" s="1">
        <v>30</v>
      </c>
      <c r="E6" s="1">
        <v>660</v>
      </c>
      <c r="F6" s="1">
        <v>1</v>
      </c>
      <c r="G6" s="1">
        <v>30</v>
      </c>
      <c r="K6" s="10">
        <v>4</v>
      </c>
      <c r="L6" s="11">
        <v>100</v>
      </c>
      <c r="M6" s="11">
        <f t="shared" si="1"/>
        <v>100</v>
      </c>
      <c r="N6" s="11">
        <f t="shared" si="5"/>
        <v>100</v>
      </c>
      <c r="O6" s="11">
        <f t="shared" si="7"/>
        <v>660</v>
      </c>
      <c r="P6" s="11">
        <v>4</v>
      </c>
      <c r="Q6" s="19">
        <f t="shared" si="2"/>
        <v>100</v>
      </c>
      <c r="R6" s="20">
        <f t="shared" si="3"/>
        <v>13888.888888888887</v>
      </c>
      <c r="S6" s="20">
        <f t="shared" si="0"/>
        <v>17361.111111111109</v>
      </c>
      <c r="T6" s="20">
        <f t="shared" si="4"/>
        <v>105.21885521885521</v>
      </c>
      <c r="U6" s="20">
        <f t="shared" si="6"/>
        <v>48611.111111111109</v>
      </c>
    </row>
    <row r="7" spans="1:21" x14ac:dyDescent="0.25">
      <c r="A7" s="1">
        <v>2</v>
      </c>
      <c r="B7" s="1">
        <v>50</v>
      </c>
      <c r="C7" s="1">
        <v>50</v>
      </c>
      <c r="D7" s="1">
        <v>50</v>
      </c>
      <c r="E7" s="1">
        <v>660</v>
      </c>
      <c r="F7" s="1">
        <v>2</v>
      </c>
      <c r="G7" s="1">
        <v>50</v>
      </c>
      <c r="K7" s="10">
        <v>5</v>
      </c>
      <c r="L7" s="11">
        <v>120</v>
      </c>
      <c r="M7" s="11">
        <f t="shared" si="1"/>
        <v>120</v>
      </c>
      <c r="N7" s="11">
        <f t="shared" si="5"/>
        <v>120</v>
      </c>
      <c r="O7" s="11">
        <f t="shared" si="7"/>
        <v>660</v>
      </c>
      <c r="P7" s="11">
        <v>5</v>
      </c>
      <c r="Q7" s="19">
        <f t="shared" si="2"/>
        <v>120</v>
      </c>
      <c r="R7" s="20">
        <f t="shared" si="3"/>
        <v>17361.111111111109</v>
      </c>
      <c r="S7" s="20">
        <f t="shared" si="0"/>
        <v>20833.333333333332</v>
      </c>
      <c r="T7" s="20">
        <f t="shared" si="4"/>
        <v>157.82828282828282</v>
      </c>
      <c r="U7" s="20">
        <f t="shared" si="6"/>
        <v>69444.444444444438</v>
      </c>
    </row>
    <row r="8" spans="1:21" x14ac:dyDescent="0.25">
      <c r="A8" s="1">
        <v>3</v>
      </c>
      <c r="B8" s="1">
        <v>80</v>
      </c>
      <c r="C8" s="1">
        <v>80</v>
      </c>
      <c r="D8" s="1">
        <v>80</v>
      </c>
      <c r="E8" s="1">
        <v>660</v>
      </c>
      <c r="F8" s="1">
        <v>3</v>
      </c>
      <c r="G8" s="1">
        <v>80</v>
      </c>
      <c r="K8" s="10">
        <v>6</v>
      </c>
      <c r="L8" s="11">
        <v>150</v>
      </c>
      <c r="M8" s="11">
        <f t="shared" si="1"/>
        <v>150</v>
      </c>
      <c r="N8" s="11">
        <f t="shared" si="5"/>
        <v>150</v>
      </c>
      <c r="O8" s="11">
        <f t="shared" si="7"/>
        <v>660</v>
      </c>
      <c r="P8" s="11">
        <v>6</v>
      </c>
      <c r="Q8" s="19">
        <f t="shared" si="2"/>
        <v>150</v>
      </c>
      <c r="R8" s="20">
        <f t="shared" si="3"/>
        <v>20833.333333333332</v>
      </c>
      <c r="S8" s="20">
        <f t="shared" si="0"/>
        <v>26041.666666666668</v>
      </c>
      <c r="T8" s="20">
        <f t="shared" si="4"/>
        <v>236.74242424242425</v>
      </c>
      <c r="U8" s="20">
        <f t="shared" si="6"/>
        <v>95486.111111111109</v>
      </c>
    </row>
    <row r="9" spans="1:21" x14ac:dyDescent="0.25">
      <c r="A9" s="1">
        <v>4</v>
      </c>
      <c r="B9" s="1">
        <v>100</v>
      </c>
      <c r="C9" s="1">
        <v>100</v>
      </c>
      <c r="D9" s="1">
        <v>100</v>
      </c>
      <c r="E9" s="1">
        <v>660</v>
      </c>
      <c r="F9" s="1">
        <v>4</v>
      </c>
      <c r="G9" s="1">
        <v>100</v>
      </c>
      <c r="K9" s="10">
        <v>7</v>
      </c>
      <c r="L9" s="11">
        <v>150</v>
      </c>
      <c r="M9" s="11">
        <f t="shared" si="1"/>
        <v>150</v>
      </c>
      <c r="N9" s="11">
        <f t="shared" si="5"/>
        <v>150</v>
      </c>
      <c r="O9" s="11">
        <f t="shared" si="7"/>
        <v>660</v>
      </c>
      <c r="P9" s="11">
        <v>7</v>
      </c>
      <c r="Q9" s="19">
        <f t="shared" si="2"/>
        <v>150</v>
      </c>
      <c r="R9" s="20">
        <f t="shared" si="3"/>
        <v>26041.666666666668</v>
      </c>
      <c r="S9" s="20">
        <f>I2-SUM(S1:S8)</f>
        <v>4513.8888888888905</v>
      </c>
      <c r="T9" s="20">
        <f t="shared" si="4"/>
        <v>47.874579124579142</v>
      </c>
      <c r="U9" s="20">
        <f t="shared" si="6"/>
        <v>100000</v>
      </c>
    </row>
    <row r="10" spans="1:21" x14ac:dyDescent="0.25">
      <c r="A10" s="1">
        <v>5</v>
      </c>
      <c r="B10" s="1">
        <v>120</v>
      </c>
      <c r="C10" s="1">
        <v>120</v>
      </c>
      <c r="D10" s="1">
        <v>120</v>
      </c>
      <c r="E10" s="1">
        <v>660</v>
      </c>
      <c r="F10" s="1">
        <v>5</v>
      </c>
      <c r="G10" s="1">
        <v>120</v>
      </c>
      <c r="K10" s="10">
        <v>8</v>
      </c>
      <c r="L10" s="11">
        <v>200</v>
      </c>
      <c r="M10" s="11">
        <f t="shared" si="1"/>
        <v>200</v>
      </c>
      <c r="N10" s="11">
        <f t="shared" si="5"/>
        <v>200</v>
      </c>
      <c r="O10" s="11">
        <f t="shared" si="7"/>
        <v>660</v>
      </c>
      <c r="P10" s="11">
        <v>8</v>
      </c>
      <c r="Q10" s="19">
        <f t="shared" si="2"/>
        <v>200</v>
      </c>
      <c r="R10" s="20">
        <f t="shared" si="3"/>
        <v>26041.666666666668</v>
      </c>
      <c r="S10" s="20"/>
      <c r="T10" s="20"/>
      <c r="U10" s="20">
        <f t="shared" si="6"/>
        <v>100000</v>
      </c>
    </row>
    <row r="11" spans="1:21" x14ac:dyDescent="0.25">
      <c r="A11" s="1">
        <v>6</v>
      </c>
      <c r="B11" s="1">
        <v>150</v>
      </c>
      <c r="C11" s="1">
        <v>150</v>
      </c>
      <c r="D11" s="1">
        <v>150</v>
      </c>
      <c r="E11" s="1">
        <v>660</v>
      </c>
      <c r="F11" s="1">
        <v>6</v>
      </c>
      <c r="G11" s="1">
        <v>150</v>
      </c>
      <c r="K11" s="10">
        <v>9</v>
      </c>
      <c r="L11" s="11">
        <v>250</v>
      </c>
      <c r="M11" s="11">
        <f t="shared" si="1"/>
        <v>250</v>
      </c>
      <c r="N11" s="11">
        <f t="shared" si="5"/>
        <v>250</v>
      </c>
      <c r="O11" s="11">
        <f t="shared" si="7"/>
        <v>660</v>
      </c>
      <c r="P11" s="11">
        <v>9</v>
      </c>
      <c r="Q11" s="19">
        <f t="shared" si="2"/>
        <v>250</v>
      </c>
      <c r="R11" s="20">
        <f t="shared" si="3"/>
        <v>34722.222222222219</v>
      </c>
      <c r="S11" s="20"/>
      <c r="T11" s="20"/>
      <c r="U11" s="20">
        <f t="shared" si="6"/>
        <v>100000</v>
      </c>
    </row>
    <row r="12" spans="1:21" x14ac:dyDescent="0.25">
      <c r="A12" s="1">
        <v>7</v>
      </c>
      <c r="B12" s="1">
        <v>150</v>
      </c>
      <c r="C12" s="1">
        <v>150</v>
      </c>
      <c r="D12" s="1">
        <v>150</v>
      </c>
      <c r="E12" s="1">
        <v>660</v>
      </c>
      <c r="F12" s="1">
        <v>7</v>
      </c>
      <c r="G12" s="1">
        <v>150</v>
      </c>
      <c r="K12" s="13">
        <v>10</v>
      </c>
      <c r="L12" s="14">
        <v>300</v>
      </c>
      <c r="M12" s="14">
        <f t="shared" si="1"/>
        <v>300</v>
      </c>
      <c r="N12" s="14">
        <f t="shared" si="5"/>
        <v>300</v>
      </c>
      <c r="O12" s="14">
        <f t="shared" si="7"/>
        <v>660</v>
      </c>
      <c r="P12" s="14">
        <v>10</v>
      </c>
      <c r="Q12" s="21">
        <f t="shared" ref="Q12" si="8">L12</f>
        <v>300</v>
      </c>
      <c r="R12" s="20">
        <f t="shared" si="3"/>
        <v>43402.777777777781</v>
      </c>
      <c r="U12" s="20"/>
    </row>
    <row r="13" spans="1:21" x14ac:dyDescent="0.25">
      <c r="A13" s="1">
        <v>8</v>
      </c>
      <c r="B13" s="1">
        <v>200</v>
      </c>
      <c r="C13" s="1">
        <v>200</v>
      </c>
      <c r="D13" s="1">
        <v>200</v>
      </c>
      <c r="E13" s="1">
        <v>660</v>
      </c>
      <c r="F13" s="1">
        <v>8</v>
      </c>
      <c r="G13" s="1">
        <v>200</v>
      </c>
      <c r="S13" s="22" t="s">
        <v>2444</v>
      </c>
      <c r="T13" s="23">
        <f>SUM(T2:T9)</f>
        <v>644.99158249158245</v>
      </c>
      <c r="U13" s="20"/>
    </row>
    <row r="14" spans="1:21" x14ac:dyDescent="0.25">
      <c r="A14" s="1">
        <v>9</v>
      </c>
      <c r="B14" s="1">
        <v>250</v>
      </c>
      <c r="C14" s="1">
        <v>250</v>
      </c>
      <c r="D14" s="1">
        <v>250</v>
      </c>
      <c r="E14" s="1">
        <v>660</v>
      </c>
      <c r="F14" s="1">
        <v>9</v>
      </c>
      <c r="G14" s="1">
        <v>250</v>
      </c>
      <c r="S14" s="24" t="s">
        <v>2445</v>
      </c>
      <c r="T14" s="19">
        <f>SUM(N2:N8)</f>
        <v>550</v>
      </c>
      <c r="U14" s="20"/>
    </row>
    <row r="15" spans="1:21" x14ac:dyDescent="0.25">
      <c r="A15" s="1">
        <v>10</v>
      </c>
      <c r="B15" s="1">
        <v>300</v>
      </c>
      <c r="C15" s="1">
        <v>300</v>
      </c>
      <c r="D15" s="1">
        <v>300</v>
      </c>
      <c r="E15" s="1">
        <v>660</v>
      </c>
      <c r="F15" s="1">
        <v>10</v>
      </c>
      <c r="G15" s="1">
        <v>300</v>
      </c>
      <c r="S15" s="24" t="s">
        <v>2425</v>
      </c>
      <c r="T15" s="19">
        <f>Q9</f>
        <v>150</v>
      </c>
      <c r="U15" s="20"/>
    </row>
    <row r="16" spans="1:21" x14ac:dyDescent="0.25">
      <c r="S16" s="25" t="s">
        <v>2446</v>
      </c>
      <c r="T16" s="26">
        <f>SUM(T13:T15)</f>
        <v>1344.9915824915824</v>
      </c>
      <c r="U16" s="20"/>
    </row>
    <row r="20" spans="10:21" ht="45" x14ac:dyDescent="0.25">
      <c r="K20" s="15" t="s">
        <v>2433</v>
      </c>
      <c r="L20" s="16" t="s">
        <v>2404</v>
      </c>
      <c r="M20" s="16" t="s">
        <v>2434</v>
      </c>
      <c r="N20" s="16" t="s">
        <v>2435</v>
      </c>
      <c r="O20" s="16" t="s">
        <v>2436</v>
      </c>
      <c r="P20" s="16" t="s">
        <v>2437</v>
      </c>
      <c r="Q20" s="27" t="s">
        <v>2438</v>
      </c>
      <c r="R20" s="18" t="s">
        <v>2439</v>
      </c>
      <c r="S20" s="6" t="s">
        <v>2440</v>
      </c>
      <c r="T20" s="6" t="s">
        <v>2441</v>
      </c>
    </row>
    <row r="21" spans="10:21" x14ac:dyDescent="0.25">
      <c r="K21" s="1">
        <v>0</v>
      </c>
      <c r="L21" s="1">
        <f>L2</f>
        <v>20</v>
      </c>
      <c r="M21" s="1">
        <f>L21</f>
        <v>20</v>
      </c>
      <c r="N21" s="1">
        <f>N2</f>
        <v>20</v>
      </c>
      <c r="O21" s="1">
        <f>O2</f>
        <v>0</v>
      </c>
      <c r="P21" s="1">
        <f>P2</f>
        <v>0</v>
      </c>
      <c r="Q21" s="1">
        <f>Q2</f>
        <v>0</v>
      </c>
      <c r="R21" s="20">
        <f>R2</f>
        <v>0</v>
      </c>
      <c r="S21" s="20">
        <f t="shared" ref="S21:S32" si="9">R22</f>
        <v>868.05555555555543</v>
      </c>
      <c r="T21" s="1">
        <v>0</v>
      </c>
      <c r="U21" s="20">
        <f>S21</f>
        <v>868.05555555555543</v>
      </c>
    </row>
    <row r="22" spans="10:21" x14ac:dyDescent="0.25">
      <c r="K22" s="1">
        <v>1</v>
      </c>
      <c r="L22" s="1">
        <f t="shared" ref="L22:Q31" si="10">L3</f>
        <v>30</v>
      </c>
      <c r="M22" s="1">
        <f t="shared" ref="M22:M36" si="11">L22</f>
        <v>30</v>
      </c>
      <c r="N22" s="1">
        <f t="shared" si="10"/>
        <v>30</v>
      </c>
      <c r="O22" s="1">
        <f t="shared" ref="O22:O30" si="12">O3</f>
        <v>660</v>
      </c>
      <c r="P22" s="1">
        <f t="shared" si="10"/>
        <v>1</v>
      </c>
      <c r="Q22" s="1">
        <f t="shared" si="10"/>
        <v>30</v>
      </c>
      <c r="R22" s="20">
        <f t="shared" ref="R22:R40" si="13">1/(0.96/L21)/6*1000/4</f>
        <v>868.05555555555543</v>
      </c>
      <c r="S22" s="20">
        <f t="shared" si="9"/>
        <v>1302.0833333333333</v>
      </c>
      <c r="T22" s="20">
        <f t="shared" ref="T22:T33" si="14">S22/O22*P22</f>
        <v>1.9728535353535352</v>
      </c>
      <c r="U22" s="20">
        <f>U21+S22</f>
        <v>2170.1388888888887</v>
      </c>
    </row>
    <row r="23" spans="10:21" x14ac:dyDescent="0.25">
      <c r="K23" s="1">
        <v>2</v>
      </c>
      <c r="L23" s="1">
        <f t="shared" si="10"/>
        <v>50</v>
      </c>
      <c r="M23" s="1">
        <f t="shared" si="11"/>
        <v>50</v>
      </c>
      <c r="N23" s="1">
        <f t="shared" si="10"/>
        <v>50</v>
      </c>
      <c r="O23" s="1">
        <f t="shared" si="12"/>
        <v>660</v>
      </c>
      <c r="P23" s="1">
        <f t="shared" si="10"/>
        <v>2</v>
      </c>
      <c r="Q23" s="1">
        <f t="shared" si="10"/>
        <v>50</v>
      </c>
      <c r="R23" s="20">
        <f t="shared" si="13"/>
        <v>1302.0833333333333</v>
      </c>
      <c r="S23" s="20">
        <f t="shared" si="9"/>
        <v>2170.1388888888887</v>
      </c>
      <c r="T23" s="20">
        <f t="shared" si="14"/>
        <v>6.5761784511784507</v>
      </c>
      <c r="U23" s="20">
        <f t="shared" ref="U23:U33" si="15">U22+S23</f>
        <v>4340.2777777777774</v>
      </c>
    </row>
    <row r="24" spans="10:21" x14ac:dyDescent="0.25">
      <c r="J24" s="12" t="s">
        <v>2447</v>
      </c>
      <c r="K24" s="1">
        <v>3</v>
      </c>
      <c r="L24" s="1">
        <f t="shared" si="10"/>
        <v>80</v>
      </c>
      <c r="M24" s="1">
        <f t="shared" si="11"/>
        <v>80</v>
      </c>
      <c r="N24" s="1">
        <f t="shared" si="10"/>
        <v>80</v>
      </c>
      <c r="O24" s="1">
        <f t="shared" si="12"/>
        <v>660</v>
      </c>
      <c r="P24" s="1">
        <f t="shared" si="10"/>
        <v>3</v>
      </c>
      <c r="Q24" s="1">
        <f t="shared" si="10"/>
        <v>80</v>
      </c>
      <c r="R24" s="20">
        <f t="shared" si="13"/>
        <v>2170.1388888888887</v>
      </c>
      <c r="S24" s="20">
        <f t="shared" si="9"/>
        <v>3472.2222222222217</v>
      </c>
      <c r="T24" s="20">
        <f t="shared" si="14"/>
        <v>15.78282828282828</v>
      </c>
      <c r="U24" s="20">
        <f t="shared" si="15"/>
        <v>7812.4999999999991</v>
      </c>
    </row>
    <row r="25" spans="10:21" x14ac:dyDescent="0.25">
      <c r="K25" s="1">
        <v>4</v>
      </c>
      <c r="L25" s="1">
        <f t="shared" si="10"/>
        <v>100</v>
      </c>
      <c r="M25" s="1">
        <f t="shared" si="11"/>
        <v>100</v>
      </c>
      <c r="N25" s="1">
        <f t="shared" si="10"/>
        <v>100</v>
      </c>
      <c r="O25" s="1">
        <f t="shared" si="12"/>
        <v>660</v>
      </c>
      <c r="P25" s="1">
        <f t="shared" si="10"/>
        <v>4</v>
      </c>
      <c r="Q25" s="1">
        <f t="shared" si="10"/>
        <v>100</v>
      </c>
      <c r="R25" s="20">
        <f t="shared" si="13"/>
        <v>3472.2222222222217</v>
      </c>
      <c r="S25" s="20">
        <f t="shared" si="9"/>
        <v>4340.2777777777774</v>
      </c>
      <c r="T25" s="20">
        <f t="shared" si="14"/>
        <v>26.304713804713803</v>
      </c>
      <c r="U25" s="20">
        <f t="shared" si="15"/>
        <v>12152.777777777777</v>
      </c>
    </row>
    <row r="26" spans="10:21" x14ac:dyDescent="0.25">
      <c r="K26" s="1">
        <v>5</v>
      </c>
      <c r="L26" s="1">
        <f t="shared" si="10"/>
        <v>120</v>
      </c>
      <c r="M26" s="1">
        <f t="shared" si="11"/>
        <v>120</v>
      </c>
      <c r="N26" s="1">
        <f t="shared" si="10"/>
        <v>120</v>
      </c>
      <c r="O26" s="1">
        <f t="shared" si="12"/>
        <v>660</v>
      </c>
      <c r="P26" s="1">
        <f t="shared" si="10"/>
        <v>5</v>
      </c>
      <c r="Q26" s="1">
        <f t="shared" si="10"/>
        <v>120</v>
      </c>
      <c r="R26" s="20">
        <f t="shared" si="13"/>
        <v>4340.2777777777774</v>
      </c>
      <c r="S26" s="20">
        <f t="shared" si="9"/>
        <v>5208.333333333333</v>
      </c>
      <c r="T26" s="20">
        <f t="shared" si="14"/>
        <v>39.457070707070706</v>
      </c>
      <c r="U26" s="20">
        <f t="shared" si="15"/>
        <v>17361.111111111109</v>
      </c>
    </row>
    <row r="27" spans="10:21" x14ac:dyDescent="0.25">
      <c r="K27" s="1">
        <v>6</v>
      </c>
      <c r="L27" s="1">
        <f t="shared" si="10"/>
        <v>150</v>
      </c>
      <c r="M27" s="1">
        <f t="shared" si="11"/>
        <v>150</v>
      </c>
      <c r="N27" s="1">
        <f t="shared" si="10"/>
        <v>150</v>
      </c>
      <c r="O27" s="1">
        <f t="shared" si="12"/>
        <v>660</v>
      </c>
      <c r="P27" s="1">
        <f t="shared" si="10"/>
        <v>6</v>
      </c>
      <c r="Q27" s="1">
        <f t="shared" si="10"/>
        <v>150</v>
      </c>
      <c r="R27" s="20">
        <f t="shared" si="13"/>
        <v>5208.333333333333</v>
      </c>
      <c r="S27" s="20">
        <f t="shared" si="9"/>
        <v>6510.416666666667</v>
      </c>
      <c r="T27" s="20">
        <f t="shared" si="14"/>
        <v>59.185606060606062</v>
      </c>
      <c r="U27" s="20">
        <f t="shared" si="15"/>
        <v>23871.527777777777</v>
      </c>
    </row>
    <row r="28" spans="10:21" x14ac:dyDescent="0.25">
      <c r="K28" s="1">
        <v>7</v>
      </c>
      <c r="L28" s="1">
        <f t="shared" si="10"/>
        <v>150</v>
      </c>
      <c r="M28" s="1">
        <f t="shared" si="11"/>
        <v>150</v>
      </c>
      <c r="N28" s="1">
        <f t="shared" si="10"/>
        <v>150</v>
      </c>
      <c r="O28" s="1">
        <f t="shared" si="12"/>
        <v>660</v>
      </c>
      <c r="P28" s="1">
        <f t="shared" si="10"/>
        <v>7</v>
      </c>
      <c r="Q28" s="1">
        <f t="shared" si="10"/>
        <v>150</v>
      </c>
      <c r="R28" s="20">
        <f t="shared" si="13"/>
        <v>6510.416666666667</v>
      </c>
      <c r="S28" s="20">
        <f t="shared" si="9"/>
        <v>6510.416666666667</v>
      </c>
      <c r="T28" s="20">
        <f t="shared" si="14"/>
        <v>69.04987373737373</v>
      </c>
      <c r="U28" s="20">
        <f t="shared" si="15"/>
        <v>30381.944444444445</v>
      </c>
    </row>
    <row r="29" spans="10:21" x14ac:dyDescent="0.25">
      <c r="K29" s="1">
        <v>8</v>
      </c>
      <c r="L29" s="1">
        <f t="shared" si="10"/>
        <v>200</v>
      </c>
      <c r="M29" s="1">
        <f t="shared" si="11"/>
        <v>200</v>
      </c>
      <c r="N29" s="1">
        <f t="shared" si="10"/>
        <v>200</v>
      </c>
      <c r="O29" s="1">
        <f t="shared" si="12"/>
        <v>660</v>
      </c>
      <c r="P29" s="1">
        <f t="shared" si="10"/>
        <v>8</v>
      </c>
      <c r="Q29" s="1">
        <f t="shared" si="10"/>
        <v>200</v>
      </c>
      <c r="R29" s="20">
        <f t="shared" si="13"/>
        <v>6510.416666666667</v>
      </c>
      <c r="S29" s="20">
        <f t="shared" si="9"/>
        <v>8680.5555555555547</v>
      </c>
      <c r="T29" s="20">
        <f t="shared" si="14"/>
        <v>105.21885521885521</v>
      </c>
      <c r="U29" s="20">
        <f t="shared" si="15"/>
        <v>39062.5</v>
      </c>
    </row>
    <row r="30" spans="10:21" x14ac:dyDescent="0.25">
      <c r="K30" s="1">
        <v>9</v>
      </c>
      <c r="L30" s="1">
        <f t="shared" si="10"/>
        <v>250</v>
      </c>
      <c r="M30" s="1">
        <f t="shared" si="11"/>
        <v>250</v>
      </c>
      <c r="N30" s="1">
        <f t="shared" si="10"/>
        <v>250</v>
      </c>
      <c r="O30" s="1">
        <f t="shared" si="12"/>
        <v>660</v>
      </c>
      <c r="P30" s="1">
        <f t="shared" si="10"/>
        <v>9</v>
      </c>
      <c r="Q30" s="1">
        <f t="shared" si="10"/>
        <v>250</v>
      </c>
      <c r="R30" s="20">
        <f t="shared" si="13"/>
        <v>8680.5555555555547</v>
      </c>
      <c r="S30" s="20">
        <f t="shared" si="9"/>
        <v>10850.694444444445</v>
      </c>
      <c r="T30" s="20">
        <f t="shared" si="14"/>
        <v>147.96401515151516</v>
      </c>
      <c r="U30" s="20">
        <f t="shared" si="15"/>
        <v>49913.194444444445</v>
      </c>
    </row>
    <row r="31" spans="10:21" x14ac:dyDescent="0.25">
      <c r="K31" s="1">
        <v>10</v>
      </c>
      <c r="L31" s="1">
        <f t="shared" si="10"/>
        <v>300</v>
      </c>
      <c r="M31" s="1">
        <f t="shared" si="11"/>
        <v>300</v>
      </c>
      <c r="N31" s="1">
        <f t="shared" si="10"/>
        <v>300</v>
      </c>
      <c r="O31" s="1">
        <f t="shared" ref="O31:O40" si="16">O30</f>
        <v>660</v>
      </c>
      <c r="P31" s="1">
        <f t="shared" si="10"/>
        <v>10</v>
      </c>
      <c r="Q31" s="1">
        <f t="shared" si="10"/>
        <v>300</v>
      </c>
      <c r="R31" s="20">
        <f t="shared" si="13"/>
        <v>10850.694444444445</v>
      </c>
      <c r="S31" s="20">
        <f t="shared" si="9"/>
        <v>13020.833333333334</v>
      </c>
      <c r="T31" s="20">
        <f t="shared" si="14"/>
        <v>197.28535353535352</v>
      </c>
      <c r="U31" s="20">
        <f t="shared" si="15"/>
        <v>62934.027777777781</v>
      </c>
    </row>
    <row r="32" spans="10:21" x14ac:dyDescent="0.25">
      <c r="K32" s="1">
        <f t="shared" ref="K32:Q36" si="17">K31</f>
        <v>10</v>
      </c>
      <c r="L32" s="1">
        <f t="shared" si="17"/>
        <v>300</v>
      </c>
      <c r="M32" s="1">
        <f t="shared" si="11"/>
        <v>300</v>
      </c>
      <c r="N32" s="1">
        <f t="shared" ref="N32:N40" si="18">N31</f>
        <v>300</v>
      </c>
      <c r="O32" s="1">
        <f t="shared" si="16"/>
        <v>660</v>
      </c>
      <c r="P32" s="1">
        <f t="shared" si="17"/>
        <v>10</v>
      </c>
      <c r="Q32" s="1">
        <f>Q31</f>
        <v>300</v>
      </c>
      <c r="R32" s="20">
        <f t="shared" si="13"/>
        <v>13020.833333333334</v>
      </c>
      <c r="S32" s="20">
        <f t="shared" si="9"/>
        <v>13020.833333333334</v>
      </c>
      <c r="T32" s="20">
        <f t="shared" si="14"/>
        <v>197.28535353535352</v>
      </c>
      <c r="U32" s="20">
        <f t="shared" si="15"/>
        <v>75954.861111111109</v>
      </c>
    </row>
    <row r="33" spans="11:22" x14ac:dyDescent="0.25">
      <c r="K33" s="1">
        <f t="shared" si="17"/>
        <v>10</v>
      </c>
      <c r="L33" s="1">
        <f t="shared" si="17"/>
        <v>300</v>
      </c>
      <c r="M33" s="1">
        <f t="shared" si="11"/>
        <v>300</v>
      </c>
      <c r="N33" s="1">
        <f t="shared" si="18"/>
        <v>300</v>
      </c>
      <c r="O33" s="1">
        <f t="shared" si="16"/>
        <v>660</v>
      </c>
      <c r="P33" s="1">
        <f t="shared" si="17"/>
        <v>10</v>
      </c>
      <c r="Q33" s="1">
        <f t="shared" si="17"/>
        <v>300</v>
      </c>
      <c r="R33" s="20">
        <f t="shared" si="13"/>
        <v>13020.833333333334</v>
      </c>
      <c r="S33" s="20">
        <f t="shared" ref="S33" si="19">R34</f>
        <v>13020.833333333334</v>
      </c>
      <c r="T33" s="20">
        <f t="shared" si="14"/>
        <v>197.28535353535352</v>
      </c>
      <c r="U33" s="20">
        <f t="shared" si="15"/>
        <v>88975.694444444438</v>
      </c>
    </row>
    <row r="34" spans="11:22" x14ac:dyDescent="0.25">
      <c r="K34" s="1">
        <f t="shared" si="17"/>
        <v>10</v>
      </c>
      <c r="L34" s="1">
        <f t="shared" si="17"/>
        <v>300</v>
      </c>
      <c r="M34" s="1">
        <f t="shared" si="11"/>
        <v>300</v>
      </c>
      <c r="N34" s="1">
        <f t="shared" si="18"/>
        <v>300</v>
      </c>
      <c r="O34" s="1">
        <f t="shared" si="16"/>
        <v>660</v>
      </c>
      <c r="P34" s="1">
        <f t="shared" si="17"/>
        <v>10</v>
      </c>
      <c r="Q34" s="1">
        <f t="shared" si="17"/>
        <v>300</v>
      </c>
      <c r="R34" s="20">
        <f t="shared" si="13"/>
        <v>13020.833333333334</v>
      </c>
      <c r="S34" s="20">
        <f>I2-SUM(S21:S33)</f>
        <v>11024.305555555562</v>
      </c>
      <c r="T34" s="20">
        <f t="shared" ref="T34" si="20">S34/O34*P34</f>
        <v>167.03493265993276</v>
      </c>
      <c r="U34" s="20">
        <f t="shared" ref="U34" si="21">U33+S34</f>
        <v>100000</v>
      </c>
    </row>
    <row r="35" spans="11:22" x14ac:dyDescent="0.25">
      <c r="K35" s="1">
        <f t="shared" si="17"/>
        <v>10</v>
      </c>
      <c r="L35" s="1">
        <f t="shared" si="17"/>
        <v>300</v>
      </c>
      <c r="M35" s="1">
        <f t="shared" si="11"/>
        <v>300</v>
      </c>
      <c r="N35" s="1">
        <f t="shared" si="18"/>
        <v>300</v>
      </c>
      <c r="O35" s="1">
        <f t="shared" si="16"/>
        <v>660</v>
      </c>
      <c r="P35" s="1">
        <f t="shared" si="17"/>
        <v>10</v>
      </c>
      <c r="Q35" s="1">
        <f t="shared" si="17"/>
        <v>300</v>
      </c>
      <c r="R35" s="20">
        <f t="shared" si="13"/>
        <v>13020.833333333334</v>
      </c>
      <c r="S35" s="20"/>
      <c r="T35" s="20"/>
      <c r="U35" s="20"/>
    </row>
    <row r="36" spans="11:22" x14ac:dyDescent="0.25">
      <c r="K36" s="1">
        <f t="shared" si="17"/>
        <v>10</v>
      </c>
      <c r="L36" s="1">
        <f t="shared" si="17"/>
        <v>300</v>
      </c>
      <c r="M36" s="1">
        <f t="shared" si="11"/>
        <v>300</v>
      </c>
      <c r="N36" s="1">
        <f t="shared" si="18"/>
        <v>300</v>
      </c>
      <c r="O36" s="1">
        <f t="shared" si="16"/>
        <v>660</v>
      </c>
      <c r="P36" s="1">
        <f t="shared" si="17"/>
        <v>10</v>
      </c>
      <c r="Q36" s="1">
        <f t="shared" si="17"/>
        <v>300</v>
      </c>
      <c r="R36" s="20">
        <f t="shared" si="13"/>
        <v>13020.833333333334</v>
      </c>
      <c r="S36" s="20"/>
      <c r="T36" s="20"/>
      <c r="U36" s="20"/>
    </row>
    <row r="37" spans="11:22" x14ac:dyDescent="0.25">
      <c r="K37" s="1">
        <f t="shared" ref="K37:L39" si="22">K36</f>
        <v>10</v>
      </c>
      <c r="L37" s="1">
        <f t="shared" si="22"/>
        <v>300</v>
      </c>
      <c r="M37" s="1">
        <f t="shared" ref="M37:M38" si="23">L37</f>
        <v>300</v>
      </c>
      <c r="N37" s="1">
        <f t="shared" si="18"/>
        <v>300</v>
      </c>
      <c r="O37" s="1">
        <f t="shared" si="16"/>
        <v>660</v>
      </c>
      <c r="P37" s="1">
        <f t="shared" ref="P37:Q39" si="24">P36</f>
        <v>10</v>
      </c>
      <c r="Q37" s="1">
        <f t="shared" si="24"/>
        <v>300</v>
      </c>
      <c r="R37" s="20">
        <f t="shared" si="13"/>
        <v>13020.833333333334</v>
      </c>
      <c r="S37" s="20"/>
      <c r="T37" s="20"/>
      <c r="U37" s="20"/>
    </row>
    <row r="38" spans="11:22" x14ac:dyDescent="0.25">
      <c r="K38" s="1">
        <f t="shared" ref="K38:L40" si="25">K37</f>
        <v>10</v>
      </c>
      <c r="L38" s="1">
        <f t="shared" si="25"/>
        <v>300</v>
      </c>
      <c r="M38" s="1">
        <f t="shared" si="23"/>
        <v>300</v>
      </c>
      <c r="N38" s="1">
        <f t="shared" si="18"/>
        <v>300</v>
      </c>
      <c r="O38" s="1">
        <f t="shared" si="16"/>
        <v>660</v>
      </c>
      <c r="P38" s="1">
        <f t="shared" ref="P38:Q40" si="26">P37</f>
        <v>10</v>
      </c>
      <c r="Q38" s="1">
        <f t="shared" si="26"/>
        <v>300</v>
      </c>
      <c r="R38" s="20">
        <f t="shared" si="13"/>
        <v>13020.833333333334</v>
      </c>
      <c r="S38" s="20"/>
      <c r="T38" s="20"/>
      <c r="U38" s="20"/>
    </row>
    <row r="39" spans="11:22" x14ac:dyDescent="0.25">
      <c r="K39" s="1">
        <f t="shared" si="22"/>
        <v>10</v>
      </c>
      <c r="L39" s="1">
        <f t="shared" si="22"/>
        <v>300</v>
      </c>
      <c r="M39" s="1">
        <f t="shared" ref="M39:M40" si="27">L39</f>
        <v>300</v>
      </c>
      <c r="N39" s="1">
        <f t="shared" si="18"/>
        <v>300</v>
      </c>
      <c r="O39" s="1">
        <f t="shared" si="16"/>
        <v>660</v>
      </c>
      <c r="P39" s="1">
        <f t="shared" si="24"/>
        <v>10</v>
      </c>
      <c r="Q39" s="1">
        <f t="shared" si="24"/>
        <v>300</v>
      </c>
      <c r="R39" s="20">
        <f t="shared" si="13"/>
        <v>13020.833333333334</v>
      </c>
      <c r="S39" s="20"/>
      <c r="T39" s="20"/>
      <c r="U39" s="20"/>
    </row>
    <row r="40" spans="11:22" x14ac:dyDescent="0.25">
      <c r="K40" s="1">
        <f t="shared" si="25"/>
        <v>10</v>
      </c>
      <c r="L40" s="1">
        <f t="shared" si="25"/>
        <v>300</v>
      </c>
      <c r="M40" s="1">
        <f t="shared" si="27"/>
        <v>300</v>
      </c>
      <c r="N40" s="1">
        <f t="shared" si="18"/>
        <v>300</v>
      </c>
      <c r="O40" s="1">
        <f t="shared" si="16"/>
        <v>660</v>
      </c>
      <c r="P40" s="1">
        <f t="shared" si="26"/>
        <v>10</v>
      </c>
      <c r="Q40" s="1">
        <f t="shared" si="26"/>
        <v>300</v>
      </c>
      <c r="R40" s="20">
        <f t="shared" si="13"/>
        <v>13020.833333333334</v>
      </c>
    </row>
    <row r="42" spans="11:22" x14ac:dyDescent="0.25">
      <c r="S42" s="22" t="s">
        <v>2444</v>
      </c>
      <c r="T42" s="23">
        <f>SUM(T21:T39)</f>
        <v>1230.4029882154884</v>
      </c>
      <c r="U42" s="1">
        <f t="shared" ref="U42" si="28">T42/4</f>
        <v>307.60074705387211</v>
      </c>
    </row>
    <row r="43" spans="11:22" x14ac:dyDescent="0.3">
      <c r="S43" s="24" t="s">
        <v>2448</v>
      </c>
      <c r="T43" s="19">
        <f>SUM(N21:N32)</f>
        <v>1750</v>
      </c>
      <c r="U43" s="1">
        <f>T43/4+N33</f>
        <v>737.5</v>
      </c>
      <c r="V43" s="28" t="s">
        <v>2449</v>
      </c>
    </row>
    <row r="44" spans="11:22" x14ac:dyDescent="0.25">
      <c r="S44" s="24" t="s">
        <v>2425</v>
      </c>
      <c r="T44" s="19">
        <f>Q37</f>
        <v>300</v>
      </c>
      <c r="U44" s="1">
        <f>T44</f>
        <v>300</v>
      </c>
    </row>
    <row r="45" spans="11:22" x14ac:dyDescent="0.35">
      <c r="S45" s="25" t="s">
        <v>2446</v>
      </c>
      <c r="T45" s="26">
        <f>SUM(T42:T44)</f>
        <v>3280.4029882154882</v>
      </c>
      <c r="U45" s="1">
        <f>SUM(U42:U44)</f>
        <v>1345.1007470538721</v>
      </c>
      <c r="V45" s="29">
        <f>U45/T16</f>
        <v>1.0000811637512907</v>
      </c>
    </row>
    <row r="52" spans="18:18" x14ac:dyDescent="0.25">
      <c r="R52" s="20"/>
    </row>
  </sheetData>
  <phoneticPr fontId="64" type="noConversion"/>
  <conditionalFormatting sqref="U2">
    <cfRule type="containsText" dxfId="8" priority="5" operator="containsText" text=" ">
      <formula>NOT(ISERROR(SEARCH(" ",U2)))</formula>
    </cfRule>
  </conditionalFormatting>
  <conditionalFormatting sqref="B5:G5">
    <cfRule type="containsText" dxfId="7" priority="1" operator="containsText" text=" ">
      <formula>NOT(ISERROR(SEARCH(" ",B5)))</formula>
    </cfRule>
  </conditionalFormatting>
  <conditionalFormatting sqref="M21:M40">
    <cfRule type="containsText" dxfId="6" priority="2" operator="containsText" text=" ">
      <formula>NOT(ISERROR(SEARCH(" ",M21)))</formula>
    </cfRule>
  </conditionalFormatting>
  <conditionalFormatting sqref="N21:N31">
    <cfRule type="containsText" dxfId="5" priority="3" operator="containsText" text=" ">
      <formula>NOT(ISERROR(SEARCH(" ",N21)))</formula>
    </cfRule>
  </conditionalFormatting>
  <conditionalFormatting sqref="U3:U16">
    <cfRule type="containsText" dxfId="4" priority="4" operator="containsText" text=" ">
      <formula>NOT(ISERROR(SEARCH(" ",U3)))</formula>
    </cfRule>
  </conditionalFormatting>
  <conditionalFormatting sqref="I5:J6 I37:I52">
    <cfRule type="containsText" dxfId="3" priority="8" operator="containsText" text=" ">
      <formula>NOT(ISERROR(SEARCH(" ",I5)))</formula>
    </cfRule>
  </conditionalFormatting>
  <conditionalFormatting sqref="B6:D15">
    <cfRule type="containsText" dxfId="2" priority="9" operator="containsText" text=" ">
      <formula>NOT(ISERROR(SEARCH(" ",B6)))</formula>
    </cfRule>
  </conditionalFormatting>
  <conditionalFormatting sqref="I7:J8 I9:I36 S13:T16 J20:J40 J52:N52 I53:N1048576 S42:U45 K24:K26 K29:K31 L32:L40 N32:N40 U20:U39">
    <cfRule type="containsText" dxfId="1" priority="7" operator="containsText" text=" ">
      <formula>NOT(ISERROR(SEARCH(" ",I7)))</formula>
    </cfRule>
  </conditionalFormatting>
  <conditionalFormatting sqref="A9:A15 O52:P1048576 Q52:R52 Q53:U1048576 O31 O32:P40">
    <cfRule type="containsText" dxfId="0" priority="10" operator="containsText" text=" ">
      <formula>NOT(ISERROR(SEARCH(" ",A9)))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Y1206"/>
  <sheetViews>
    <sheetView topLeftCell="G1" workbookViewId="0">
      <selection activeCell="Q34" sqref="Q34"/>
    </sheetView>
  </sheetViews>
  <sheetFormatPr defaultColWidth="8.88671875" defaultRowHeight="14.4" x14ac:dyDescent="0.25"/>
  <cols>
    <col min="1" max="1" width="8.88671875" style="5"/>
    <col min="2" max="2" width="12.77734375" style="5" customWidth="1"/>
    <col min="3" max="4" width="16" style="5" customWidth="1"/>
    <col min="5" max="5" width="12.44140625" style="5" customWidth="1"/>
    <col min="6" max="6" width="12.88671875" style="5" customWidth="1"/>
    <col min="7" max="7" width="9.88671875" style="5" customWidth="1"/>
    <col min="8" max="8" width="12.21875" style="5" customWidth="1"/>
    <col min="9" max="9" width="28.109375" style="5" customWidth="1"/>
    <col min="10" max="10" width="8.88671875" style="5"/>
    <col min="11" max="11" width="8.21875" style="5" customWidth="1"/>
    <col min="12" max="12" width="10.44140625" style="5" customWidth="1"/>
    <col min="13" max="13" width="12.77734375" style="5" customWidth="1"/>
    <col min="14" max="14" width="8.88671875" style="5"/>
    <col min="15" max="15" width="12.77734375" style="5" customWidth="1"/>
    <col min="16" max="16" width="16.44140625" style="5" customWidth="1"/>
    <col min="17" max="17" width="13.109375" style="5" customWidth="1"/>
    <col min="18" max="18" width="19.33203125" style="563" customWidth="1"/>
    <col min="19" max="19" width="18.33203125" style="5" customWidth="1"/>
    <col min="20" max="20" width="13.88671875" style="5" customWidth="1"/>
    <col min="21" max="21" width="17.21875" style="563" customWidth="1"/>
    <col min="22" max="23" width="13.88671875" style="5" customWidth="1"/>
    <col min="24" max="24" width="11.6640625" style="5" customWidth="1"/>
    <col min="25" max="25" width="22.6640625" style="5" customWidth="1"/>
    <col min="26" max="26" width="13.88671875" style="5" customWidth="1"/>
    <col min="27" max="27" width="9.44140625" style="5" customWidth="1"/>
    <col min="28" max="16384" width="8.88671875" style="5"/>
  </cols>
  <sheetData>
    <row r="1" spans="1:25" ht="15.6" x14ac:dyDescent="0.35">
      <c r="A1" s="2" t="s">
        <v>0</v>
      </c>
      <c r="B1" s="2" t="s">
        <v>1</v>
      </c>
      <c r="C1" s="2" t="s">
        <v>0</v>
      </c>
      <c r="D1" s="2" t="s">
        <v>0</v>
      </c>
      <c r="E1" s="2" t="s">
        <v>1</v>
      </c>
      <c r="F1" s="2" t="s">
        <v>1</v>
      </c>
      <c r="G1" s="2" t="s">
        <v>1</v>
      </c>
      <c r="H1" s="2" t="s">
        <v>976</v>
      </c>
      <c r="I1" s="2" t="s">
        <v>976</v>
      </c>
      <c r="J1" s="578"/>
      <c r="K1" s="579" t="s">
        <v>977</v>
      </c>
      <c r="S1" s="5" t="s">
        <v>978</v>
      </c>
      <c r="T1" s="5" t="s">
        <v>979</v>
      </c>
      <c r="U1" s="563" t="s">
        <v>980</v>
      </c>
    </row>
    <row r="2" spans="1:25" ht="15.6" x14ac:dyDescent="0.35">
      <c r="A2" s="2" t="s">
        <v>11</v>
      </c>
      <c r="B2" s="2" t="s">
        <v>11</v>
      </c>
      <c r="C2" s="2" t="s">
        <v>13</v>
      </c>
      <c r="D2" s="2" t="s">
        <v>11</v>
      </c>
      <c r="E2" s="2" t="s">
        <v>11</v>
      </c>
      <c r="F2" s="2" t="s">
        <v>13</v>
      </c>
      <c r="G2" s="2" t="s">
        <v>13</v>
      </c>
      <c r="H2" s="2" t="s">
        <v>14</v>
      </c>
      <c r="I2" s="2" t="s">
        <v>14</v>
      </c>
      <c r="J2" s="578"/>
      <c r="S2" s="5">
        <v>1</v>
      </c>
      <c r="T2" s="5">
        <v>200</v>
      </c>
      <c r="U2" s="563">
        <f>T2*S2</f>
        <v>200</v>
      </c>
      <c r="W2" s="585"/>
      <c r="X2" s="585"/>
      <c r="Y2" s="585"/>
    </row>
    <row r="3" spans="1:25" ht="15" x14ac:dyDescent="0.3">
      <c r="A3" s="505" t="s">
        <v>113</v>
      </c>
      <c r="B3" s="505" t="s">
        <v>981</v>
      </c>
      <c r="C3" s="507" t="s">
        <v>982</v>
      </c>
      <c r="D3" s="507" t="s">
        <v>983</v>
      </c>
      <c r="E3" s="507" t="s">
        <v>984</v>
      </c>
      <c r="F3" s="507" t="s">
        <v>985</v>
      </c>
      <c r="G3" s="507" t="s">
        <v>986</v>
      </c>
      <c r="H3" s="507" t="s">
        <v>987</v>
      </c>
      <c r="I3" s="507" t="s">
        <v>988</v>
      </c>
      <c r="J3" s="578"/>
      <c r="Q3" s="5" t="s">
        <v>989</v>
      </c>
      <c r="T3" s="579" t="s">
        <v>990</v>
      </c>
      <c r="U3" s="586"/>
    </row>
    <row r="4" spans="1:25" ht="40.200000000000003" x14ac:dyDescent="0.35">
      <c r="A4" s="79" t="s">
        <v>991</v>
      </c>
      <c r="B4" s="79" t="s">
        <v>980</v>
      </c>
      <c r="C4" s="253" t="s">
        <v>992</v>
      </c>
      <c r="D4" s="253" t="s">
        <v>993</v>
      </c>
      <c r="E4" s="507" t="s">
        <v>994</v>
      </c>
      <c r="F4" s="507" t="s">
        <v>995</v>
      </c>
      <c r="G4" s="507" t="s">
        <v>996</v>
      </c>
      <c r="H4" s="564" t="s">
        <v>997</v>
      </c>
      <c r="I4" s="564" t="s">
        <v>998</v>
      </c>
      <c r="L4" s="580"/>
      <c r="Q4" s="5" t="s">
        <v>999</v>
      </c>
      <c r="R4" s="587" t="s">
        <v>1000</v>
      </c>
      <c r="S4" s="545" t="s">
        <v>993</v>
      </c>
      <c r="T4" s="588" t="s">
        <v>1001</v>
      </c>
      <c r="U4" s="587" t="s">
        <v>1002</v>
      </c>
      <c r="V4" s="5" t="s">
        <v>1003</v>
      </c>
      <c r="W4" s="589" t="s">
        <v>1004</v>
      </c>
      <c r="X4" s="579" t="s">
        <v>1005</v>
      </c>
      <c r="Y4" s="596" t="s">
        <v>1006</v>
      </c>
    </row>
    <row r="5" spans="1:25" x14ac:dyDescent="0.25">
      <c r="A5" s="5">
        <v>1</v>
      </c>
      <c r="B5" s="5">
        <f>Q5</f>
        <v>194</v>
      </c>
      <c r="C5" s="565">
        <f t="shared" ref="C5:C34" si="0">R5</f>
        <v>1.0309278350515427E-2</v>
      </c>
      <c r="D5" s="566">
        <f>S5</f>
        <v>196</v>
      </c>
      <c r="E5" s="567">
        <v>50</v>
      </c>
      <c r="F5" s="568">
        <f>W5</f>
        <v>0</v>
      </c>
      <c r="G5" s="569">
        <v>0</v>
      </c>
      <c r="H5" s="570"/>
      <c r="I5" t="s">
        <v>1007</v>
      </c>
      <c r="K5" s="568"/>
      <c r="L5" s="568"/>
      <c r="M5" s="566"/>
      <c r="N5" s="568"/>
      <c r="P5" s="581"/>
      <c r="Q5" s="579">
        <f>194*S2</f>
        <v>194</v>
      </c>
      <c r="R5" s="590">
        <f>Q6/Q5-1</f>
        <v>1.0309278350515427E-2</v>
      </c>
      <c r="S5" s="591">
        <f>Q6</f>
        <v>196</v>
      </c>
      <c r="T5" s="592">
        <f t="shared" ref="T5:T7" si="1">(Q5-V5+Y5)/(S5-V5)</f>
        <v>1</v>
      </c>
      <c r="U5" s="593">
        <v>0.5</v>
      </c>
      <c r="V5" s="5">
        <f t="shared" ref="V5:V7" si="2">ROUND(Q5*U5,0)</f>
        <v>97</v>
      </c>
      <c r="W5" s="568">
        <f t="shared" ref="W5:W34" si="3">1-T5</f>
        <v>0</v>
      </c>
      <c r="X5" s="568">
        <v>0</v>
      </c>
      <c r="Y5" s="566">
        <f>Q6-Q5</f>
        <v>2</v>
      </c>
    </row>
    <row r="6" spans="1:25" x14ac:dyDescent="0.25">
      <c r="A6" s="5">
        <v>2</v>
      </c>
      <c r="B6" s="5">
        <f t="shared" ref="B6:B34" si="4">Q6</f>
        <v>196</v>
      </c>
      <c r="C6" s="568">
        <f t="shared" si="0"/>
        <v>0.02</v>
      </c>
      <c r="D6" s="566">
        <f t="shared" ref="D6:D34" si="5">S6</f>
        <v>200</v>
      </c>
      <c r="E6" s="567">
        <v>50</v>
      </c>
      <c r="F6" s="568">
        <f t="shared" ref="F6:F34" si="6">W6</f>
        <v>0</v>
      </c>
      <c r="G6" s="569">
        <v>0.03</v>
      </c>
      <c r="H6" s="570"/>
      <c r="I6" t="s">
        <v>1008</v>
      </c>
      <c r="K6" s="568"/>
      <c r="L6" s="582"/>
      <c r="M6" s="566"/>
      <c r="N6" s="568"/>
      <c r="Q6" s="579">
        <f>196*S2</f>
        <v>196</v>
      </c>
      <c r="R6" s="590">
        <v>0.02</v>
      </c>
      <c r="S6" s="591">
        <f>Q7</f>
        <v>200</v>
      </c>
      <c r="T6" s="592">
        <f t="shared" si="1"/>
        <v>1</v>
      </c>
      <c r="U6" s="593">
        <v>0.5</v>
      </c>
      <c r="V6" s="5">
        <f t="shared" si="2"/>
        <v>98</v>
      </c>
      <c r="W6" s="568">
        <f t="shared" si="3"/>
        <v>0</v>
      </c>
      <c r="X6" s="568">
        <v>0.02</v>
      </c>
      <c r="Y6" s="566">
        <f>Q7-Q6</f>
        <v>4</v>
      </c>
    </row>
    <row r="7" spans="1:25" x14ac:dyDescent="0.25">
      <c r="A7" s="5">
        <v>3</v>
      </c>
      <c r="B7" s="5">
        <f t="shared" si="4"/>
        <v>200</v>
      </c>
      <c r="C7" s="568">
        <f t="shared" si="0"/>
        <v>0.03</v>
      </c>
      <c r="D7" s="566">
        <f t="shared" si="5"/>
        <v>206</v>
      </c>
      <c r="E7" s="567">
        <v>50</v>
      </c>
      <c r="F7" s="568">
        <f t="shared" si="6"/>
        <v>5.6603773584905648E-2</v>
      </c>
      <c r="G7" s="571">
        <v>0.05</v>
      </c>
      <c r="H7" s="570"/>
      <c r="I7" t="s">
        <v>1009</v>
      </c>
      <c r="K7" s="568"/>
      <c r="L7" s="582"/>
      <c r="M7" s="566"/>
      <c r="N7" s="568"/>
      <c r="Q7" s="5">
        <f>U2</f>
        <v>200</v>
      </c>
      <c r="R7" s="590">
        <v>0.03</v>
      </c>
      <c r="S7" s="5">
        <f t="shared" ref="S7" si="7">ROUND(Q7*(1+R7),0)</f>
        <v>206</v>
      </c>
      <c r="T7" s="592">
        <f t="shared" si="1"/>
        <v>0.94339622641509435</v>
      </c>
      <c r="U7" s="593">
        <v>0.5</v>
      </c>
      <c r="V7" s="5">
        <f t="shared" si="2"/>
        <v>100</v>
      </c>
      <c r="W7" s="568">
        <f t="shared" si="3"/>
        <v>5.6603773584905648E-2</v>
      </c>
      <c r="X7" s="568">
        <v>0.05</v>
      </c>
      <c r="Y7" s="566">
        <v>0</v>
      </c>
    </row>
    <row r="8" spans="1:25" x14ac:dyDescent="0.25">
      <c r="A8" s="5">
        <v>4</v>
      </c>
      <c r="B8" s="5">
        <f t="shared" si="4"/>
        <v>206</v>
      </c>
      <c r="C8" s="568">
        <f t="shared" si="0"/>
        <v>0.04</v>
      </c>
      <c r="D8" s="566">
        <f t="shared" si="5"/>
        <v>214</v>
      </c>
      <c r="E8" s="567">
        <v>50</v>
      </c>
      <c r="F8" s="568">
        <f t="shared" si="6"/>
        <v>7.2072072072072113E-2</v>
      </c>
      <c r="G8" s="571">
        <v>0.06</v>
      </c>
      <c r="H8" s="570"/>
      <c r="I8" t="s">
        <v>1010</v>
      </c>
      <c r="K8" s="568"/>
      <c r="L8" s="582"/>
      <c r="M8" s="566"/>
      <c r="N8" s="568"/>
      <c r="Q8" s="5">
        <f>S7</f>
        <v>206</v>
      </c>
      <c r="R8" s="590">
        <v>0.04</v>
      </c>
      <c r="S8" s="5">
        <f t="shared" ref="S8:S34" si="8">ROUND(Q8*(1+R8),0)</f>
        <v>214</v>
      </c>
      <c r="T8" s="592">
        <f t="shared" ref="T8:T34" si="9">(Q8-V8+Y8)/(S8-V8)</f>
        <v>0.92792792792792789</v>
      </c>
      <c r="U8" s="593">
        <v>0.5</v>
      </c>
      <c r="V8" s="5">
        <f t="shared" ref="V8:V34" si="10">ROUND(Q8*U8,0)</f>
        <v>103</v>
      </c>
      <c r="W8" s="568">
        <f t="shared" si="3"/>
        <v>7.2072072072072113E-2</v>
      </c>
      <c r="X8" s="568">
        <v>0.1</v>
      </c>
      <c r="Y8" s="566">
        <v>0</v>
      </c>
    </row>
    <row r="9" spans="1:25" x14ac:dyDescent="0.25">
      <c r="A9" s="5">
        <v>5</v>
      </c>
      <c r="B9" s="5">
        <f t="shared" si="4"/>
        <v>214</v>
      </c>
      <c r="C9" s="568">
        <f t="shared" si="0"/>
        <v>0.05</v>
      </c>
      <c r="D9" s="566">
        <f t="shared" si="5"/>
        <v>225</v>
      </c>
      <c r="E9" s="567">
        <v>50</v>
      </c>
      <c r="F9" s="568">
        <f t="shared" si="6"/>
        <v>9.3220338983050821E-2</v>
      </c>
      <c r="G9" s="571">
        <v>7.0000000000000007E-2</v>
      </c>
      <c r="H9" s="570"/>
      <c r="I9" t="s">
        <v>1010</v>
      </c>
      <c r="K9" s="568"/>
      <c r="L9" s="582"/>
      <c r="M9" s="566"/>
      <c r="N9" s="568"/>
      <c r="Q9" s="5">
        <f t="shared" ref="Q9:Q34" si="11">S8</f>
        <v>214</v>
      </c>
      <c r="R9" s="590">
        <v>0.05</v>
      </c>
      <c r="S9" s="5">
        <f t="shared" si="8"/>
        <v>225</v>
      </c>
      <c r="T9" s="592">
        <f t="shared" si="9"/>
        <v>0.90677966101694918</v>
      </c>
      <c r="U9" s="593">
        <v>0.5</v>
      </c>
      <c r="V9" s="5">
        <f t="shared" si="10"/>
        <v>107</v>
      </c>
      <c r="W9" s="568">
        <f t="shared" si="3"/>
        <v>9.3220338983050821E-2</v>
      </c>
      <c r="X9" s="568">
        <v>0.15</v>
      </c>
      <c r="Y9" s="566">
        <v>0</v>
      </c>
    </row>
    <row r="10" spans="1:25" x14ac:dyDescent="0.25">
      <c r="A10" s="5">
        <v>6</v>
      </c>
      <c r="B10" s="5">
        <f t="shared" si="4"/>
        <v>225</v>
      </c>
      <c r="C10" s="568">
        <f t="shared" si="0"/>
        <v>0.06</v>
      </c>
      <c r="D10" s="566">
        <f t="shared" si="5"/>
        <v>239</v>
      </c>
      <c r="E10" s="567">
        <v>50</v>
      </c>
      <c r="F10" s="568">
        <f t="shared" si="6"/>
        <v>0.11111111111111116</v>
      </c>
      <c r="G10" s="571">
        <v>0.08</v>
      </c>
      <c r="H10" s="570"/>
      <c r="I10" t="s">
        <v>1011</v>
      </c>
      <c r="K10" s="568"/>
      <c r="L10" s="582"/>
      <c r="M10" s="566"/>
      <c r="N10" s="568"/>
      <c r="Q10" s="5">
        <f t="shared" si="11"/>
        <v>225</v>
      </c>
      <c r="R10" s="590">
        <v>0.06</v>
      </c>
      <c r="S10" s="5">
        <f t="shared" si="8"/>
        <v>239</v>
      </c>
      <c r="T10" s="592">
        <f t="shared" si="9"/>
        <v>0.88888888888888884</v>
      </c>
      <c r="U10" s="593">
        <v>0.5</v>
      </c>
      <c r="V10" s="5">
        <f t="shared" si="10"/>
        <v>113</v>
      </c>
      <c r="W10" s="568">
        <f t="shared" si="3"/>
        <v>0.11111111111111116</v>
      </c>
      <c r="X10" s="568">
        <v>0.2</v>
      </c>
      <c r="Y10" s="566">
        <v>0</v>
      </c>
    </row>
    <row r="11" spans="1:25" x14ac:dyDescent="0.25">
      <c r="A11" s="5">
        <v>7</v>
      </c>
      <c r="B11" s="5">
        <f t="shared" si="4"/>
        <v>239</v>
      </c>
      <c r="C11" s="568">
        <f t="shared" si="0"/>
        <v>7.0000000000000007E-2</v>
      </c>
      <c r="D11" s="566">
        <f t="shared" si="5"/>
        <v>256</v>
      </c>
      <c r="E11" s="567">
        <v>50</v>
      </c>
      <c r="F11" s="568">
        <f t="shared" si="6"/>
        <v>0.125</v>
      </c>
      <c r="G11" s="571">
        <v>0.09</v>
      </c>
      <c r="H11" s="570"/>
      <c r="I11" t="s">
        <v>1011</v>
      </c>
      <c r="K11" s="568"/>
      <c r="L11" s="582"/>
      <c r="M11" s="566"/>
      <c r="N11" s="568"/>
      <c r="Q11" s="5">
        <f t="shared" si="11"/>
        <v>239</v>
      </c>
      <c r="R11" s="590">
        <v>7.0000000000000007E-2</v>
      </c>
      <c r="S11" s="5">
        <f t="shared" si="8"/>
        <v>256</v>
      </c>
      <c r="T11" s="592">
        <f t="shared" si="9"/>
        <v>0.875</v>
      </c>
      <c r="U11" s="593">
        <v>0.5</v>
      </c>
      <c r="V11" s="5">
        <f t="shared" si="10"/>
        <v>120</v>
      </c>
      <c r="W11" s="568">
        <f t="shared" si="3"/>
        <v>0.125</v>
      </c>
      <c r="X11" s="568">
        <v>0.25</v>
      </c>
      <c r="Y11" s="566">
        <v>0</v>
      </c>
    </row>
    <row r="12" spans="1:25" x14ac:dyDescent="0.25">
      <c r="A12" s="5">
        <v>8</v>
      </c>
      <c r="B12" s="5">
        <f t="shared" si="4"/>
        <v>256</v>
      </c>
      <c r="C12" s="568">
        <f t="shared" si="0"/>
        <v>0.08</v>
      </c>
      <c r="D12" s="566">
        <f t="shared" si="5"/>
        <v>276</v>
      </c>
      <c r="E12" s="567">
        <v>50</v>
      </c>
      <c r="F12" s="568">
        <f t="shared" si="6"/>
        <v>0.13513513513513509</v>
      </c>
      <c r="G12" s="571">
        <v>0.1</v>
      </c>
      <c r="H12" s="570"/>
      <c r="I12" t="s">
        <v>1012</v>
      </c>
      <c r="K12" s="568"/>
      <c r="L12" s="582"/>
      <c r="M12" s="566"/>
      <c r="N12" s="568"/>
      <c r="Q12" s="5">
        <f t="shared" si="11"/>
        <v>256</v>
      </c>
      <c r="R12" s="590">
        <v>0.08</v>
      </c>
      <c r="S12" s="5">
        <f t="shared" si="8"/>
        <v>276</v>
      </c>
      <c r="T12" s="592">
        <f t="shared" si="9"/>
        <v>0.86486486486486491</v>
      </c>
      <c r="U12" s="593">
        <v>0.5</v>
      </c>
      <c r="V12" s="5">
        <f t="shared" si="10"/>
        <v>128</v>
      </c>
      <c r="W12" s="568">
        <f t="shared" si="3"/>
        <v>0.13513513513513509</v>
      </c>
      <c r="X12" s="568">
        <v>0.3</v>
      </c>
      <c r="Y12" s="566">
        <v>0</v>
      </c>
    </row>
    <row r="13" spans="1:25" x14ac:dyDescent="0.25">
      <c r="A13" s="5">
        <v>9</v>
      </c>
      <c r="B13" s="5">
        <f t="shared" si="4"/>
        <v>276</v>
      </c>
      <c r="C13" s="568">
        <f t="shared" si="0"/>
        <v>0.09</v>
      </c>
      <c r="D13" s="566">
        <f t="shared" si="5"/>
        <v>301</v>
      </c>
      <c r="E13" s="567">
        <v>50</v>
      </c>
      <c r="F13" s="568">
        <f t="shared" si="6"/>
        <v>0.15337423312883436</v>
      </c>
      <c r="G13" s="571">
        <v>0.11</v>
      </c>
      <c r="H13" s="570" t="s">
        <v>1013</v>
      </c>
      <c r="I13" t="s">
        <v>1012</v>
      </c>
      <c r="K13" s="568"/>
      <c r="L13" s="582"/>
      <c r="M13" s="566"/>
      <c r="N13" s="568"/>
      <c r="Q13" s="5">
        <f t="shared" si="11"/>
        <v>276</v>
      </c>
      <c r="R13" s="590">
        <v>0.09</v>
      </c>
      <c r="S13" s="5">
        <f t="shared" si="8"/>
        <v>301</v>
      </c>
      <c r="T13" s="592">
        <f t="shared" si="9"/>
        <v>0.84662576687116564</v>
      </c>
      <c r="U13" s="593">
        <v>0.5</v>
      </c>
      <c r="V13" s="5">
        <f t="shared" si="10"/>
        <v>138</v>
      </c>
      <c r="W13" s="568">
        <f t="shared" si="3"/>
        <v>0.15337423312883436</v>
      </c>
      <c r="X13" s="568">
        <v>0.35</v>
      </c>
      <c r="Y13" s="566">
        <v>0</v>
      </c>
    </row>
    <row r="14" spans="1:25" x14ac:dyDescent="0.25">
      <c r="A14" s="5">
        <v>10</v>
      </c>
      <c r="B14" s="5">
        <f t="shared" si="4"/>
        <v>301</v>
      </c>
      <c r="C14" s="568">
        <f t="shared" si="0"/>
        <v>0.1</v>
      </c>
      <c r="D14" s="566">
        <f t="shared" si="5"/>
        <v>331</v>
      </c>
      <c r="E14" s="567">
        <v>50</v>
      </c>
      <c r="F14" s="568">
        <f t="shared" si="6"/>
        <v>0.16666666666666663</v>
      </c>
      <c r="G14" s="571">
        <v>0.12</v>
      </c>
      <c r="H14" s="570" t="s">
        <v>1013</v>
      </c>
      <c r="I14" t="s">
        <v>1012</v>
      </c>
      <c r="K14" s="568"/>
      <c r="L14" s="582"/>
      <c r="M14" s="566"/>
      <c r="N14" s="568"/>
      <c r="Q14" s="5">
        <f t="shared" si="11"/>
        <v>301</v>
      </c>
      <c r="R14" s="590">
        <v>0.1</v>
      </c>
      <c r="S14" s="5">
        <f t="shared" si="8"/>
        <v>331</v>
      </c>
      <c r="T14" s="592">
        <f t="shared" si="9"/>
        <v>0.83333333333333337</v>
      </c>
      <c r="U14" s="593">
        <v>0.5</v>
      </c>
      <c r="V14" s="5">
        <f t="shared" si="10"/>
        <v>151</v>
      </c>
      <c r="W14" s="568">
        <f t="shared" si="3"/>
        <v>0.16666666666666663</v>
      </c>
      <c r="X14" s="568">
        <v>0.45</v>
      </c>
      <c r="Y14" s="566">
        <v>0</v>
      </c>
    </row>
    <row r="15" spans="1:25" x14ac:dyDescent="0.25">
      <c r="A15" s="5">
        <v>11</v>
      </c>
      <c r="B15" s="5">
        <f t="shared" si="4"/>
        <v>331</v>
      </c>
      <c r="C15" s="568">
        <f t="shared" si="0"/>
        <v>0.11</v>
      </c>
      <c r="D15" s="566">
        <f t="shared" si="5"/>
        <v>367</v>
      </c>
      <c r="E15" s="567">
        <v>50</v>
      </c>
      <c r="F15" s="568">
        <f t="shared" si="6"/>
        <v>0.17910447761194026</v>
      </c>
      <c r="G15" s="571">
        <v>0.13</v>
      </c>
      <c r="H15" s="570" t="s">
        <v>1013</v>
      </c>
      <c r="I15" t="s">
        <v>1012</v>
      </c>
      <c r="K15" s="568"/>
      <c r="L15" s="582"/>
      <c r="M15" s="566"/>
      <c r="N15" s="568"/>
      <c r="Q15" s="5">
        <f t="shared" si="11"/>
        <v>331</v>
      </c>
      <c r="R15" s="590">
        <v>0.11</v>
      </c>
      <c r="S15" s="5">
        <f t="shared" si="8"/>
        <v>367</v>
      </c>
      <c r="T15" s="592">
        <f t="shared" si="9"/>
        <v>0.82089552238805974</v>
      </c>
      <c r="U15" s="593">
        <v>0.5</v>
      </c>
      <c r="V15" s="5">
        <f t="shared" si="10"/>
        <v>166</v>
      </c>
      <c r="W15" s="568">
        <f t="shared" si="3"/>
        <v>0.17910447761194026</v>
      </c>
      <c r="X15" s="568">
        <v>0.5</v>
      </c>
      <c r="Y15" s="566">
        <v>0</v>
      </c>
    </row>
    <row r="16" spans="1:25" x14ac:dyDescent="0.25">
      <c r="A16" s="5">
        <v>12</v>
      </c>
      <c r="B16" s="5">
        <f t="shared" si="4"/>
        <v>367</v>
      </c>
      <c r="C16" s="568">
        <f t="shared" si="0"/>
        <v>0.12</v>
      </c>
      <c r="D16" s="566">
        <f t="shared" si="5"/>
        <v>411</v>
      </c>
      <c r="E16" s="567">
        <v>50</v>
      </c>
      <c r="F16" s="568">
        <f t="shared" si="6"/>
        <v>0.19383259911894268</v>
      </c>
      <c r="G16" s="571">
        <v>0.14000000000000001</v>
      </c>
      <c r="H16" s="570" t="s">
        <v>1013</v>
      </c>
      <c r="I16" t="s">
        <v>1012</v>
      </c>
      <c r="K16" s="568"/>
      <c r="L16" s="582"/>
      <c r="M16" s="566"/>
      <c r="N16" s="568"/>
      <c r="Q16" s="5">
        <f t="shared" si="11"/>
        <v>367</v>
      </c>
      <c r="R16" s="590">
        <v>0.12</v>
      </c>
      <c r="S16" s="5">
        <f t="shared" si="8"/>
        <v>411</v>
      </c>
      <c r="T16" s="592">
        <f t="shared" si="9"/>
        <v>0.80616740088105732</v>
      </c>
      <c r="U16" s="593">
        <v>0.5</v>
      </c>
      <c r="V16" s="5">
        <f t="shared" si="10"/>
        <v>184</v>
      </c>
      <c r="W16" s="568">
        <f t="shared" si="3"/>
        <v>0.19383259911894268</v>
      </c>
      <c r="X16" s="568">
        <v>0.5</v>
      </c>
      <c r="Y16" s="566">
        <v>0</v>
      </c>
    </row>
    <row r="17" spans="1:25" x14ac:dyDescent="0.25">
      <c r="A17" s="5">
        <v>13</v>
      </c>
      <c r="B17" s="5">
        <f t="shared" si="4"/>
        <v>411</v>
      </c>
      <c r="C17" s="568">
        <f t="shared" si="0"/>
        <v>0.13</v>
      </c>
      <c r="D17" s="566">
        <f t="shared" si="5"/>
        <v>464</v>
      </c>
      <c r="E17" s="567">
        <v>50</v>
      </c>
      <c r="F17" s="568">
        <f t="shared" si="6"/>
        <v>0.20542635658914732</v>
      </c>
      <c r="G17" s="571">
        <v>0.15</v>
      </c>
      <c r="H17" s="570" t="s">
        <v>1013</v>
      </c>
      <c r="I17" t="s">
        <v>1012</v>
      </c>
      <c r="K17" s="568"/>
      <c r="L17" s="582"/>
      <c r="M17" s="566"/>
      <c r="N17" s="568"/>
      <c r="Q17" s="5">
        <f t="shared" si="11"/>
        <v>411</v>
      </c>
      <c r="R17" s="590">
        <v>0.13</v>
      </c>
      <c r="S17" s="5">
        <f t="shared" si="8"/>
        <v>464</v>
      </c>
      <c r="T17" s="592">
        <f t="shared" si="9"/>
        <v>0.79457364341085268</v>
      </c>
      <c r="U17" s="593">
        <v>0.5</v>
      </c>
      <c r="V17" s="5">
        <f t="shared" si="10"/>
        <v>206</v>
      </c>
      <c r="W17" s="568">
        <f t="shared" si="3"/>
        <v>0.20542635658914732</v>
      </c>
      <c r="X17" s="568">
        <v>0.5</v>
      </c>
      <c r="Y17" s="566">
        <v>0</v>
      </c>
    </row>
    <row r="18" spans="1:25" x14ac:dyDescent="0.25">
      <c r="A18" s="5">
        <v>14</v>
      </c>
      <c r="B18" s="5">
        <f t="shared" si="4"/>
        <v>464</v>
      </c>
      <c r="C18" s="568">
        <f t="shared" si="0"/>
        <v>0.14000000000000001</v>
      </c>
      <c r="D18" s="566">
        <f t="shared" si="5"/>
        <v>529</v>
      </c>
      <c r="E18" s="567">
        <v>50</v>
      </c>
      <c r="F18" s="568">
        <f t="shared" si="6"/>
        <v>0.21885521885521886</v>
      </c>
      <c r="G18" s="571">
        <v>0.16</v>
      </c>
      <c r="H18" s="570" t="s">
        <v>1013</v>
      </c>
      <c r="I18" t="s">
        <v>1012</v>
      </c>
      <c r="K18" s="568"/>
      <c r="L18" s="582"/>
      <c r="M18" s="566"/>
      <c r="N18" s="568"/>
      <c r="Q18" s="5">
        <f t="shared" si="11"/>
        <v>464</v>
      </c>
      <c r="R18" s="590">
        <v>0.14000000000000001</v>
      </c>
      <c r="S18" s="5">
        <f t="shared" si="8"/>
        <v>529</v>
      </c>
      <c r="T18" s="592">
        <f t="shared" si="9"/>
        <v>0.78114478114478114</v>
      </c>
      <c r="U18" s="593">
        <v>0.5</v>
      </c>
      <c r="V18" s="5">
        <f t="shared" si="10"/>
        <v>232</v>
      </c>
      <c r="W18" s="568">
        <f t="shared" si="3"/>
        <v>0.21885521885521886</v>
      </c>
      <c r="X18" s="568">
        <v>0.5</v>
      </c>
      <c r="Y18" s="566">
        <v>0</v>
      </c>
    </row>
    <row r="19" spans="1:25" x14ac:dyDescent="0.25">
      <c r="A19" s="5">
        <v>15</v>
      </c>
      <c r="B19" s="5">
        <f t="shared" si="4"/>
        <v>529</v>
      </c>
      <c r="C19" s="568">
        <f t="shared" si="0"/>
        <v>0.15</v>
      </c>
      <c r="D19" s="566">
        <f t="shared" si="5"/>
        <v>608</v>
      </c>
      <c r="E19" s="567">
        <v>50</v>
      </c>
      <c r="F19" s="568">
        <f t="shared" si="6"/>
        <v>0.23032069970845481</v>
      </c>
      <c r="G19" s="571">
        <v>0.17</v>
      </c>
      <c r="H19" s="570" t="s">
        <v>1013</v>
      </c>
      <c r="I19" t="s">
        <v>1012</v>
      </c>
      <c r="K19" s="568"/>
      <c r="L19" s="582"/>
      <c r="M19" s="566"/>
      <c r="N19" s="568"/>
      <c r="Q19" s="5">
        <f t="shared" si="11"/>
        <v>529</v>
      </c>
      <c r="R19" s="590">
        <v>0.15</v>
      </c>
      <c r="S19" s="5">
        <f t="shared" si="8"/>
        <v>608</v>
      </c>
      <c r="T19" s="592">
        <f t="shared" si="9"/>
        <v>0.76967930029154519</v>
      </c>
      <c r="U19" s="593">
        <v>0.5</v>
      </c>
      <c r="V19" s="5">
        <f t="shared" si="10"/>
        <v>265</v>
      </c>
      <c r="W19" s="568">
        <f t="shared" si="3"/>
        <v>0.23032069970845481</v>
      </c>
      <c r="X19" s="568">
        <v>0.5</v>
      </c>
      <c r="Y19" s="566">
        <v>0</v>
      </c>
    </row>
    <row r="20" spans="1:25" x14ac:dyDescent="0.25">
      <c r="A20" s="5">
        <v>16</v>
      </c>
      <c r="B20" s="5">
        <f t="shared" si="4"/>
        <v>608</v>
      </c>
      <c r="C20" s="568">
        <f t="shared" si="0"/>
        <v>0.16</v>
      </c>
      <c r="D20" s="566">
        <f t="shared" si="5"/>
        <v>705</v>
      </c>
      <c r="E20" s="567">
        <v>50</v>
      </c>
      <c r="F20" s="568">
        <f t="shared" si="6"/>
        <v>0.24189526184538657</v>
      </c>
      <c r="G20" s="571">
        <v>0.18</v>
      </c>
      <c r="H20" s="570" t="s">
        <v>1013</v>
      </c>
      <c r="I20" t="s">
        <v>1012</v>
      </c>
      <c r="K20" s="568"/>
      <c r="L20" s="582"/>
      <c r="M20" s="566"/>
      <c r="N20" s="568"/>
      <c r="Q20" s="5">
        <f t="shared" si="11"/>
        <v>608</v>
      </c>
      <c r="R20" s="590">
        <v>0.16</v>
      </c>
      <c r="S20" s="5">
        <f t="shared" si="8"/>
        <v>705</v>
      </c>
      <c r="T20" s="592">
        <f t="shared" si="9"/>
        <v>0.75810473815461343</v>
      </c>
      <c r="U20" s="593">
        <v>0.5</v>
      </c>
      <c r="V20" s="5">
        <f t="shared" si="10"/>
        <v>304</v>
      </c>
      <c r="W20" s="568">
        <f t="shared" si="3"/>
        <v>0.24189526184538657</v>
      </c>
      <c r="X20" s="568">
        <v>0.5</v>
      </c>
      <c r="Y20" s="566">
        <v>0</v>
      </c>
    </row>
    <row r="21" spans="1:25" x14ac:dyDescent="0.25">
      <c r="A21" s="5">
        <v>17</v>
      </c>
      <c r="B21" s="5">
        <f t="shared" si="4"/>
        <v>705</v>
      </c>
      <c r="C21" s="568">
        <f t="shared" si="0"/>
        <v>0.17</v>
      </c>
      <c r="D21" s="566">
        <f t="shared" si="5"/>
        <v>825</v>
      </c>
      <c r="E21" s="567">
        <v>50</v>
      </c>
      <c r="F21" s="568">
        <f t="shared" si="6"/>
        <v>0.25423728813559321</v>
      </c>
      <c r="G21" s="571">
        <v>0.19</v>
      </c>
      <c r="H21" s="570" t="s">
        <v>1013</v>
      </c>
      <c r="I21" t="s">
        <v>1012</v>
      </c>
      <c r="K21" s="568"/>
      <c r="L21" s="582"/>
      <c r="M21" s="566"/>
      <c r="N21" s="568"/>
      <c r="Q21" s="5">
        <f t="shared" si="11"/>
        <v>705</v>
      </c>
      <c r="R21" s="590">
        <v>0.17</v>
      </c>
      <c r="S21" s="5">
        <f t="shared" si="8"/>
        <v>825</v>
      </c>
      <c r="T21" s="592">
        <f t="shared" si="9"/>
        <v>0.74576271186440679</v>
      </c>
      <c r="U21" s="593">
        <v>0.5</v>
      </c>
      <c r="V21" s="5">
        <f t="shared" si="10"/>
        <v>353</v>
      </c>
      <c r="W21" s="568">
        <f t="shared" si="3"/>
        <v>0.25423728813559321</v>
      </c>
      <c r="X21" s="568">
        <v>0.5</v>
      </c>
      <c r="Y21" s="566">
        <v>0</v>
      </c>
    </row>
    <row r="22" spans="1:25" x14ac:dyDescent="0.25">
      <c r="A22" s="5">
        <v>18</v>
      </c>
      <c r="B22" s="5">
        <f t="shared" si="4"/>
        <v>825</v>
      </c>
      <c r="C22" s="568">
        <f t="shared" si="0"/>
        <v>0.18</v>
      </c>
      <c r="D22" s="566">
        <f t="shared" si="5"/>
        <v>974</v>
      </c>
      <c r="E22" s="567">
        <v>50</v>
      </c>
      <c r="F22" s="568">
        <f t="shared" si="6"/>
        <v>0.26559714795008915</v>
      </c>
      <c r="G22" s="571">
        <v>0.2</v>
      </c>
      <c r="H22" s="570" t="s">
        <v>1013</v>
      </c>
      <c r="I22" t="s">
        <v>1012</v>
      </c>
      <c r="K22" s="568"/>
      <c r="L22" s="582"/>
      <c r="M22" s="566"/>
      <c r="N22" s="568"/>
      <c r="Q22" s="5">
        <f t="shared" si="11"/>
        <v>825</v>
      </c>
      <c r="R22" s="590">
        <v>0.18</v>
      </c>
      <c r="S22" s="5">
        <f t="shared" si="8"/>
        <v>974</v>
      </c>
      <c r="T22" s="592">
        <f t="shared" si="9"/>
        <v>0.73440285204991085</v>
      </c>
      <c r="U22" s="593">
        <v>0.5</v>
      </c>
      <c r="V22" s="5">
        <f t="shared" si="10"/>
        <v>413</v>
      </c>
      <c r="W22" s="568">
        <f t="shared" si="3"/>
        <v>0.26559714795008915</v>
      </c>
      <c r="X22" s="568">
        <v>0.5</v>
      </c>
      <c r="Y22" s="566">
        <v>0</v>
      </c>
    </row>
    <row r="23" spans="1:25" x14ac:dyDescent="0.25">
      <c r="A23" s="5">
        <v>19</v>
      </c>
      <c r="B23" s="5">
        <f t="shared" si="4"/>
        <v>974</v>
      </c>
      <c r="C23" s="568">
        <f t="shared" si="0"/>
        <v>0.19</v>
      </c>
      <c r="D23" s="566">
        <f t="shared" si="5"/>
        <v>1159</v>
      </c>
      <c r="E23" s="567">
        <v>50</v>
      </c>
      <c r="F23" s="568">
        <f t="shared" si="6"/>
        <v>0.27529761904761907</v>
      </c>
      <c r="G23" s="571">
        <v>0.21</v>
      </c>
      <c r="H23" s="570" t="s">
        <v>1013</v>
      </c>
      <c r="I23" t="s">
        <v>1012</v>
      </c>
      <c r="K23" s="568"/>
      <c r="L23" s="582"/>
      <c r="M23" s="566"/>
      <c r="N23" s="568"/>
      <c r="Q23" s="5">
        <f t="shared" si="11"/>
        <v>974</v>
      </c>
      <c r="R23" s="590">
        <v>0.19</v>
      </c>
      <c r="S23" s="5">
        <f t="shared" si="8"/>
        <v>1159</v>
      </c>
      <c r="T23" s="592">
        <f t="shared" si="9"/>
        <v>0.72470238095238093</v>
      </c>
      <c r="U23" s="593">
        <v>0.5</v>
      </c>
      <c r="V23" s="5">
        <f t="shared" si="10"/>
        <v>487</v>
      </c>
      <c r="W23" s="568">
        <f t="shared" si="3"/>
        <v>0.27529761904761907</v>
      </c>
      <c r="X23" s="568">
        <v>0.5</v>
      </c>
      <c r="Y23" s="566">
        <v>0</v>
      </c>
    </row>
    <row r="24" spans="1:25" x14ac:dyDescent="0.25">
      <c r="A24" s="5">
        <v>20</v>
      </c>
      <c r="B24" s="5">
        <f t="shared" si="4"/>
        <v>1159</v>
      </c>
      <c r="C24" s="568">
        <f t="shared" si="0"/>
        <v>0.2</v>
      </c>
      <c r="D24" s="566">
        <f t="shared" si="5"/>
        <v>1391</v>
      </c>
      <c r="E24" s="567">
        <v>50</v>
      </c>
      <c r="F24" s="568">
        <f t="shared" si="6"/>
        <v>0.28606658446362521</v>
      </c>
      <c r="G24" s="571">
        <v>0.22</v>
      </c>
      <c r="H24" s="570" t="s">
        <v>1013</v>
      </c>
      <c r="I24" t="s">
        <v>1012</v>
      </c>
      <c r="K24" s="568"/>
      <c r="L24" s="582"/>
      <c r="M24" s="566"/>
      <c r="N24" s="568"/>
      <c r="Q24" s="5">
        <f t="shared" si="11"/>
        <v>1159</v>
      </c>
      <c r="R24" s="590">
        <v>0.2</v>
      </c>
      <c r="S24" s="5">
        <f t="shared" si="8"/>
        <v>1391</v>
      </c>
      <c r="T24" s="592">
        <f t="shared" si="9"/>
        <v>0.71393341553637479</v>
      </c>
      <c r="U24" s="593">
        <v>0.5</v>
      </c>
      <c r="V24" s="5">
        <f t="shared" si="10"/>
        <v>580</v>
      </c>
      <c r="W24" s="568">
        <f t="shared" si="3"/>
        <v>0.28606658446362521</v>
      </c>
      <c r="X24" s="568">
        <v>0.5</v>
      </c>
      <c r="Y24" s="566">
        <v>0</v>
      </c>
    </row>
    <row r="25" spans="1:25" x14ac:dyDescent="0.25">
      <c r="A25" s="5">
        <v>21</v>
      </c>
      <c r="B25" s="5">
        <f t="shared" si="4"/>
        <v>1391</v>
      </c>
      <c r="C25" s="568">
        <f t="shared" si="0"/>
        <v>0.21</v>
      </c>
      <c r="D25" s="566">
        <f t="shared" si="5"/>
        <v>1683</v>
      </c>
      <c r="E25" s="567">
        <v>50</v>
      </c>
      <c r="F25" s="568">
        <f t="shared" si="6"/>
        <v>0.29584599797365752</v>
      </c>
      <c r="G25" s="571">
        <v>0.23</v>
      </c>
      <c r="H25" s="570" t="s">
        <v>1013</v>
      </c>
      <c r="I25" t="s">
        <v>1012</v>
      </c>
      <c r="K25" s="568"/>
      <c r="L25" s="582"/>
      <c r="M25" s="566"/>
      <c r="N25" s="568"/>
      <c r="Q25" s="5">
        <f t="shared" si="11"/>
        <v>1391</v>
      </c>
      <c r="R25" s="590">
        <v>0.21</v>
      </c>
      <c r="S25" s="5">
        <f t="shared" si="8"/>
        <v>1683</v>
      </c>
      <c r="T25" s="592">
        <f t="shared" si="9"/>
        <v>0.70415400202634248</v>
      </c>
      <c r="U25" s="593">
        <v>0.5</v>
      </c>
      <c r="V25" s="5">
        <f t="shared" si="10"/>
        <v>696</v>
      </c>
      <c r="W25" s="568">
        <f t="shared" si="3"/>
        <v>0.29584599797365752</v>
      </c>
      <c r="X25" s="568">
        <v>0.5</v>
      </c>
      <c r="Y25" s="566">
        <v>0</v>
      </c>
    </row>
    <row r="26" spans="1:25" x14ac:dyDescent="0.25">
      <c r="A26" s="5">
        <v>22</v>
      </c>
      <c r="B26" s="5">
        <f t="shared" si="4"/>
        <v>1683</v>
      </c>
      <c r="C26" s="568">
        <f t="shared" si="0"/>
        <v>0.22</v>
      </c>
      <c r="D26" s="566">
        <f t="shared" si="5"/>
        <v>2053</v>
      </c>
      <c r="E26" s="567">
        <v>50</v>
      </c>
      <c r="F26" s="568">
        <f t="shared" si="6"/>
        <v>0.30553261767134599</v>
      </c>
      <c r="G26" s="571">
        <v>0.24</v>
      </c>
      <c r="H26" s="570" t="s">
        <v>1013</v>
      </c>
      <c r="I26" t="s">
        <v>1012</v>
      </c>
      <c r="K26" s="568"/>
      <c r="L26" s="582"/>
      <c r="M26" s="566"/>
      <c r="N26" s="568"/>
      <c r="Q26" s="5">
        <f t="shared" si="11"/>
        <v>1683</v>
      </c>
      <c r="R26" s="590">
        <v>0.22</v>
      </c>
      <c r="S26" s="5">
        <f t="shared" si="8"/>
        <v>2053</v>
      </c>
      <c r="T26" s="592">
        <f t="shared" si="9"/>
        <v>0.69446738232865401</v>
      </c>
      <c r="U26" s="593">
        <v>0.5</v>
      </c>
      <c r="V26" s="5">
        <f t="shared" si="10"/>
        <v>842</v>
      </c>
      <c r="W26" s="568">
        <f t="shared" si="3"/>
        <v>0.30553261767134599</v>
      </c>
      <c r="X26" s="568">
        <v>0.5</v>
      </c>
      <c r="Y26" s="566">
        <v>0</v>
      </c>
    </row>
    <row r="27" spans="1:25" x14ac:dyDescent="0.25">
      <c r="A27" s="5">
        <v>23</v>
      </c>
      <c r="B27" s="5">
        <f t="shared" si="4"/>
        <v>2053</v>
      </c>
      <c r="C27" s="568">
        <f t="shared" si="0"/>
        <v>0.23</v>
      </c>
      <c r="D27" s="566">
        <f t="shared" si="5"/>
        <v>2525</v>
      </c>
      <c r="E27" s="567">
        <v>50</v>
      </c>
      <c r="F27" s="568">
        <f t="shared" si="6"/>
        <v>0.31508678237650201</v>
      </c>
      <c r="G27" s="571">
        <v>0.25</v>
      </c>
      <c r="H27" s="570" t="s">
        <v>1013</v>
      </c>
      <c r="I27" t="s">
        <v>1012</v>
      </c>
      <c r="K27" s="568"/>
      <c r="L27" s="582"/>
      <c r="M27" s="566"/>
      <c r="N27" s="568"/>
      <c r="Q27" s="5">
        <f t="shared" si="11"/>
        <v>2053</v>
      </c>
      <c r="R27" s="590">
        <v>0.23</v>
      </c>
      <c r="S27" s="5">
        <f t="shared" si="8"/>
        <v>2525</v>
      </c>
      <c r="T27" s="592">
        <f t="shared" si="9"/>
        <v>0.68491321762349799</v>
      </c>
      <c r="U27" s="593">
        <v>0.5</v>
      </c>
      <c r="V27" s="5">
        <f t="shared" si="10"/>
        <v>1027</v>
      </c>
      <c r="W27" s="568">
        <f t="shared" si="3"/>
        <v>0.31508678237650201</v>
      </c>
      <c r="X27" s="568">
        <v>0.5</v>
      </c>
      <c r="Y27" s="566">
        <v>0</v>
      </c>
    </row>
    <row r="28" spans="1:25" x14ac:dyDescent="0.25">
      <c r="A28" s="5">
        <v>24</v>
      </c>
      <c r="B28" s="5">
        <f t="shared" si="4"/>
        <v>2525</v>
      </c>
      <c r="C28" s="568">
        <f t="shared" si="0"/>
        <v>0.24</v>
      </c>
      <c r="D28" s="566">
        <f t="shared" si="5"/>
        <v>3131</v>
      </c>
      <c r="E28" s="567">
        <v>50</v>
      </c>
      <c r="F28" s="568">
        <f t="shared" si="6"/>
        <v>0.32441113490364026</v>
      </c>
      <c r="G28" s="571">
        <v>0.26</v>
      </c>
      <c r="H28" s="570" t="s">
        <v>1013</v>
      </c>
      <c r="I28" t="s">
        <v>1012</v>
      </c>
      <c r="K28" s="568"/>
      <c r="L28" s="582"/>
      <c r="M28" s="566"/>
      <c r="N28" s="568"/>
      <c r="Q28" s="5">
        <f t="shared" si="11"/>
        <v>2525</v>
      </c>
      <c r="R28" s="590">
        <v>0.24</v>
      </c>
      <c r="S28" s="5">
        <f t="shared" si="8"/>
        <v>3131</v>
      </c>
      <c r="T28" s="592">
        <f t="shared" si="9"/>
        <v>0.67558886509635974</v>
      </c>
      <c r="U28" s="593">
        <v>0.5</v>
      </c>
      <c r="V28" s="5">
        <f t="shared" si="10"/>
        <v>1263</v>
      </c>
      <c r="W28" s="568">
        <f t="shared" si="3"/>
        <v>0.32441113490364026</v>
      </c>
      <c r="X28" s="568">
        <v>0.5</v>
      </c>
      <c r="Y28" s="566">
        <v>0</v>
      </c>
    </row>
    <row r="29" spans="1:25" x14ac:dyDescent="0.25">
      <c r="A29" s="5">
        <v>25</v>
      </c>
      <c r="B29" s="5">
        <f t="shared" si="4"/>
        <v>3131</v>
      </c>
      <c r="C29" s="568">
        <f t="shared" si="0"/>
        <v>0.25</v>
      </c>
      <c r="D29" s="566">
        <f t="shared" si="5"/>
        <v>3914</v>
      </c>
      <c r="E29" s="567">
        <v>50</v>
      </c>
      <c r="F29" s="568">
        <f t="shared" si="6"/>
        <v>0.33347529812606469</v>
      </c>
      <c r="G29" s="571">
        <v>0.27</v>
      </c>
      <c r="H29" s="570" t="s">
        <v>1013</v>
      </c>
      <c r="I29" t="s">
        <v>1012</v>
      </c>
      <c r="K29" s="568"/>
      <c r="L29" s="582"/>
      <c r="M29" s="566"/>
      <c r="N29" s="568"/>
      <c r="Q29" s="5">
        <f t="shared" si="11"/>
        <v>3131</v>
      </c>
      <c r="R29" s="590">
        <v>0.25</v>
      </c>
      <c r="S29" s="5">
        <f t="shared" si="8"/>
        <v>3914</v>
      </c>
      <c r="T29" s="592">
        <f t="shared" si="9"/>
        <v>0.66652470187393531</v>
      </c>
      <c r="U29" s="593">
        <v>0.5</v>
      </c>
      <c r="V29" s="5">
        <f t="shared" si="10"/>
        <v>1566</v>
      </c>
      <c r="W29" s="568">
        <f t="shared" si="3"/>
        <v>0.33347529812606469</v>
      </c>
      <c r="X29" s="568">
        <v>0.5</v>
      </c>
      <c r="Y29" s="566">
        <v>0</v>
      </c>
    </row>
    <row r="30" spans="1:25" x14ac:dyDescent="0.25">
      <c r="A30" s="5">
        <v>26</v>
      </c>
      <c r="B30" s="5">
        <f t="shared" si="4"/>
        <v>3914</v>
      </c>
      <c r="C30" s="568">
        <f t="shared" si="0"/>
        <v>0.26</v>
      </c>
      <c r="D30" s="566">
        <f t="shared" si="5"/>
        <v>4932</v>
      </c>
      <c r="E30" s="567">
        <v>50</v>
      </c>
      <c r="F30" s="568">
        <f t="shared" si="6"/>
        <v>0.34218487394957986</v>
      </c>
      <c r="G30" s="571">
        <v>0.28000000000000003</v>
      </c>
      <c r="H30" s="570" t="s">
        <v>1013</v>
      </c>
      <c r="I30" t="s">
        <v>1012</v>
      </c>
      <c r="K30" s="568"/>
      <c r="L30" s="582"/>
      <c r="M30" s="566"/>
      <c r="N30" s="568"/>
      <c r="Q30" s="5">
        <f t="shared" si="11"/>
        <v>3914</v>
      </c>
      <c r="R30" s="590">
        <v>0.26</v>
      </c>
      <c r="S30" s="5">
        <f t="shared" si="8"/>
        <v>4932</v>
      </c>
      <c r="T30" s="592">
        <f t="shared" si="9"/>
        <v>0.65781512605042014</v>
      </c>
      <c r="U30" s="593">
        <v>0.5</v>
      </c>
      <c r="V30" s="5">
        <f t="shared" si="10"/>
        <v>1957</v>
      </c>
      <c r="W30" s="568">
        <f t="shared" si="3"/>
        <v>0.34218487394957986</v>
      </c>
      <c r="X30" s="568">
        <v>0.5</v>
      </c>
      <c r="Y30" s="566">
        <v>0</v>
      </c>
    </row>
    <row r="31" spans="1:25" x14ac:dyDescent="0.25">
      <c r="A31" s="5">
        <v>27</v>
      </c>
      <c r="B31" s="5">
        <f t="shared" si="4"/>
        <v>4932</v>
      </c>
      <c r="C31" s="568">
        <f t="shared" si="0"/>
        <v>0.27</v>
      </c>
      <c r="D31" s="566">
        <f t="shared" si="5"/>
        <v>6264</v>
      </c>
      <c r="E31" s="567">
        <v>50</v>
      </c>
      <c r="F31" s="568">
        <f t="shared" si="6"/>
        <v>0.35071090047393361</v>
      </c>
      <c r="G31" s="571">
        <v>0.28999999999999998</v>
      </c>
      <c r="H31" s="570" t="s">
        <v>1013</v>
      </c>
      <c r="I31" t="s">
        <v>1012</v>
      </c>
      <c r="K31" s="568"/>
      <c r="L31" s="582"/>
      <c r="M31" s="566"/>
      <c r="N31" s="568"/>
      <c r="Q31" s="5">
        <f t="shared" si="11"/>
        <v>4932</v>
      </c>
      <c r="R31" s="590">
        <v>0.27</v>
      </c>
      <c r="S31" s="5">
        <f t="shared" si="8"/>
        <v>6264</v>
      </c>
      <c r="T31" s="592">
        <f t="shared" si="9"/>
        <v>0.64928909952606639</v>
      </c>
      <c r="U31" s="593">
        <v>0.5</v>
      </c>
      <c r="V31" s="5">
        <f t="shared" si="10"/>
        <v>2466</v>
      </c>
      <c r="W31" s="568">
        <f t="shared" si="3"/>
        <v>0.35071090047393361</v>
      </c>
      <c r="X31" s="568">
        <v>0.5</v>
      </c>
      <c r="Y31" s="566">
        <v>0</v>
      </c>
    </row>
    <row r="32" spans="1:25" x14ac:dyDescent="0.25">
      <c r="A32" s="5">
        <v>28</v>
      </c>
      <c r="B32" s="5">
        <f t="shared" si="4"/>
        <v>6264</v>
      </c>
      <c r="C32" s="568">
        <f t="shared" si="0"/>
        <v>0.28000000000000003</v>
      </c>
      <c r="D32" s="566">
        <f t="shared" si="5"/>
        <v>8018</v>
      </c>
      <c r="E32" s="567">
        <v>50</v>
      </c>
      <c r="F32" s="568">
        <f t="shared" si="6"/>
        <v>0.35898485468686037</v>
      </c>
      <c r="G32" s="571">
        <v>0.3</v>
      </c>
      <c r="H32" s="570" t="s">
        <v>1013</v>
      </c>
      <c r="I32" t="s">
        <v>1012</v>
      </c>
      <c r="K32" s="568"/>
      <c r="L32" s="582"/>
      <c r="M32" s="566"/>
      <c r="N32" s="568"/>
      <c r="Q32" s="5">
        <f t="shared" si="11"/>
        <v>6264</v>
      </c>
      <c r="R32" s="590">
        <v>0.28000000000000003</v>
      </c>
      <c r="S32" s="5">
        <f t="shared" si="8"/>
        <v>8018</v>
      </c>
      <c r="T32" s="592">
        <f t="shared" si="9"/>
        <v>0.64101514531313963</v>
      </c>
      <c r="U32" s="593">
        <v>0.5</v>
      </c>
      <c r="V32" s="5">
        <f t="shared" si="10"/>
        <v>3132</v>
      </c>
      <c r="W32" s="568">
        <f t="shared" si="3"/>
        <v>0.35898485468686037</v>
      </c>
      <c r="X32" s="568">
        <v>0.536052631578947</v>
      </c>
      <c r="Y32" s="566">
        <v>0</v>
      </c>
    </row>
    <row r="33" spans="1:25" x14ac:dyDescent="0.25">
      <c r="A33" s="5">
        <v>29</v>
      </c>
      <c r="B33" s="5">
        <f t="shared" si="4"/>
        <v>8018</v>
      </c>
      <c r="C33" s="568">
        <f t="shared" si="0"/>
        <v>0.28999999999999998</v>
      </c>
      <c r="D33" s="566">
        <f t="shared" si="5"/>
        <v>10343</v>
      </c>
      <c r="E33" s="567">
        <v>50</v>
      </c>
      <c r="F33" s="568">
        <f t="shared" si="6"/>
        <v>0.36706662456583516</v>
      </c>
      <c r="G33" s="571">
        <v>0.31</v>
      </c>
      <c r="H33" s="570" t="s">
        <v>1013</v>
      </c>
      <c r="I33" t="s">
        <v>1012</v>
      </c>
      <c r="K33" s="568"/>
      <c r="L33" s="582"/>
      <c r="M33" s="566"/>
      <c r="N33" s="568"/>
      <c r="Q33" s="5">
        <f t="shared" si="11"/>
        <v>8018</v>
      </c>
      <c r="R33" s="590">
        <v>0.28999999999999998</v>
      </c>
      <c r="S33" s="5">
        <f t="shared" si="8"/>
        <v>10343</v>
      </c>
      <c r="T33" s="592">
        <f t="shared" si="9"/>
        <v>0.63293337543416484</v>
      </c>
      <c r="U33" s="593">
        <v>0.5</v>
      </c>
      <c r="V33" s="5">
        <f t="shared" si="10"/>
        <v>4009</v>
      </c>
      <c r="W33" s="568">
        <f t="shared" si="3"/>
        <v>0.36706662456583516</v>
      </c>
      <c r="X33" s="568">
        <v>0.54139097744360898</v>
      </c>
      <c r="Y33" s="566">
        <v>0</v>
      </c>
    </row>
    <row r="34" spans="1:25" x14ac:dyDescent="0.25">
      <c r="A34" s="572">
        <v>30</v>
      </c>
      <c r="B34" s="572">
        <f t="shared" si="4"/>
        <v>10343</v>
      </c>
      <c r="C34" s="573">
        <f t="shared" si="0"/>
        <v>0.3</v>
      </c>
      <c r="D34" s="574">
        <f t="shared" si="5"/>
        <v>13446</v>
      </c>
      <c r="E34" s="575">
        <v>50</v>
      </c>
      <c r="F34" s="573">
        <f t="shared" si="6"/>
        <v>0.37503021513173795</v>
      </c>
      <c r="G34" s="576">
        <v>0.32</v>
      </c>
      <c r="H34" s="577" t="s">
        <v>1013</v>
      </c>
      <c r="I34" s="583" t="s">
        <v>1012</v>
      </c>
      <c r="K34" s="568"/>
      <c r="L34" s="582"/>
      <c r="M34" s="566"/>
      <c r="N34" s="568"/>
      <c r="Q34" s="5">
        <f t="shared" si="11"/>
        <v>10343</v>
      </c>
      <c r="R34" s="590">
        <v>0.3</v>
      </c>
      <c r="S34" s="5">
        <f t="shared" si="8"/>
        <v>13446</v>
      </c>
      <c r="T34" s="592">
        <f t="shared" si="9"/>
        <v>0.62496978486826205</v>
      </c>
      <c r="U34" s="593">
        <v>0.5</v>
      </c>
      <c r="V34" s="5">
        <f t="shared" si="10"/>
        <v>5172</v>
      </c>
      <c r="W34" s="568">
        <f t="shared" si="3"/>
        <v>0.37503021513173795</v>
      </c>
      <c r="X34" s="568">
        <v>0.54672932330826995</v>
      </c>
      <c r="Y34" s="566">
        <v>0</v>
      </c>
    </row>
    <row r="35" spans="1:25" x14ac:dyDescent="0.25">
      <c r="C35" s="568"/>
      <c r="D35" s="566"/>
      <c r="E35" s="567"/>
      <c r="F35" s="568"/>
      <c r="G35"/>
      <c r="H35" s="570"/>
      <c r="I35"/>
      <c r="K35" s="568"/>
      <c r="L35" s="582"/>
      <c r="M35" s="566"/>
      <c r="N35" s="568"/>
      <c r="R35" s="590"/>
      <c r="T35" s="592"/>
      <c r="U35" s="593"/>
      <c r="W35" s="568"/>
      <c r="X35" s="568"/>
      <c r="Y35" s="566"/>
    </row>
    <row r="36" spans="1:25" x14ac:dyDescent="0.25">
      <c r="C36" s="568"/>
      <c r="D36" s="566"/>
      <c r="E36" s="567"/>
      <c r="F36" s="568"/>
      <c r="G36"/>
      <c r="H36" s="570"/>
      <c r="I36"/>
      <c r="K36" s="568"/>
      <c r="L36" s="582"/>
      <c r="R36" s="590"/>
      <c r="T36" s="592"/>
      <c r="U36" s="593"/>
      <c r="W36" s="568"/>
      <c r="X36" s="568"/>
      <c r="Y36" s="566"/>
    </row>
    <row r="37" spans="1:25" x14ac:dyDescent="0.25">
      <c r="C37" s="568"/>
      <c r="D37" s="566"/>
      <c r="E37" s="567"/>
      <c r="F37" s="568"/>
      <c r="G37"/>
      <c r="H37" s="570"/>
      <c r="I37"/>
      <c r="K37" s="568"/>
      <c r="L37" s="582"/>
      <c r="R37" s="590"/>
      <c r="T37" s="592"/>
      <c r="U37" s="593"/>
      <c r="W37" s="568"/>
      <c r="X37" s="568"/>
      <c r="Y37" s="566"/>
    </row>
    <row r="38" spans="1:25" x14ac:dyDescent="0.25">
      <c r="C38" s="568"/>
      <c r="D38" s="566"/>
      <c r="E38" s="567"/>
      <c r="F38" s="568"/>
      <c r="G38"/>
      <c r="H38" s="570"/>
      <c r="I38"/>
      <c r="K38" s="568"/>
      <c r="L38" s="582"/>
      <c r="R38" s="590"/>
      <c r="T38" s="592"/>
      <c r="U38" s="593"/>
      <c r="W38" s="568"/>
      <c r="X38" s="568"/>
      <c r="Y38" s="566"/>
    </row>
    <row r="39" spans="1:25" x14ac:dyDescent="0.25">
      <c r="C39" s="568"/>
      <c r="D39" s="566"/>
      <c r="E39" s="567"/>
      <c r="F39" s="568"/>
      <c r="G39"/>
      <c r="H39" s="570"/>
      <c r="I39"/>
      <c r="K39" s="568"/>
      <c r="L39" s="582"/>
      <c r="R39" s="590"/>
      <c r="T39" s="592"/>
      <c r="U39" s="593"/>
      <c r="W39" s="568"/>
      <c r="X39" s="568"/>
      <c r="Y39" s="566"/>
    </row>
    <row r="40" spans="1:25" x14ac:dyDescent="0.25">
      <c r="C40" s="568"/>
      <c r="D40" s="566"/>
      <c r="E40" s="567"/>
      <c r="F40" s="568"/>
      <c r="G40"/>
      <c r="H40" s="570"/>
      <c r="I40"/>
      <c r="K40" s="568"/>
      <c r="L40" s="582"/>
      <c r="R40" s="590"/>
      <c r="T40" s="592"/>
      <c r="U40" s="593"/>
      <c r="W40" s="568"/>
      <c r="X40" s="568"/>
      <c r="Y40" s="566"/>
    </row>
    <row r="41" spans="1:25" x14ac:dyDescent="0.25">
      <c r="C41" s="568"/>
      <c r="D41" s="566"/>
      <c r="E41" s="567"/>
      <c r="F41" s="568"/>
      <c r="G41"/>
      <c r="H41" s="570"/>
      <c r="I41"/>
      <c r="K41" s="568"/>
      <c r="L41" s="582"/>
      <c r="R41" s="590"/>
      <c r="T41" s="592"/>
      <c r="U41" s="593"/>
      <c r="W41" s="568"/>
      <c r="X41" s="568"/>
      <c r="Y41" s="566"/>
    </row>
    <row r="42" spans="1:25" x14ac:dyDescent="0.25">
      <c r="C42" s="568"/>
      <c r="D42" s="566"/>
      <c r="E42" s="567"/>
      <c r="F42" s="568"/>
      <c r="G42"/>
      <c r="H42" s="570"/>
      <c r="I42"/>
      <c r="K42" s="568"/>
      <c r="L42" s="582"/>
      <c r="R42" s="590"/>
      <c r="T42" s="592"/>
      <c r="U42" s="593"/>
      <c r="W42" s="568"/>
      <c r="X42" s="568"/>
      <c r="Y42" s="566"/>
    </row>
    <row r="43" spans="1:25" x14ac:dyDescent="0.25">
      <c r="C43" s="568"/>
      <c r="D43" s="566"/>
      <c r="E43" s="567"/>
      <c r="F43" s="568"/>
      <c r="G43"/>
      <c r="H43" s="570"/>
      <c r="I43"/>
      <c r="K43" s="568"/>
      <c r="L43" s="582"/>
      <c r="R43" s="590"/>
      <c r="T43" s="592"/>
      <c r="U43" s="593"/>
      <c r="W43" s="568"/>
      <c r="X43" s="568"/>
      <c r="Y43" s="566"/>
    </row>
    <row r="44" spans="1:25" x14ac:dyDescent="0.25">
      <c r="C44" s="568"/>
      <c r="D44" s="566"/>
      <c r="E44" s="567"/>
      <c r="F44" s="568"/>
      <c r="G44"/>
      <c r="H44" s="570"/>
      <c r="I44"/>
      <c r="K44" s="568"/>
      <c r="L44" s="582"/>
      <c r="R44" s="590"/>
      <c r="T44" s="592"/>
      <c r="U44" s="593"/>
      <c r="W44" s="568"/>
      <c r="X44" s="568"/>
      <c r="Y44" s="566"/>
    </row>
    <row r="45" spans="1:25" x14ac:dyDescent="0.25">
      <c r="C45" s="568"/>
      <c r="D45" s="566"/>
      <c r="E45" s="567"/>
      <c r="F45" s="568"/>
      <c r="G45"/>
      <c r="H45" s="570"/>
      <c r="I45"/>
      <c r="K45" s="568"/>
      <c r="L45" s="582"/>
      <c r="R45" s="590"/>
      <c r="T45" s="592"/>
      <c r="U45" s="593"/>
      <c r="W45" s="568"/>
      <c r="X45" s="568"/>
      <c r="Y45" s="566"/>
    </row>
    <row r="46" spans="1:25" x14ac:dyDescent="0.25">
      <c r="C46" s="568"/>
      <c r="D46" s="566"/>
      <c r="E46" s="567"/>
      <c r="F46" s="568"/>
      <c r="G46"/>
      <c r="H46" s="570"/>
      <c r="I46"/>
      <c r="K46" s="568"/>
      <c r="L46" s="582"/>
      <c r="R46" s="590"/>
      <c r="T46" s="592"/>
      <c r="U46" s="593"/>
      <c r="W46" s="568"/>
      <c r="X46" s="568"/>
      <c r="Y46" s="566"/>
    </row>
    <row r="47" spans="1:25" x14ac:dyDescent="0.25">
      <c r="C47" s="568"/>
      <c r="D47" s="566"/>
      <c r="E47" s="567"/>
      <c r="F47" s="568"/>
      <c r="G47"/>
      <c r="H47" s="570"/>
      <c r="I47"/>
      <c r="K47" s="568"/>
      <c r="L47" s="582"/>
      <c r="R47" s="590"/>
      <c r="T47" s="592"/>
      <c r="U47" s="593"/>
      <c r="W47" s="568"/>
      <c r="X47" s="568"/>
      <c r="Y47" s="566"/>
    </row>
    <row r="48" spans="1:25" x14ac:dyDescent="0.25">
      <c r="C48" s="568"/>
      <c r="D48" s="566"/>
      <c r="E48" s="567"/>
      <c r="F48" s="568"/>
      <c r="G48"/>
      <c r="H48" s="570"/>
      <c r="I48"/>
      <c r="K48" s="568"/>
      <c r="L48" s="582"/>
      <c r="M48" s="584"/>
      <c r="R48" s="590"/>
      <c r="T48" s="592"/>
      <c r="U48" s="593"/>
      <c r="W48" s="568"/>
      <c r="X48" s="568"/>
      <c r="Y48" s="566"/>
    </row>
    <row r="49" spans="3:25" x14ac:dyDescent="0.25">
      <c r="C49" s="568"/>
      <c r="D49" s="566"/>
      <c r="E49" s="567"/>
      <c r="F49" s="568"/>
      <c r="G49"/>
      <c r="H49" s="570"/>
      <c r="I49"/>
      <c r="K49" s="568"/>
      <c r="L49" s="582"/>
      <c r="R49" s="590"/>
      <c r="T49" s="592"/>
      <c r="U49" s="593"/>
      <c r="W49" s="568"/>
      <c r="X49" s="568"/>
      <c r="Y49" s="566"/>
    </row>
    <row r="50" spans="3:25" x14ac:dyDescent="0.25">
      <c r="C50" s="568"/>
      <c r="D50" s="566"/>
      <c r="E50" s="567"/>
      <c r="F50" s="568"/>
      <c r="G50"/>
      <c r="H50" s="570"/>
      <c r="I50"/>
      <c r="K50" s="568"/>
      <c r="L50" s="582"/>
      <c r="R50" s="590"/>
      <c r="T50" s="592"/>
      <c r="U50" s="593"/>
      <c r="W50" s="568"/>
      <c r="X50" s="568"/>
      <c r="Y50" s="566"/>
    </row>
    <row r="51" spans="3:25" x14ac:dyDescent="0.25">
      <c r="C51" s="568"/>
      <c r="D51" s="566"/>
      <c r="E51" s="567"/>
      <c r="F51" s="568"/>
      <c r="G51"/>
      <c r="H51" s="570"/>
      <c r="I51"/>
      <c r="K51" s="568"/>
      <c r="L51" s="582"/>
      <c r="R51" s="590"/>
      <c r="T51" s="592"/>
      <c r="U51" s="593"/>
      <c r="W51" s="568"/>
      <c r="X51" s="568"/>
      <c r="Y51" s="566"/>
    </row>
    <row r="52" spans="3:25" x14ac:dyDescent="0.25">
      <c r="C52" s="568"/>
      <c r="D52" s="566"/>
      <c r="E52" s="567"/>
      <c r="F52" s="568"/>
      <c r="G52"/>
      <c r="H52" s="570"/>
      <c r="I52"/>
      <c r="K52" s="568"/>
      <c r="L52" s="582"/>
      <c r="R52" s="590"/>
      <c r="T52" s="592"/>
      <c r="U52" s="593"/>
      <c r="W52" s="568"/>
      <c r="X52" s="568"/>
      <c r="Y52" s="566"/>
    </row>
    <row r="53" spans="3:25" x14ac:dyDescent="0.25">
      <c r="C53" s="568"/>
      <c r="D53" s="566"/>
      <c r="E53" s="567"/>
      <c r="F53" s="568"/>
      <c r="G53"/>
      <c r="H53" s="570"/>
      <c r="I53"/>
      <c r="K53" s="568"/>
      <c r="L53" s="582"/>
      <c r="R53" s="590"/>
      <c r="T53" s="592"/>
      <c r="U53" s="593"/>
      <c r="W53" s="568"/>
      <c r="X53" s="568"/>
      <c r="Y53" s="566"/>
    </row>
    <row r="54" spans="3:25" x14ac:dyDescent="0.25">
      <c r="C54" s="568"/>
      <c r="D54" s="566"/>
      <c r="E54" s="567"/>
      <c r="F54" s="568"/>
      <c r="G54"/>
      <c r="H54" s="570"/>
      <c r="I54"/>
      <c r="K54" s="568"/>
      <c r="L54" s="582"/>
      <c r="R54" s="590"/>
      <c r="T54" s="592"/>
      <c r="U54" s="593"/>
      <c r="W54" s="568"/>
      <c r="X54" s="568"/>
      <c r="Y54" s="566"/>
    </row>
    <row r="55" spans="3:25" x14ac:dyDescent="0.25">
      <c r="C55" s="568"/>
      <c r="D55" s="568"/>
      <c r="E55" s="568"/>
      <c r="F55" s="568"/>
      <c r="G55" s="566"/>
      <c r="H55" s="566"/>
      <c r="R55" s="594"/>
      <c r="T55" s="592"/>
      <c r="U55" s="595"/>
      <c r="W55" s="568"/>
      <c r="X55" s="568"/>
      <c r="Y55" s="566"/>
    </row>
    <row r="56" spans="3:25" x14ac:dyDescent="0.25">
      <c r="C56" s="568"/>
      <c r="D56" s="568"/>
      <c r="E56" s="568"/>
      <c r="F56" s="568"/>
      <c r="G56" s="566"/>
      <c r="H56" s="566"/>
      <c r="R56" s="594"/>
      <c r="T56" s="592"/>
      <c r="U56" s="595"/>
      <c r="W56" s="568"/>
      <c r="X56" s="568"/>
      <c r="Y56" s="566"/>
    </row>
    <row r="57" spans="3:25" x14ac:dyDescent="0.25">
      <c r="R57" s="594"/>
      <c r="T57" s="592"/>
      <c r="U57" s="595"/>
      <c r="W57" s="568"/>
      <c r="X57" s="568"/>
      <c r="Y57" s="566"/>
    </row>
    <row r="58" spans="3:25" x14ac:dyDescent="0.25">
      <c r="R58" s="594"/>
      <c r="T58" s="592"/>
      <c r="U58" s="595"/>
      <c r="W58" s="568"/>
      <c r="X58" s="568"/>
      <c r="Y58" s="566"/>
    </row>
    <row r="59" spans="3:25" x14ac:dyDescent="0.25">
      <c r="R59" s="594"/>
      <c r="T59" s="592"/>
      <c r="U59" s="595"/>
      <c r="W59" s="568"/>
      <c r="X59" s="568"/>
      <c r="Y59" s="566"/>
    </row>
    <row r="60" spans="3:25" x14ac:dyDescent="0.25">
      <c r="R60" s="594"/>
      <c r="T60" s="592"/>
      <c r="U60" s="595"/>
      <c r="W60" s="568"/>
      <c r="X60" s="568"/>
      <c r="Y60" s="566"/>
    </row>
    <row r="61" spans="3:25" x14ac:dyDescent="0.25">
      <c r="R61" s="594"/>
      <c r="T61" s="592"/>
      <c r="U61" s="595"/>
      <c r="W61" s="568"/>
      <c r="X61" s="568"/>
      <c r="Y61" s="566"/>
    </row>
    <row r="62" spans="3:25" x14ac:dyDescent="0.25">
      <c r="R62" s="594"/>
      <c r="T62" s="592"/>
      <c r="U62" s="595"/>
      <c r="W62" s="568"/>
      <c r="X62" s="568"/>
      <c r="Y62" s="566"/>
    </row>
    <row r="63" spans="3:25" x14ac:dyDescent="0.25">
      <c r="R63" s="594"/>
      <c r="T63" s="592"/>
      <c r="U63" s="595"/>
      <c r="W63" s="568"/>
      <c r="X63" s="568"/>
      <c r="Y63" s="566"/>
    </row>
    <row r="64" spans="3:25" x14ac:dyDescent="0.25">
      <c r="R64" s="594"/>
      <c r="T64" s="592"/>
      <c r="U64" s="595"/>
      <c r="W64" s="568"/>
      <c r="X64" s="568"/>
      <c r="Y64" s="566"/>
    </row>
    <row r="65" spans="18:25" x14ac:dyDescent="0.25">
      <c r="R65" s="594"/>
      <c r="T65" s="592"/>
      <c r="U65" s="595"/>
      <c r="W65" s="568"/>
      <c r="X65" s="568"/>
      <c r="Y65" s="566"/>
    </row>
    <row r="66" spans="18:25" x14ac:dyDescent="0.25">
      <c r="R66" s="594"/>
      <c r="T66" s="592"/>
      <c r="U66" s="595"/>
      <c r="W66" s="568"/>
      <c r="X66" s="568"/>
      <c r="Y66" s="566"/>
    </row>
    <row r="67" spans="18:25" x14ac:dyDescent="0.25">
      <c r="R67" s="594"/>
      <c r="T67" s="592"/>
      <c r="U67" s="595"/>
      <c r="W67" s="568"/>
      <c r="X67" s="568"/>
      <c r="Y67" s="566"/>
    </row>
    <row r="68" spans="18:25" x14ac:dyDescent="0.25">
      <c r="R68" s="594"/>
      <c r="T68" s="592"/>
      <c r="U68" s="595"/>
      <c r="W68" s="568"/>
      <c r="X68" s="568"/>
      <c r="Y68" s="566"/>
    </row>
    <row r="69" spans="18:25" x14ac:dyDescent="0.25">
      <c r="R69" s="594"/>
      <c r="T69" s="592"/>
      <c r="U69" s="595"/>
      <c r="W69" s="568"/>
      <c r="X69" s="568"/>
      <c r="Y69" s="566"/>
    </row>
    <row r="70" spans="18:25" x14ac:dyDescent="0.25">
      <c r="R70" s="594"/>
      <c r="T70" s="592"/>
      <c r="U70" s="595"/>
      <c r="W70" s="568"/>
      <c r="X70" s="568"/>
      <c r="Y70" s="566"/>
    </row>
    <row r="71" spans="18:25" x14ac:dyDescent="0.25">
      <c r="R71" s="594"/>
      <c r="T71" s="592"/>
      <c r="U71" s="595"/>
      <c r="W71" s="568"/>
      <c r="X71" s="568"/>
      <c r="Y71" s="566"/>
    </row>
    <row r="72" spans="18:25" x14ac:dyDescent="0.25">
      <c r="R72" s="594"/>
      <c r="T72" s="592"/>
      <c r="U72" s="595"/>
      <c r="W72" s="568"/>
      <c r="X72" s="568"/>
      <c r="Y72" s="566"/>
    </row>
    <row r="73" spans="18:25" x14ac:dyDescent="0.25">
      <c r="R73" s="594"/>
      <c r="T73" s="592"/>
      <c r="U73" s="595"/>
      <c r="W73" s="568"/>
      <c r="X73" s="568"/>
      <c r="Y73" s="566"/>
    </row>
    <row r="74" spans="18:25" x14ac:dyDescent="0.25">
      <c r="R74" s="594"/>
      <c r="T74" s="592"/>
      <c r="U74" s="595"/>
      <c r="W74" s="568"/>
      <c r="X74" s="568"/>
      <c r="Y74" s="566"/>
    </row>
    <row r="75" spans="18:25" x14ac:dyDescent="0.25">
      <c r="R75" s="594"/>
      <c r="T75" s="592"/>
      <c r="U75" s="595"/>
      <c r="W75" s="568"/>
      <c r="X75" s="568"/>
      <c r="Y75" s="566"/>
    </row>
    <row r="76" spans="18:25" x14ac:dyDescent="0.25">
      <c r="R76" s="594"/>
      <c r="T76" s="592"/>
      <c r="U76" s="595"/>
      <c r="W76" s="568"/>
      <c r="X76" s="568"/>
      <c r="Y76" s="566"/>
    </row>
    <row r="77" spans="18:25" x14ac:dyDescent="0.25">
      <c r="R77" s="594"/>
      <c r="T77" s="592"/>
      <c r="U77" s="595"/>
      <c r="W77" s="568"/>
      <c r="X77" s="568"/>
      <c r="Y77" s="566"/>
    </row>
    <row r="78" spans="18:25" x14ac:dyDescent="0.25">
      <c r="R78" s="594"/>
      <c r="T78" s="592"/>
      <c r="U78" s="595"/>
      <c r="W78" s="568"/>
      <c r="X78" s="568"/>
      <c r="Y78" s="566"/>
    </row>
    <row r="79" spans="18:25" x14ac:dyDescent="0.25">
      <c r="R79" s="594"/>
      <c r="T79" s="592"/>
      <c r="U79" s="595"/>
      <c r="W79" s="568"/>
      <c r="X79" s="568"/>
      <c r="Y79" s="566"/>
    </row>
    <row r="80" spans="18:25" x14ac:dyDescent="0.25">
      <c r="R80" s="594"/>
      <c r="T80" s="592"/>
      <c r="U80" s="595"/>
      <c r="W80" s="568"/>
      <c r="X80" s="568"/>
      <c r="Y80" s="566"/>
    </row>
    <row r="81" spans="18:25" x14ac:dyDescent="0.25">
      <c r="R81" s="594"/>
      <c r="T81" s="592"/>
      <c r="U81" s="595"/>
      <c r="W81" s="568"/>
      <c r="X81" s="568"/>
      <c r="Y81" s="566"/>
    </row>
    <row r="82" spans="18:25" x14ac:dyDescent="0.25">
      <c r="R82" s="594"/>
      <c r="T82" s="592"/>
      <c r="U82" s="595"/>
      <c r="W82" s="568"/>
      <c r="X82" s="568"/>
      <c r="Y82" s="566"/>
    </row>
    <row r="83" spans="18:25" x14ac:dyDescent="0.25">
      <c r="R83" s="594"/>
      <c r="T83" s="592"/>
      <c r="U83" s="595"/>
      <c r="W83" s="568"/>
      <c r="X83" s="568"/>
      <c r="Y83" s="566"/>
    </row>
    <row r="84" spans="18:25" x14ac:dyDescent="0.25">
      <c r="R84" s="594"/>
      <c r="T84" s="592"/>
      <c r="U84" s="595"/>
      <c r="W84" s="568"/>
      <c r="X84" s="568"/>
      <c r="Y84" s="566"/>
    </row>
    <row r="85" spans="18:25" x14ac:dyDescent="0.25">
      <c r="R85" s="594"/>
      <c r="T85" s="592"/>
      <c r="U85" s="595"/>
      <c r="W85" s="568"/>
      <c r="X85" s="568"/>
      <c r="Y85" s="566"/>
    </row>
    <row r="86" spans="18:25" x14ac:dyDescent="0.25">
      <c r="R86" s="594"/>
      <c r="T86" s="592"/>
      <c r="U86" s="595"/>
      <c r="W86" s="568"/>
      <c r="X86" s="568"/>
      <c r="Y86" s="566"/>
    </row>
    <row r="87" spans="18:25" x14ac:dyDescent="0.25">
      <c r="R87" s="594"/>
      <c r="T87" s="592"/>
      <c r="U87" s="595"/>
      <c r="W87" s="568"/>
      <c r="X87" s="568"/>
      <c r="Y87" s="566"/>
    </row>
    <row r="88" spans="18:25" x14ac:dyDescent="0.25">
      <c r="R88" s="594"/>
      <c r="T88" s="592"/>
      <c r="U88" s="595"/>
      <c r="W88" s="568"/>
      <c r="X88" s="568"/>
      <c r="Y88" s="566"/>
    </row>
    <row r="89" spans="18:25" x14ac:dyDescent="0.25">
      <c r="R89" s="594"/>
      <c r="T89" s="592"/>
      <c r="U89" s="595"/>
      <c r="W89" s="568"/>
      <c r="X89" s="568"/>
      <c r="Y89" s="566"/>
    </row>
    <row r="90" spans="18:25" x14ac:dyDescent="0.25">
      <c r="R90" s="594"/>
      <c r="T90" s="592"/>
      <c r="U90" s="595"/>
      <c r="W90" s="568"/>
      <c r="X90" s="568"/>
      <c r="Y90" s="566"/>
    </row>
    <row r="91" spans="18:25" x14ac:dyDescent="0.25">
      <c r="R91" s="594"/>
      <c r="T91" s="592"/>
      <c r="U91" s="595"/>
      <c r="W91" s="568"/>
      <c r="X91" s="568"/>
      <c r="Y91" s="566"/>
    </row>
    <row r="92" spans="18:25" x14ac:dyDescent="0.25">
      <c r="R92" s="594"/>
      <c r="T92" s="592"/>
      <c r="U92" s="595"/>
      <c r="W92" s="568"/>
      <c r="X92" s="568"/>
      <c r="Y92" s="566"/>
    </row>
    <row r="93" spans="18:25" x14ac:dyDescent="0.25">
      <c r="R93" s="594"/>
      <c r="T93" s="592"/>
      <c r="U93" s="595"/>
      <c r="W93" s="568"/>
      <c r="X93" s="568"/>
      <c r="Y93" s="566"/>
    </row>
    <row r="94" spans="18:25" x14ac:dyDescent="0.25">
      <c r="R94" s="594"/>
      <c r="T94" s="592"/>
      <c r="U94" s="595"/>
      <c r="W94" s="568"/>
      <c r="X94" s="568"/>
      <c r="Y94" s="566"/>
    </row>
    <row r="95" spans="18:25" x14ac:dyDescent="0.25">
      <c r="R95" s="594"/>
      <c r="T95" s="592"/>
      <c r="U95" s="595"/>
      <c r="W95" s="568"/>
      <c r="X95" s="568"/>
      <c r="Y95" s="566"/>
    </row>
    <row r="96" spans="18:25" x14ac:dyDescent="0.25">
      <c r="R96" s="594"/>
      <c r="T96" s="592"/>
      <c r="U96" s="595"/>
      <c r="W96" s="568"/>
      <c r="X96" s="568"/>
      <c r="Y96" s="566"/>
    </row>
    <row r="97" spans="18:25" x14ac:dyDescent="0.25">
      <c r="R97" s="594"/>
      <c r="T97" s="592"/>
      <c r="U97" s="595"/>
      <c r="W97" s="568"/>
      <c r="X97" s="568"/>
      <c r="Y97" s="566"/>
    </row>
    <row r="98" spans="18:25" x14ac:dyDescent="0.25">
      <c r="R98" s="594"/>
      <c r="T98" s="592"/>
      <c r="U98" s="595"/>
      <c r="W98" s="568"/>
      <c r="X98" s="568"/>
      <c r="Y98" s="566"/>
    </row>
    <row r="99" spans="18:25" x14ac:dyDescent="0.25">
      <c r="R99" s="594"/>
      <c r="T99" s="592"/>
      <c r="U99" s="595"/>
      <c r="W99" s="568"/>
      <c r="X99" s="568"/>
      <c r="Y99" s="566"/>
    </row>
    <row r="100" spans="18:25" x14ac:dyDescent="0.25">
      <c r="R100" s="594"/>
      <c r="T100" s="592"/>
      <c r="U100" s="595"/>
      <c r="W100" s="568"/>
      <c r="X100" s="568"/>
      <c r="Y100" s="566"/>
    </row>
    <row r="101" spans="18:25" x14ac:dyDescent="0.25">
      <c r="R101" s="594"/>
      <c r="T101" s="592"/>
      <c r="U101" s="595"/>
      <c r="W101" s="568"/>
      <c r="X101" s="568"/>
      <c r="Y101" s="566"/>
    </row>
    <row r="102" spans="18:25" x14ac:dyDescent="0.25">
      <c r="R102" s="594"/>
      <c r="T102" s="592"/>
      <c r="U102" s="595"/>
      <c r="W102" s="568"/>
      <c r="X102" s="568"/>
      <c r="Y102" s="566"/>
    </row>
    <row r="103" spans="18:25" x14ac:dyDescent="0.25">
      <c r="R103" s="594"/>
      <c r="T103" s="592"/>
      <c r="U103" s="595"/>
      <c r="W103" s="568"/>
      <c r="X103" s="568"/>
      <c r="Y103" s="566"/>
    </row>
    <row r="104" spans="18:25" x14ac:dyDescent="0.25">
      <c r="R104" s="594"/>
      <c r="T104" s="592"/>
      <c r="U104" s="595"/>
      <c r="W104" s="568"/>
      <c r="X104" s="568"/>
      <c r="Y104" s="566"/>
    </row>
    <row r="105" spans="18:25" x14ac:dyDescent="0.25">
      <c r="R105" s="594"/>
      <c r="T105" s="592"/>
      <c r="U105" s="595"/>
      <c r="W105" s="568"/>
      <c r="X105" s="568"/>
      <c r="Y105" s="566"/>
    </row>
    <row r="106" spans="18:25" x14ac:dyDescent="0.25">
      <c r="R106" s="594"/>
      <c r="T106" s="592"/>
      <c r="U106" s="595"/>
      <c r="W106" s="568"/>
      <c r="X106" s="568"/>
      <c r="Y106" s="566"/>
    </row>
    <row r="107" spans="18:25" x14ac:dyDescent="0.25">
      <c r="R107" s="594"/>
      <c r="T107" s="592"/>
      <c r="U107" s="595"/>
      <c r="W107" s="568"/>
      <c r="X107" s="568"/>
      <c r="Y107" s="566"/>
    </row>
    <row r="108" spans="18:25" x14ac:dyDescent="0.25">
      <c r="R108" s="594"/>
      <c r="T108" s="592"/>
      <c r="U108" s="595"/>
      <c r="W108" s="568"/>
      <c r="X108" s="568"/>
      <c r="Y108" s="566"/>
    </row>
    <row r="109" spans="18:25" x14ac:dyDescent="0.25">
      <c r="R109" s="594"/>
      <c r="T109" s="592"/>
      <c r="U109" s="595"/>
      <c r="W109" s="568"/>
      <c r="X109" s="568"/>
      <c r="Y109" s="566"/>
    </row>
    <row r="110" spans="18:25" x14ac:dyDescent="0.25">
      <c r="R110" s="594"/>
      <c r="T110" s="592"/>
      <c r="U110" s="595"/>
      <c r="W110" s="568"/>
      <c r="X110" s="568"/>
      <c r="Y110" s="566"/>
    </row>
    <row r="111" spans="18:25" x14ac:dyDescent="0.25">
      <c r="R111" s="594"/>
      <c r="T111" s="592"/>
      <c r="U111" s="595"/>
      <c r="W111" s="568"/>
      <c r="X111" s="568"/>
      <c r="Y111" s="566"/>
    </row>
    <row r="112" spans="18:25" x14ac:dyDescent="0.25">
      <c r="R112" s="594"/>
      <c r="T112" s="592"/>
      <c r="U112" s="595"/>
      <c r="W112" s="568"/>
      <c r="X112" s="568"/>
      <c r="Y112" s="566"/>
    </row>
    <row r="113" spans="18:25" x14ac:dyDescent="0.25">
      <c r="R113" s="594"/>
      <c r="T113" s="592"/>
      <c r="U113" s="595"/>
      <c r="W113" s="568"/>
      <c r="X113" s="568"/>
      <c r="Y113" s="566"/>
    </row>
    <row r="114" spans="18:25" x14ac:dyDescent="0.25">
      <c r="R114" s="594"/>
      <c r="T114" s="592"/>
      <c r="U114" s="595"/>
      <c r="W114" s="568"/>
      <c r="X114" s="568"/>
      <c r="Y114" s="566"/>
    </row>
    <row r="115" spans="18:25" x14ac:dyDescent="0.25">
      <c r="R115" s="594"/>
      <c r="T115" s="592"/>
      <c r="U115" s="595"/>
      <c r="W115" s="568"/>
      <c r="X115" s="568"/>
      <c r="Y115" s="566"/>
    </row>
    <row r="116" spans="18:25" x14ac:dyDescent="0.25">
      <c r="R116" s="594"/>
      <c r="T116" s="592"/>
      <c r="U116" s="595"/>
      <c r="W116" s="568"/>
      <c r="X116" s="568"/>
      <c r="Y116" s="566"/>
    </row>
    <row r="117" spans="18:25" x14ac:dyDescent="0.25">
      <c r="R117" s="594"/>
      <c r="T117" s="592"/>
      <c r="U117" s="595"/>
      <c r="W117" s="568"/>
      <c r="X117" s="568"/>
      <c r="Y117" s="566"/>
    </row>
    <row r="118" spans="18:25" x14ac:dyDescent="0.25">
      <c r="R118" s="594"/>
      <c r="T118" s="592"/>
      <c r="U118" s="595"/>
      <c r="W118" s="568"/>
      <c r="X118" s="568"/>
      <c r="Y118" s="566"/>
    </row>
    <row r="119" spans="18:25" x14ac:dyDescent="0.25">
      <c r="R119" s="594"/>
      <c r="T119" s="592"/>
      <c r="U119" s="595"/>
      <c r="W119" s="568"/>
      <c r="X119" s="568"/>
      <c r="Y119" s="566"/>
    </row>
    <row r="120" spans="18:25" x14ac:dyDescent="0.25">
      <c r="R120" s="594"/>
      <c r="T120" s="592"/>
      <c r="U120" s="595"/>
      <c r="W120" s="568"/>
      <c r="X120" s="568"/>
      <c r="Y120" s="566"/>
    </row>
    <row r="121" spans="18:25" x14ac:dyDescent="0.25">
      <c r="R121" s="594"/>
      <c r="T121" s="592"/>
      <c r="U121" s="595"/>
      <c r="W121" s="568"/>
      <c r="X121" s="568"/>
      <c r="Y121" s="566"/>
    </row>
    <row r="122" spans="18:25" x14ac:dyDescent="0.25">
      <c r="R122" s="594"/>
      <c r="T122" s="592"/>
      <c r="U122" s="595"/>
      <c r="W122" s="568"/>
      <c r="X122" s="568"/>
      <c r="Y122" s="566"/>
    </row>
    <row r="123" spans="18:25" x14ac:dyDescent="0.25">
      <c r="R123" s="594"/>
      <c r="T123" s="592"/>
      <c r="U123" s="595"/>
      <c r="W123" s="568"/>
      <c r="X123" s="568"/>
      <c r="Y123" s="566"/>
    </row>
    <row r="124" spans="18:25" x14ac:dyDescent="0.25">
      <c r="R124" s="594"/>
      <c r="T124" s="592"/>
      <c r="U124" s="595"/>
      <c r="W124" s="568"/>
      <c r="X124" s="568"/>
      <c r="Y124" s="566"/>
    </row>
    <row r="125" spans="18:25" x14ac:dyDescent="0.25">
      <c r="R125" s="594"/>
      <c r="T125" s="592"/>
      <c r="U125" s="595"/>
      <c r="W125" s="568"/>
      <c r="X125" s="568"/>
      <c r="Y125" s="566"/>
    </row>
    <row r="126" spans="18:25" x14ac:dyDescent="0.25">
      <c r="R126" s="594"/>
      <c r="T126" s="592"/>
      <c r="U126" s="595"/>
      <c r="W126" s="568"/>
      <c r="X126" s="568"/>
      <c r="Y126" s="566"/>
    </row>
    <row r="127" spans="18:25" x14ac:dyDescent="0.25">
      <c r="R127" s="594"/>
      <c r="T127" s="592"/>
      <c r="U127" s="595"/>
      <c r="W127" s="568"/>
      <c r="X127" s="568"/>
      <c r="Y127" s="566"/>
    </row>
    <row r="128" spans="18:25" x14ac:dyDescent="0.25">
      <c r="R128" s="594"/>
      <c r="T128" s="592"/>
      <c r="U128" s="595"/>
      <c r="W128" s="568"/>
      <c r="X128" s="568"/>
      <c r="Y128" s="566"/>
    </row>
    <row r="129" spans="18:25" x14ac:dyDescent="0.25">
      <c r="R129" s="594"/>
      <c r="T129" s="592"/>
      <c r="U129" s="595"/>
      <c r="W129" s="568"/>
      <c r="X129" s="568"/>
      <c r="Y129" s="566"/>
    </row>
    <row r="130" spans="18:25" x14ac:dyDescent="0.25">
      <c r="R130" s="594"/>
      <c r="T130" s="592"/>
      <c r="U130" s="595"/>
      <c r="W130" s="568"/>
      <c r="X130" s="568"/>
      <c r="Y130" s="566"/>
    </row>
    <row r="131" spans="18:25" x14ac:dyDescent="0.25">
      <c r="R131" s="594"/>
      <c r="T131" s="592"/>
      <c r="U131" s="595"/>
      <c r="W131" s="568"/>
      <c r="X131" s="568"/>
      <c r="Y131" s="566"/>
    </row>
    <row r="132" spans="18:25" x14ac:dyDescent="0.25">
      <c r="R132" s="594"/>
      <c r="T132" s="592"/>
      <c r="U132" s="595"/>
      <c r="W132" s="568"/>
      <c r="X132" s="568"/>
      <c r="Y132" s="566"/>
    </row>
    <row r="133" spans="18:25" x14ac:dyDescent="0.25">
      <c r="R133" s="594"/>
      <c r="T133" s="592"/>
      <c r="U133" s="595"/>
      <c r="W133" s="568"/>
      <c r="X133" s="568"/>
      <c r="Y133" s="566"/>
    </row>
    <row r="134" spans="18:25" x14ac:dyDescent="0.25">
      <c r="R134" s="594"/>
      <c r="T134" s="592"/>
      <c r="U134" s="595"/>
      <c r="W134" s="568"/>
      <c r="X134" s="568"/>
      <c r="Y134" s="566"/>
    </row>
    <row r="135" spans="18:25" x14ac:dyDescent="0.25">
      <c r="R135" s="594"/>
      <c r="T135" s="592"/>
      <c r="U135" s="595"/>
      <c r="W135" s="568"/>
      <c r="X135" s="568"/>
      <c r="Y135" s="566"/>
    </row>
    <row r="136" spans="18:25" x14ac:dyDescent="0.25">
      <c r="R136" s="594"/>
      <c r="T136" s="592"/>
      <c r="U136" s="595"/>
      <c r="W136" s="568"/>
      <c r="X136" s="568"/>
      <c r="Y136" s="566"/>
    </row>
    <row r="137" spans="18:25" x14ac:dyDescent="0.25">
      <c r="R137" s="594"/>
      <c r="T137" s="592"/>
      <c r="U137" s="595"/>
      <c r="W137" s="568"/>
      <c r="X137" s="568"/>
      <c r="Y137" s="566"/>
    </row>
    <row r="138" spans="18:25" x14ac:dyDescent="0.25">
      <c r="R138" s="594"/>
      <c r="T138" s="592"/>
      <c r="U138" s="595"/>
      <c r="W138" s="568"/>
      <c r="X138" s="568"/>
      <c r="Y138" s="566"/>
    </row>
    <row r="139" spans="18:25" x14ac:dyDescent="0.25">
      <c r="R139" s="594"/>
      <c r="T139" s="592"/>
      <c r="U139" s="595"/>
      <c r="W139" s="568"/>
      <c r="X139" s="568"/>
      <c r="Y139" s="566"/>
    </row>
    <row r="140" spans="18:25" x14ac:dyDescent="0.25">
      <c r="R140" s="594"/>
      <c r="T140" s="592"/>
      <c r="U140" s="595"/>
      <c r="W140" s="568"/>
      <c r="X140" s="568"/>
      <c r="Y140" s="566"/>
    </row>
    <row r="141" spans="18:25" x14ac:dyDescent="0.25">
      <c r="R141" s="594"/>
      <c r="T141" s="592"/>
      <c r="U141" s="595"/>
      <c r="W141" s="568"/>
      <c r="X141" s="568"/>
      <c r="Y141" s="566"/>
    </row>
    <row r="142" spans="18:25" x14ac:dyDescent="0.25">
      <c r="R142" s="594"/>
      <c r="T142" s="592"/>
      <c r="U142" s="595"/>
      <c r="W142" s="568"/>
      <c r="X142" s="568"/>
      <c r="Y142" s="566"/>
    </row>
    <row r="143" spans="18:25" x14ac:dyDescent="0.25">
      <c r="R143" s="594"/>
      <c r="T143" s="592"/>
      <c r="U143" s="595"/>
      <c r="W143" s="568"/>
      <c r="X143" s="568"/>
      <c r="Y143" s="566"/>
    </row>
    <row r="144" spans="18:25" x14ac:dyDescent="0.25">
      <c r="R144" s="594"/>
      <c r="T144" s="592"/>
      <c r="U144" s="595"/>
      <c r="W144" s="568"/>
      <c r="X144" s="568"/>
      <c r="Y144" s="566"/>
    </row>
    <row r="145" spans="18:25" x14ac:dyDescent="0.25">
      <c r="R145" s="594"/>
      <c r="T145" s="592"/>
      <c r="U145" s="595"/>
      <c r="W145" s="568"/>
      <c r="X145" s="568"/>
      <c r="Y145" s="566"/>
    </row>
    <row r="146" spans="18:25" x14ac:dyDescent="0.25">
      <c r="R146" s="594"/>
      <c r="T146" s="592"/>
      <c r="U146" s="595"/>
      <c r="W146" s="568"/>
      <c r="X146" s="568"/>
      <c r="Y146" s="566"/>
    </row>
    <row r="147" spans="18:25" x14ac:dyDescent="0.25">
      <c r="R147" s="594"/>
      <c r="T147" s="592"/>
      <c r="U147" s="595"/>
      <c r="W147" s="568"/>
      <c r="X147" s="568"/>
      <c r="Y147" s="566"/>
    </row>
    <row r="148" spans="18:25" x14ac:dyDescent="0.25">
      <c r="R148" s="594"/>
      <c r="T148" s="592"/>
      <c r="U148" s="595"/>
      <c r="W148" s="568"/>
      <c r="X148" s="568"/>
      <c r="Y148" s="566"/>
    </row>
    <row r="149" spans="18:25" x14ac:dyDescent="0.25">
      <c r="R149" s="594"/>
      <c r="T149" s="592"/>
      <c r="U149" s="595"/>
      <c r="W149" s="568"/>
      <c r="X149" s="568"/>
      <c r="Y149" s="566"/>
    </row>
    <row r="150" spans="18:25" x14ac:dyDescent="0.25">
      <c r="R150" s="594"/>
      <c r="T150" s="592"/>
      <c r="U150" s="595"/>
      <c r="W150" s="568"/>
      <c r="X150" s="568"/>
      <c r="Y150" s="566"/>
    </row>
    <row r="151" spans="18:25" x14ac:dyDescent="0.25">
      <c r="R151" s="594"/>
      <c r="T151" s="592"/>
      <c r="U151" s="595"/>
      <c r="W151" s="568"/>
      <c r="X151" s="568"/>
      <c r="Y151" s="566"/>
    </row>
    <row r="152" spans="18:25" x14ac:dyDescent="0.25">
      <c r="R152" s="594"/>
      <c r="T152" s="592"/>
      <c r="U152" s="595"/>
      <c r="W152" s="568"/>
      <c r="X152" s="568"/>
      <c r="Y152" s="566"/>
    </row>
    <row r="153" spans="18:25" x14ac:dyDescent="0.25">
      <c r="R153" s="594"/>
      <c r="T153" s="592"/>
      <c r="U153" s="595"/>
      <c r="W153" s="568"/>
      <c r="X153" s="568"/>
      <c r="Y153" s="566"/>
    </row>
    <row r="154" spans="18:25" x14ac:dyDescent="0.25">
      <c r="R154" s="594"/>
      <c r="T154" s="592"/>
      <c r="U154" s="595"/>
      <c r="W154" s="568"/>
      <c r="X154" s="568"/>
      <c r="Y154" s="566"/>
    </row>
    <row r="155" spans="18:25" x14ac:dyDescent="0.25">
      <c r="R155" s="594"/>
      <c r="T155" s="592"/>
      <c r="U155" s="595"/>
      <c r="W155" s="568"/>
      <c r="X155" s="568"/>
      <c r="Y155" s="566"/>
    </row>
    <row r="156" spans="18:25" x14ac:dyDescent="0.25">
      <c r="R156" s="594"/>
      <c r="T156" s="592"/>
      <c r="U156" s="595"/>
      <c r="W156" s="568"/>
      <c r="X156" s="568"/>
      <c r="Y156" s="566"/>
    </row>
    <row r="157" spans="18:25" x14ac:dyDescent="0.25">
      <c r="R157" s="594"/>
      <c r="T157" s="592"/>
      <c r="U157" s="595"/>
      <c r="W157" s="568"/>
      <c r="X157" s="568"/>
      <c r="Y157" s="566"/>
    </row>
    <row r="158" spans="18:25" x14ac:dyDescent="0.25">
      <c r="R158" s="594"/>
      <c r="T158" s="592"/>
      <c r="U158" s="595"/>
      <c r="W158" s="568"/>
      <c r="X158" s="568"/>
      <c r="Y158" s="566"/>
    </row>
    <row r="159" spans="18:25" x14ac:dyDescent="0.25">
      <c r="R159" s="594"/>
      <c r="T159" s="592"/>
      <c r="U159" s="595"/>
      <c r="W159" s="568"/>
      <c r="X159" s="568"/>
      <c r="Y159" s="566"/>
    </row>
    <row r="160" spans="18:25" x14ac:dyDescent="0.25">
      <c r="R160" s="594"/>
      <c r="T160" s="592"/>
      <c r="U160" s="595"/>
      <c r="W160" s="568"/>
      <c r="X160" s="568"/>
      <c r="Y160" s="566"/>
    </row>
    <row r="161" spans="18:25" x14ac:dyDescent="0.25">
      <c r="R161" s="594"/>
      <c r="T161" s="592"/>
      <c r="U161" s="595"/>
      <c r="W161" s="568"/>
      <c r="X161" s="568"/>
      <c r="Y161" s="566"/>
    </row>
    <row r="162" spans="18:25" x14ac:dyDescent="0.25">
      <c r="R162" s="594"/>
      <c r="T162" s="592"/>
      <c r="U162" s="595"/>
      <c r="W162" s="568"/>
      <c r="X162" s="568"/>
      <c r="Y162" s="566"/>
    </row>
    <row r="163" spans="18:25" x14ac:dyDescent="0.25">
      <c r="R163" s="594"/>
      <c r="T163" s="592"/>
      <c r="U163" s="595"/>
      <c r="W163" s="568"/>
      <c r="X163" s="568"/>
      <c r="Y163" s="566"/>
    </row>
    <row r="164" spans="18:25" x14ac:dyDescent="0.25">
      <c r="R164" s="594"/>
      <c r="T164" s="592"/>
      <c r="U164" s="595"/>
      <c r="W164" s="568"/>
      <c r="X164" s="568"/>
      <c r="Y164" s="566"/>
    </row>
    <row r="165" spans="18:25" x14ac:dyDescent="0.25">
      <c r="R165" s="594"/>
      <c r="T165" s="592"/>
      <c r="U165" s="595"/>
      <c r="W165" s="568"/>
      <c r="X165" s="568"/>
      <c r="Y165" s="566"/>
    </row>
    <row r="166" spans="18:25" x14ac:dyDescent="0.25">
      <c r="R166" s="594"/>
      <c r="T166" s="592"/>
      <c r="U166" s="595"/>
      <c r="W166" s="568"/>
      <c r="X166" s="568"/>
      <c r="Y166" s="566"/>
    </row>
    <row r="167" spans="18:25" x14ac:dyDescent="0.25">
      <c r="R167" s="594"/>
      <c r="T167" s="592"/>
      <c r="U167" s="595"/>
      <c r="W167" s="568"/>
      <c r="X167" s="568"/>
      <c r="Y167" s="566"/>
    </row>
    <row r="168" spans="18:25" x14ac:dyDescent="0.25">
      <c r="R168" s="594"/>
      <c r="T168" s="592"/>
      <c r="U168" s="595"/>
      <c r="W168" s="568"/>
      <c r="X168" s="568"/>
      <c r="Y168" s="566"/>
    </row>
    <row r="169" spans="18:25" x14ac:dyDescent="0.25">
      <c r="R169" s="594"/>
      <c r="T169" s="592"/>
      <c r="U169" s="595"/>
      <c r="W169" s="568"/>
      <c r="X169" s="568"/>
      <c r="Y169" s="566"/>
    </row>
    <row r="170" spans="18:25" x14ac:dyDescent="0.25">
      <c r="R170" s="594"/>
      <c r="T170" s="592"/>
      <c r="U170" s="595"/>
      <c r="W170" s="568"/>
      <c r="X170" s="568"/>
      <c r="Y170" s="566"/>
    </row>
    <row r="171" spans="18:25" x14ac:dyDescent="0.25">
      <c r="R171" s="594"/>
      <c r="T171" s="592"/>
      <c r="U171" s="595"/>
      <c r="W171" s="568"/>
      <c r="X171" s="568"/>
      <c r="Y171" s="566"/>
    </row>
    <row r="172" spans="18:25" x14ac:dyDescent="0.25">
      <c r="R172" s="594"/>
      <c r="T172" s="592"/>
      <c r="U172" s="595"/>
      <c r="W172" s="568"/>
      <c r="X172" s="568"/>
      <c r="Y172" s="566"/>
    </row>
    <row r="173" spans="18:25" x14ac:dyDescent="0.25">
      <c r="R173" s="594"/>
      <c r="T173" s="592"/>
      <c r="U173" s="595"/>
      <c r="W173" s="568"/>
      <c r="X173" s="568"/>
      <c r="Y173" s="566"/>
    </row>
    <row r="174" spans="18:25" x14ac:dyDescent="0.25">
      <c r="R174" s="594"/>
      <c r="T174" s="592"/>
      <c r="U174" s="595"/>
      <c r="W174" s="568"/>
      <c r="X174" s="568"/>
      <c r="Y174" s="566"/>
    </row>
    <row r="175" spans="18:25" x14ac:dyDescent="0.25">
      <c r="R175" s="594"/>
      <c r="T175" s="592"/>
      <c r="U175" s="595"/>
      <c r="W175" s="568"/>
      <c r="X175" s="568"/>
      <c r="Y175" s="566"/>
    </row>
    <row r="176" spans="18:25" x14ac:dyDescent="0.25">
      <c r="R176" s="594"/>
      <c r="T176" s="592"/>
      <c r="U176" s="595"/>
      <c r="W176" s="568"/>
      <c r="X176" s="568"/>
      <c r="Y176" s="566"/>
    </row>
    <row r="177" spans="18:25" x14ac:dyDescent="0.25">
      <c r="R177" s="594"/>
      <c r="T177" s="592"/>
      <c r="U177" s="595"/>
      <c r="W177" s="568"/>
      <c r="X177" s="568"/>
      <c r="Y177" s="566"/>
    </row>
    <row r="178" spans="18:25" x14ac:dyDescent="0.25">
      <c r="R178" s="594"/>
      <c r="T178" s="592"/>
      <c r="U178" s="595"/>
      <c r="W178" s="568"/>
      <c r="X178" s="568"/>
      <c r="Y178" s="566"/>
    </row>
    <row r="179" spans="18:25" x14ac:dyDescent="0.25">
      <c r="R179" s="594"/>
      <c r="T179" s="592"/>
      <c r="U179" s="595"/>
      <c r="W179" s="568"/>
      <c r="X179" s="568"/>
      <c r="Y179" s="566"/>
    </row>
    <row r="180" spans="18:25" x14ac:dyDescent="0.25">
      <c r="R180" s="594"/>
      <c r="T180" s="592"/>
      <c r="U180" s="595"/>
      <c r="W180" s="568"/>
      <c r="X180" s="568"/>
      <c r="Y180" s="566"/>
    </row>
    <row r="181" spans="18:25" x14ac:dyDescent="0.25">
      <c r="R181" s="594"/>
      <c r="T181" s="592"/>
      <c r="U181" s="595"/>
      <c r="W181" s="568"/>
      <c r="X181" s="568"/>
      <c r="Y181" s="566"/>
    </row>
    <row r="182" spans="18:25" x14ac:dyDescent="0.25">
      <c r="R182" s="594"/>
      <c r="T182" s="592"/>
      <c r="U182" s="595"/>
      <c r="W182" s="568"/>
      <c r="X182" s="568"/>
      <c r="Y182" s="566"/>
    </row>
    <row r="183" spans="18:25" x14ac:dyDescent="0.25">
      <c r="R183" s="594"/>
      <c r="T183" s="592"/>
      <c r="U183" s="595"/>
      <c r="W183" s="568"/>
      <c r="X183" s="568"/>
      <c r="Y183" s="566"/>
    </row>
    <row r="184" spans="18:25" x14ac:dyDescent="0.25">
      <c r="R184" s="594"/>
      <c r="T184" s="592"/>
      <c r="U184" s="595"/>
      <c r="W184" s="568"/>
      <c r="X184" s="568"/>
      <c r="Y184" s="566"/>
    </row>
    <row r="185" spans="18:25" x14ac:dyDescent="0.25">
      <c r="R185" s="594"/>
      <c r="T185" s="592"/>
      <c r="U185" s="595"/>
      <c r="W185" s="568"/>
      <c r="X185" s="568"/>
      <c r="Y185" s="566"/>
    </row>
    <row r="186" spans="18:25" x14ac:dyDescent="0.25">
      <c r="R186" s="594"/>
      <c r="T186" s="592"/>
      <c r="U186" s="595"/>
      <c r="W186" s="568"/>
      <c r="X186" s="568"/>
      <c r="Y186" s="566"/>
    </row>
    <row r="187" spans="18:25" x14ac:dyDescent="0.25">
      <c r="R187" s="594"/>
      <c r="T187" s="592"/>
      <c r="U187" s="595"/>
      <c r="W187" s="568"/>
      <c r="X187" s="568"/>
      <c r="Y187" s="566"/>
    </row>
    <row r="188" spans="18:25" x14ac:dyDescent="0.25">
      <c r="R188" s="594"/>
      <c r="T188" s="592"/>
      <c r="U188" s="595"/>
      <c r="W188" s="568"/>
      <c r="X188" s="568"/>
      <c r="Y188" s="566"/>
    </row>
    <row r="189" spans="18:25" x14ac:dyDescent="0.25">
      <c r="R189" s="594"/>
      <c r="T189" s="592"/>
      <c r="U189" s="595"/>
      <c r="W189" s="568"/>
      <c r="X189" s="568"/>
      <c r="Y189" s="566"/>
    </row>
    <row r="190" spans="18:25" x14ac:dyDescent="0.25">
      <c r="R190" s="594"/>
      <c r="T190" s="592"/>
      <c r="U190" s="595"/>
      <c r="W190" s="568"/>
      <c r="X190" s="568"/>
      <c r="Y190" s="566"/>
    </row>
    <row r="191" spans="18:25" x14ac:dyDescent="0.25">
      <c r="R191" s="594"/>
      <c r="T191" s="592"/>
      <c r="U191" s="595"/>
      <c r="W191" s="568"/>
      <c r="X191" s="568"/>
      <c r="Y191" s="566"/>
    </row>
    <row r="192" spans="18:25" x14ac:dyDescent="0.25">
      <c r="R192" s="594"/>
      <c r="T192" s="592"/>
      <c r="U192" s="595"/>
      <c r="W192" s="568"/>
      <c r="X192" s="568"/>
      <c r="Y192" s="566"/>
    </row>
    <row r="193" spans="18:25" x14ac:dyDescent="0.25">
      <c r="R193" s="594"/>
      <c r="T193" s="592"/>
      <c r="U193" s="595"/>
      <c r="W193" s="568"/>
      <c r="X193" s="568"/>
      <c r="Y193" s="566"/>
    </row>
    <row r="194" spans="18:25" x14ac:dyDescent="0.25">
      <c r="R194" s="594"/>
      <c r="T194" s="592"/>
      <c r="U194" s="595"/>
      <c r="W194" s="568"/>
      <c r="X194" s="568"/>
      <c r="Y194" s="566"/>
    </row>
    <row r="195" spans="18:25" x14ac:dyDescent="0.25">
      <c r="R195" s="594"/>
      <c r="T195" s="592"/>
      <c r="U195" s="595"/>
      <c r="W195" s="568"/>
      <c r="X195" s="568"/>
      <c r="Y195" s="566"/>
    </row>
    <row r="196" spans="18:25" x14ac:dyDescent="0.25">
      <c r="R196" s="594"/>
      <c r="T196" s="592"/>
      <c r="U196" s="595"/>
      <c r="W196" s="568"/>
      <c r="X196" s="568"/>
      <c r="Y196" s="566"/>
    </row>
    <row r="197" spans="18:25" x14ac:dyDescent="0.25">
      <c r="R197" s="594"/>
      <c r="T197" s="592"/>
      <c r="U197" s="595"/>
      <c r="W197" s="568"/>
      <c r="X197" s="568"/>
      <c r="Y197" s="566"/>
    </row>
    <row r="198" spans="18:25" x14ac:dyDescent="0.25">
      <c r="R198" s="594"/>
      <c r="T198" s="592"/>
      <c r="U198" s="595"/>
      <c r="W198" s="568"/>
      <c r="X198" s="568"/>
      <c r="Y198" s="566"/>
    </row>
    <row r="199" spans="18:25" x14ac:dyDescent="0.25">
      <c r="R199" s="594"/>
      <c r="T199" s="592"/>
      <c r="U199" s="595"/>
      <c r="W199" s="568"/>
      <c r="X199" s="568"/>
      <c r="Y199" s="566"/>
    </row>
    <row r="200" spans="18:25" x14ac:dyDescent="0.25">
      <c r="R200" s="594"/>
      <c r="T200" s="592"/>
      <c r="U200" s="595"/>
      <c r="W200" s="568"/>
      <c r="X200" s="568"/>
      <c r="Y200" s="566"/>
    </row>
    <row r="201" spans="18:25" x14ac:dyDescent="0.25">
      <c r="R201" s="594"/>
      <c r="T201" s="592"/>
      <c r="U201" s="595"/>
      <c r="W201" s="568"/>
      <c r="X201" s="568"/>
      <c r="Y201" s="566"/>
    </row>
    <row r="202" spans="18:25" x14ac:dyDescent="0.25">
      <c r="R202" s="594"/>
      <c r="T202" s="592"/>
      <c r="U202" s="595"/>
      <c r="W202" s="568"/>
      <c r="X202" s="568"/>
      <c r="Y202" s="566"/>
    </row>
    <row r="203" spans="18:25" x14ac:dyDescent="0.25">
      <c r="R203" s="594"/>
      <c r="T203" s="592"/>
      <c r="U203" s="595"/>
      <c r="W203" s="568"/>
      <c r="X203" s="568"/>
      <c r="Y203" s="566"/>
    </row>
    <row r="204" spans="18:25" x14ac:dyDescent="0.25">
      <c r="R204" s="594"/>
      <c r="T204" s="592"/>
      <c r="U204" s="595"/>
      <c r="W204" s="568"/>
      <c r="X204" s="568"/>
      <c r="Y204" s="566"/>
    </row>
    <row r="205" spans="18:25" x14ac:dyDescent="0.25">
      <c r="R205" s="594"/>
      <c r="T205" s="592"/>
      <c r="U205" s="595"/>
      <c r="W205" s="568"/>
      <c r="X205" s="568"/>
      <c r="Y205" s="566"/>
    </row>
    <row r="206" spans="18:25" x14ac:dyDescent="0.25">
      <c r="R206" s="594"/>
      <c r="T206" s="592"/>
      <c r="U206" s="595"/>
      <c r="W206" s="568"/>
      <c r="X206" s="568"/>
      <c r="Y206" s="566"/>
    </row>
    <row r="207" spans="18:25" x14ac:dyDescent="0.25">
      <c r="R207" s="594"/>
      <c r="T207" s="592"/>
      <c r="U207" s="595"/>
      <c r="W207" s="568"/>
      <c r="X207" s="568"/>
      <c r="Y207" s="566"/>
    </row>
    <row r="208" spans="18:25" x14ac:dyDescent="0.25">
      <c r="R208" s="594"/>
      <c r="T208" s="592"/>
      <c r="U208" s="595"/>
      <c r="W208" s="568"/>
      <c r="X208" s="568"/>
      <c r="Y208" s="566"/>
    </row>
    <row r="209" spans="18:25" x14ac:dyDescent="0.25">
      <c r="R209" s="594"/>
      <c r="T209" s="592"/>
      <c r="U209" s="595"/>
      <c r="W209" s="568"/>
      <c r="X209" s="568"/>
      <c r="Y209" s="566"/>
    </row>
    <row r="210" spans="18:25" x14ac:dyDescent="0.25">
      <c r="R210" s="594"/>
      <c r="T210" s="592"/>
      <c r="U210" s="595"/>
      <c r="W210" s="568"/>
      <c r="X210" s="568"/>
      <c r="Y210" s="566"/>
    </row>
    <row r="211" spans="18:25" x14ac:dyDescent="0.25">
      <c r="R211" s="594"/>
      <c r="T211" s="592"/>
      <c r="U211" s="595"/>
      <c r="W211" s="568"/>
      <c r="X211" s="568"/>
      <c r="Y211" s="566"/>
    </row>
    <row r="212" spans="18:25" x14ac:dyDescent="0.25">
      <c r="R212" s="594"/>
      <c r="T212" s="592"/>
      <c r="U212" s="595"/>
      <c r="W212" s="568"/>
      <c r="X212" s="568"/>
      <c r="Y212" s="566"/>
    </row>
    <row r="213" spans="18:25" x14ac:dyDescent="0.25">
      <c r="R213" s="594"/>
      <c r="T213" s="592"/>
      <c r="U213" s="595"/>
      <c r="W213" s="568"/>
      <c r="X213" s="568"/>
      <c r="Y213" s="566"/>
    </row>
    <row r="214" spans="18:25" x14ac:dyDescent="0.25">
      <c r="R214" s="594"/>
      <c r="T214" s="592"/>
      <c r="U214" s="595"/>
      <c r="W214" s="568"/>
      <c r="X214" s="568"/>
      <c r="Y214" s="566"/>
    </row>
    <row r="215" spans="18:25" x14ac:dyDescent="0.25">
      <c r="R215" s="594"/>
      <c r="T215" s="592"/>
      <c r="U215" s="595"/>
      <c r="W215" s="568"/>
      <c r="X215" s="568"/>
      <c r="Y215" s="566"/>
    </row>
    <row r="216" spans="18:25" x14ac:dyDescent="0.25">
      <c r="R216" s="594"/>
      <c r="T216" s="592"/>
      <c r="U216" s="595"/>
      <c r="W216" s="568"/>
      <c r="X216" s="568"/>
      <c r="Y216" s="566"/>
    </row>
    <row r="217" spans="18:25" x14ac:dyDescent="0.25">
      <c r="R217" s="594"/>
      <c r="T217" s="592"/>
      <c r="U217" s="595"/>
      <c r="W217" s="568"/>
      <c r="X217" s="568"/>
      <c r="Y217" s="566"/>
    </row>
    <row r="218" spans="18:25" x14ac:dyDescent="0.25">
      <c r="R218" s="594"/>
      <c r="T218" s="592"/>
      <c r="U218" s="595"/>
      <c r="W218" s="568"/>
      <c r="X218" s="568"/>
      <c r="Y218" s="566"/>
    </row>
    <row r="219" spans="18:25" x14ac:dyDescent="0.25">
      <c r="R219" s="594"/>
      <c r="T219" s="592"/>
      <c r="U219" s="595"/>
      <c r="W219" s="568"/>
      <c r="X219" s="568"/>
      <c r="Y219" s="566"/>
    </row>
    <row r="220" spans="18:25" x14ac:dyDescent="0.25">
      <c r="R220" s="594"/>
      <c r="T220" s="592"/>
      <c r="U220" s="595"/>
      <c r="W220" s="568"/>
      <c r="X220" s="568"/>
      <c r="Y220" s="566"/>
    </row>
    <row r="221" spans="18:25" x14ac:dyDescent="0.25">
      <c r="R221" s="594"/>
      <c r="T221" s="592"/>
      <c r="U221" s="595"/>
      <c r="W221" s="568"/>
      <c r="X221" s="568"/>
      <c r="Y221" s="566"/>
    </row>
    <row r="222" spans="18:25" x14ac:dyDescent="0.25">
      <c r="R222" s="594"/>
      <c r="T222" s="592"/>
      <c r="U222" s="595"/>
      <c r="W222" s="568"/>
      <c r="X222" s="568"/>
      <c r="Y222" s="566"/>
    </row>
    <row r="223" spans="18:25" x14ac:dyDescent="0.25">
      <c r="R223" s="594"/>
      <c r="T223" s="592"/>
      <c r="U223" s="595"/>
      <c r="W223" s="568"/>
      <c r="X223" s="568"/>
      <c r="Y223" s="566"/>
    </row>
    <row r="224" spans="18:25" x14ac:dyDescent="0.25">
      <c r="R224" s="594"/>
      <c r="T224" s="592"/>
      <c r="U224" s="595"/>
      <c r="W224" s="568"/>
      <c r="X224" s="568"/>
      <c r="Y224" s="566"/>
    </row>
    <row r="225" spans="18:25" x14ac:dyDescent="0.25">
      <c r="R225" s="594"/>
      <c r="T225" s="592"/>
      <c r="U225" s="595"/>
      <c r="W225" s="568"/>
      <c r="X225" s="568"/>
      <c r="Y225" s="566"/>
    </row>
    <row r="226" spans="18:25" x14ac:dyDescent="0.25">
      <c r="R226" s="594"/>
      <c r="T226" s="592"/>
      <c r="U226" s="595"/>
      <c r="W226" s="568"/>
      <c r="X226" s="568"/>
      <c r="Y226" s="566"/>
    </row>
    <row r="227" spans="18:25" x14ac:dyDescent="0.25">
      <c r="R227" s="594"/>
      <c r="T227" s="592"/>
      <c r="U227" s="595"/>
      <c r="W227" s="568"/>
      <c r="X227" s="568"/>
      <c r="Y227" s="566"/>
    </row>
    <row r="228" spans="18:25" x14ac:dyDescent="0.25">
      <c r="R228" s="594"/>
      <c r="T228" s="592"/>
      <c r="U228" s="595"/>
      <c r="W228" s="568"/>
      <c r="X228" s="568"/>
      <c r="Y228" s="566"/>
    </row>
    <row r="229" spans="18:25" x14ac:dyDescent="0.25">
      <c r="R229" s="594"/>
      <c r="T229" s="592"/>
      <c r="U229" s="595"/>
      <c r="W229" s="568"/>
      <c r="X229" s="568"/>
      <c r="Y229" s="566"/>
    </row>
    <row r="230" spans="18:25" x14ac:dyDescent="0.25">
      <c r="R230" s="594"/>
      <c r="T230" s="592"/>
      <c r="U230" s="595"/>
      <c r="W230" s="568"/>
      <c r="X230" s="568"/>
      <c r="Y230" s="566"/>
    </row>
    <row r="231" spans="18:25" x14ac:dyDescent="0.25">
      <c r="R231" s="594"/>
      <c r="T231" s="592"/>
      <c r="U231" s="595"/>
      <c r="W231" s="568"/>
      <c r="X231" s="568"/>
      <c r="Y231" s="566"/>
    </row>
    <row r="232" spans="18:25" x14ac:dyDescent="0.25">
      <c r="R232" s="594"/>
      <c r="T232" s="592"/>
      <c r="U232" s="595"/>
      <c r="W232" s="568"/>
      <c r="X232" s="568"/>
      <c r="Y232" s="566"/>
    </row>
    <row r="233" spans="18:25" x14ac:dyDescent="0.25">
      <c r="R233" s="594"/>
      <c r="T233" s="592"/>
      <c r="U233" s="595"/>
      <c r="W233" s="568"/>
      <c r="X233" s="568"/>
      <c r="Y233" s="566"/>
    </row>
    <row r="234" spans="18:25" x14ac:dyDescent="0.25">
      <c r="R234" s="594"/>
      <c r="T234" s="592"/>
      <c r="U234" s="595"/>
      <c r="W234" s="568"/>
      <c r="X234" s="568"/>
      <c r="Y234" s="566"/>
    </row>
    <row r="235" spans="18:25" x14ac:dyDescent="0.25">
      <c r="R235" s="594"/>
      <c r="T235" s="592"/>
      <c r="U235" s="595"/>
      <c r="W235" s="568"/>
      <c r="X235" s="568"/>
      <c r="Y235" s="566"/>
    </row>
    <row r="236" spans="18:25" x14ac:dyDescent="0.25">
      <c r="R236" s="594"/>
      <c r="T236" s="592"/>
      <c r="U236" s="595"/>
      <c r="W236" s="568"/>
      <c r="X236" s="568"/>
      <c r="Y236" s="566"/>
    </row>
    <row r="237" spans="18:25" x14ac:dyDescent="0.25">
      <c r="R237" s="594"/>
      <c r="T237" s="592"/>
      <c r="U237" s="595"/>
      <c r="W237" s="568"/>
      <c r="X237" s="568"/>
      <c r="Y237" s="566"/>
    </row>
    <row r="238" spans="18:25" x14ac:dyDescent="0.25">
      <c r="R238" s="594"/>
      <c r="T238" s="592"/>
      <c r="U238" s="595"/>
      <c r="W238" s="568"/>
      <c r="X238" s="568"/>
      <c r="Y238" s="566"/>
    </row>
    <row r="239" spans="18:25" x14ac:dyDescent="0.25">
      <c r="R239" s="594"/>
      <c r="T239" s="592"/>
      <c r="U239" s="595"/>
      <c r="W239" s="568"/>
      <c r="X239" s="568"/>
      <c r="Y239" s="566"/>
    </row>
    <row r="240" spans="18:25" x14ac:dyDescent="0.25">
      <c r="R240" s="594"/>
      <c r="T240" s="592"/>
      <c r="U240" s="595"/>
      <c r="W240" s="568"/>
      <c r="X240" s="568"/>
      <c r="Y240" s="566"/>
    </row>
    <row r="241" spans="18:25" x14ac:dyDescent="0.25">
      <c r="R241" s="594"/>
      <c r="T241" s="592"/>
      <c r="U241" s="595"/>
      <c r="W241" s="568"/>
      <c r="X241" s="568"/>
      <c r="Y241" s="566"/>
    </row>
    <row r="242" spans="18:25" x14ac:dyDescent="0.25">
      <c r="R242" s="594"/>
      <c r="T242" s="592"/>
      <c r="U242" s="595"/>
      <c r="W242" s="568"/>
      <c r="X242" s="568"/>
      <c r="Y242" s="566"/>
    </row>
    <row r="243" spans="18:25" x14ac:dyDescent="0.25">
      <c r="R243" s="594"/>
      <c r="T243" s="592"/>
      <c r="U243" s="595"/>
      <c r="W243" s="568"/>
      <c r="X243" s="568"/>
      <c r="Y243" s="566"/>
    </row>
    <row r="244" spans="18:25" x14ac:dyDescent="0.25">
      <c r="R244" s="594"/>
      <c r="T244" s="592"/>
      <c r="U244" s="595"/>
      <c r="W244" s="568"/>
      <c r="X244" s="568"/>
      <c r="Y244" s="566"/>
    </row>
    <row r="245" spans="18:25" x14ac:dyDescent="0.25">
      <c r="R245" s="594"/>
      <c r="T245" s="592"/>
      <c r="U245" s="595"/>
      <c r="W245" s="568"/>
      <c r="X245" s="568"/>
      <c r="Y245" s="566"/>
    </row>
    <row r="246" spans="18:25" x14ac:dyDescent="0.25">
      <c r="R246" s="594"/>
      <c r="T246" s="592"/>
      <c r="U246" s="595"/>
      <c r="W246" s="568"/>
      <c r="X246" s="568"/>
      <c r="Y246" s="566"/>
    </row>
    <row r="247" spans="18:25" x14ac:dyDescent="0.25">
      <c r="R247" s="594"/>
      <c r="T247" s="592"/>
      <c r="U247" s="595"/>
      <c r="W247" s="568"/>
      <c r="X247" s="568"/>
      <c r="Y247" s="566"/>
    </row>
    <row r="248" spans="18:25" x14ac:dyDescent="0.25">
      <c r="R248" s="594"/>
      <c r="T248" s="592"/>
      <c r="U248" s="595"/>
      <c r="W248" s="568"/>
      <c r="X248" s="568"/>
      <c r="Y248" s="566"/>
    </row>
    <row r="249" spans="18:25" x14ac:dyDescent="0.25">
      <c r="R249" s="594"/>
      <c r="T249" s="592"/>
      <c r="U249" s="595"/>
      <c r="W249" s="568"/>
      <c r="X249" s="568"/>
      <c r="Y249" s="566"/>
    </row>
    <row r="250" spans="18:25" x14ac:dyDescent="0.25">
      <c r="R250" s="594"/>
      <c r="T250" s="592"/>
      <c r="U250" s="595"/>
      <c r="W250" s="568"/>
      <c r="X250" s="568"/>
      <c r="Y250" s="566"/>
    </row>
    <row r="251" spans="18:25" x14ac:dyDescent="0.25">
      <c r="R251" s="594"/>
      <c r="T251" s="592"/>
      <c r="U251" s="595"/>
      <c r="W251" s="568"/>
      <c r="X251" s="568"/>
      <c r="Y251" s="566"/>
    </row>
    <row r="252" spans="18:25" x14ac:dyDescent="0.25">
      <c r="R252" s="594"/>
      <c r="T252" s="592"/>
      <c r="U252" s="595"/>
      <c r="W252" s="568"/>
      <c r="X252" s="568"/>
      <c r="Y252" s="566"/>
    </row>
    <row r="253" spans="18:25" x14ac:dyDescent="0.25">
      <c r="R253" s="594"/>
      <c r="T253" s="592"/>
      <c r="U253" s="595"/>
      <c r="W253" s="568"/>
      <c r="X253" s="568"/>
      <c r="Y253" s="566"/>
    </row>
    <row r="254" spans="18:25" x14ac:dyDescent="0.25">
      <c r="R254" s="594"/>
      <c r="T254" s="592"/>
      <c r="U254" s="595"/>
      <c r="W254" s="568"/>
      <c r="X254" s="568"/>
      <c r="Y254" s="566"/>
    </row>
    <row r="255" spans="18:25" x14ac:dyDescent="0.25">
      <c r="R255" s="594"/>
      <c r="T255" s="592"/>
      <c r="U255" s="595"/>
      <c r="W255" s="568"/>
      <c r="X255" s="568"/>
      <c r="Y255" s="566"/>
    </row>
    <row r="256" spans="18:25" x14ac:dyDescent="0.25">
      <c r="R256" s="594"/>
      <c r="T256" s="592"/>
      <c r="U256" s="595"/>
      <c r="W256" s="568"/>
      <c r="X256" s="568"/>
      <c r="Y256" s="566"/>
    </row>
    <row r="257" spans="18:25" x14ac:dyDescent="0.25">
      <c r="R257" s="594"/>
      <c r="T257" s="592"/>
      <c r="U257" s="595"/>
      <c r="W257" s="568"/>
      <c r="X257" s="568"/>
      <c r="Y257" s="566"/>
    </row>
    <row r="258" spans="18:25" x14ac:dyDescent="0.25">
      <c r="R258" s="594"/>
      <c r="T258" s="592"/>
      <c r="U258" s="595"/>
      <c r="W258" s="568"/>
      <c r="X258" s="568"/>
      <c r="Y258" s="566"/>
    </row>
    <row r="259" spans="18:25" x14ac:dyDescent="0.25">
      <c r="R259" s="594"/>
      <c r="T259" s="592"/>
      <c r="U259" s="595"/>
      <c r="W259" s="568"/>
      <c r="X259" s="568"/>
      <c r="Y259" s="566"/>
    </row>
    <row r="260" spans="18:25" x14ac:dyDescent="0.25">
      <c r="R260" s="594"/>
      <c r="T260" s="592"/>
      <c r="U260" s="595"/>
      <c r="W260" s="568"/>
      <c r="X260" s="568"/>
      <c r="Y260" s="566"/>
    </row>
    <row r="261" spans="18:25" x14ac:dyDescent="0.25">
      <c r="R261" s="594"/>
      <c r="T261" s="592"/>
      <c r="U261" s="595"/>
      <c r="W261" s="568"/>
      <c r="X261" s="568"/>
      <c r="Y261" s="566"/>
    </row>
    <row r="262" spans="18:25" x14ac:dyDescent="0.25">
      <c r="R262" s="594"/>
      <c r="T262" s="592"/>
      <c r="U262" s="595"/>
      <c r="W262" s="568"/>
      <c r="X262" s="568"/>
      <c r="Y262" s="566"/>
    </row>
    <row r="263" spans="18:25" x14ac:dyDescent="0.25">
      <c r="R263" s="594"/>
      <c r="T263" s="592"/>
      <c r="U263" s="595"/>
      <c r="W263" s="568"/>
      <c r="X263" s="568"/>
      <c r="Y263" s="566"/>
    </row>
    <row r="264" spans="18:25" x14ac:dyDescent="0.25">
      <c r="R264" s="594"/>
      <c r="T264" s="592"/>
      <c r="U264" s="595"/>
      <c r="W264" s="568"/>
      <c r="X264" s="568"/>
      <c r="Y264" s="566"/>
    </row>
    <row r="265" spans="18:25" x14ac:dyDescent="0.25">
      <c r="R265" s="594"/>
      <c r="T265" s="592"/>
      <c r="U265" s="595"/>
      <c r="W265" s="568"/>
      <c r="X265" s="568"/>
      <c r="Y265" s="566"/>
    </row>
    <row r="266" spans="18:25" x14ac:dyDescent="0.25">
      <c r="R266" s="594"/>
      <c r="T266" s="592"/>
      <c r="U266" s="595"/>
      <c r="W266" s="568"/>
      <c r="X266" s="568"/>
      <c r="Y266" s="566"/>
    </row>
    <row r="267" spans="18:25" x14ac:dyDescent="0.25">
      <c r="R267" s="594"/>
      <c r="T267" s="592"/>
      <c r="U267" s="595"/>
      <c r="W267" s="568"/>
      <c r="X267" s="568"/>
      <c r="Y267" s="566"/>
    </row>
    <row r="268" spans="18:25" x14ac:dyDescent="0.25">
      <c r="R268" s="594"/>
      <c r="T268" s="592"/>
      <c r="U268" s="595"/>
      <c r="W268" s="568"/>
      <c r="X268" s="568"/>
      <c r="Y268" s="566"/>
    </row>
    <row r="269" spans="18:25" x14ac:dyDescent="0.25">
      <c r="R269" s="594"/>
      <c r="T269" s="592"/>
      <c r="U269" s="595"/>
      <c r="W269" s="568"/>
      <c r="X269" s="568"/>
      <c r="Y269" s="566"/>
    </row>
    <row r="270" spans="18:25" x14ac:dyDescent="0.25">
      <c r="R270" s="594"/>
      <c r="T270" s="592"/>
      <c r="U270" s="595"/>
      <c r="W270" s="568"/>
      <c r="X270" s="568"/>
      <c r="Y270" s="566"/>
    </row>
    <row r="271" spans="18:25" x14ac:dyDescent="0.25">
      <c r="R271" s="594"/>
      <c r="T271" s="592"/>
      <c r="U271" s="595"/>
      <c r="W271" s="568"/>
      <c r="X271" s="568"/>
      <c r="Y271" s="566"/>
    </row>
    <row r="272" spans="18:25" x14ac:dyDescent="0.25">
      <c r="R272" s="594"/>
      <c r="T272" s="592"/>
      <c r="U272" s="595"/>
      <c r="W272" s="568"/>
      <c r="X272" s="568"/>
      <c r="Y272" s="566"/>
    </row>
    <row r="273" spans="18:25" x14ac:dyDescent="0.25">
      <c r="R273" s="594"/>
      <c r="T273" s="592"/>
      <c r="U273" s="595"/>
      <c r="W273" s="568"/>
      <c r="X273" s="568"/>
      <c r="Y273" s="566"/>
    </row>
    <row r="274" spans="18:25" x14ac:dyDescent="0.25">
      <c r="R274" s="594"/>
      <c r="T274" s="592"/>
      <c r="U274" s="595"/>
      <c r="W274" s="568"/>
      <c r="X274" s="568"/>
      <c r="Y274" s="566"/>
    </row>
    <row r="275" spans="18:25" x14ac:dyDescent="0.25">
      <c r="R275" s="594"/>
      <c r="T275" s="592"/>
      <c r="U275" s="595"/>
      <c r="W275" s="568"/>
      <c r="X275" s="568"/>
      <c r="Y275" s="566"/>
    </row>
    <row r="276" spans="18:25" x14ac:dyDescent="0.25">
      <c r="R276" s="594"/>
      <c r="T276" s="592"/>
      <c r="U276" s="595"/>
      <c r="W276" s="568"/>
      <c r="X276" s="568"/>
      <c r="Y276" s="566"/>
    </row>
    <row r="277" spans="18:25" x14ac:dyDescent="0.25">
      <c r="R277" s="594"/>
      <c r="T277" s="592"/>
      <c r="U277" s="595"/>
      <c r="W277" s="568"/>
      <c r="X277" s="568"/>
      <c r="Y277" s="566"/>
    </row>
    <row r="278" spans="18:25" x14ac:dyDescent="0.25">
      <c r="R278" s="594"/>
      <c r="T278" s="592"/>
      <c r="U278" s="595"/>
      <c r="W278" s="568"/>
      <c r="X278" s="568"/>
      <c r="Y278" s="566"/>
    </row>
    <row r="279" spans="18:25" x14ac:dyDescent="0.25">
      <c r="R279" s="594"/>
      <c r="T279" s="592"/>
      <c r="U279" s="595"/>
      <c r="W279" s="568"/>
      <c r="X279" s="568"/>
      <c r="Y279" s="566"/>
    </row>
    <row r="280" spans="18:25" x14ac:dyDescent="0.25">
      <c r="R280" s="594"/>
      <c r="T280" s="592"/>
      <c r="U280" s="595"/>
      <c r="W280" s="568"/>
      <c r="X280" s="568"/>
      <c r="Y280" s="566"/>
    </row>
    <row r="281" spans="18:25" x14ac:dyDescent="0.25">
      <c r="R281" s="594"/>
      <c r="T281" s="592"/>
      <c r="U281" s="595"/>
      <c r="W281" s="568"/>
      <c r="X281" s="568"/>
      <c r="Y281" s="566"/>
    </row>
    <row r="282" spans="18:25" x14ac:dyDescent="0.25">
      <c r="R282" s="594"/>
      <c r="T282" s="592"/>
      <c r="U282" s="595"/>
      <c r="W282" s="568"/>
      <c r="X282" s="568"/>
      <c r="Y282" s="566"/>
    </row>
    <row r="283" spans="18:25" x14ac:dyDescent="0.25">
      <c r="R283" s="594"/>
      <c r="T283" s="592"/>
      <c r="U283" s="595"/>
      <c r="W283" s="568"/>
      <c r="X283" s="568"/>
      <c r="Y283" s="566"/>
    </row>
    <row r="284" spans="18:25" x14ac:dyDescent="0.25">
      <c r="R284" s="594"/>
      <c r="T284" s="592"/>
      <c r="U284" s="595"/>
      <c r="W284" s="568"/>
      <c r="X284" s="568"/>
      <c r="Y284" s="566"/>
    </row>
    <row r="285" spans="18:25" x14ac:dyDescent="0.25">
      <c r="R285" s="594"/>
      <c r="T285" s="592"/>
      <c r="U285" s="595"/>
      <c r="W285" s="568"/>
      <c r="X285" s="568"/>
      <c r="Y285" s="566"/>
    </row>
    <row r="286" spans="18:25" x14ac:dyDescent="0.25">
      <c r="R286" s="594"/>
      <c r="T286" s="592"/>
      <c r="U286" s="595"/>
      <c r="W286" s="568"/>
      <c r="X286" s="568"/>
      <c r="Y286" s="566"/>
    </row>
    <row r="287" spans="18:25" x14ac:dyDescent="0.25">
      <c r="R287" s="594"/>
      <c r="T287" s="592"/>
      <c r="U287" s="595"/>
      <c r="W287" s="568"/>
      <c r="X287" s="568"/>
      <c r="Y287" s="566"/>
    </row>
    <row r="288" spans="18:25" x14ac:dyDescent="0.25">
      <c r="R288" s="594"/>
      <c r="T288" s="592"/>
      <c r="U288" s="595"/>
      <c r="W288" s="568"/>
      <c r="X288" s="568"/>
      <c r="Y288" s="566"/>
    </row>
    <row r="289" spans="18:25" x14ac:dyDescent="0.25">
      <c r="R289" s="594"/>
      <c r="T289" s="592"/>
      <c r="U289" s="595"/>
      <c r="W289" s="568"/>
      <c r="X289" s="568"/>
      <c r="Y289" s="566"/>
    </row>
    <row r="290" spans="18:25" x14ac:dyDescent="0.25">
      <c r="R290" s="594"/>
      <c r="T290" s="592"/>
      <c r="U290" s="595"/>
      <c r="W290" s="568"/>
      <c r="X290" s="568"/>
      <c r="Y290" s="566"/>
    </row>
    <row r="291" spans="18:25" x14ac:dyDescent="0.25">
      <c r="R291" s="594"/>
      <c r="T291" s="592"/>
      <c r="U291" s="595"/>
      <c r="W291" s="568"/>
      <c r="X291" s="568"/>
      <c r="Y291" s="566"/>
    </row>
    <row r="292" spans="18:25" x14ac:dyDescent="0.25">
      <c r="R292" s="594"/>
      <c r="T292" s="592"/>
      <c r="U292" s="595"/>
      <c r="W292" s="568"/>
      <c r="X292" s="568"/>
      <c r="Y292" s="566"/>
    </row>
    <row r="293" spans="18:25" x14ac:dyDescent="0.25">
      <c r="R293" s="594"/>
      <c r="T293" s="592"/>
      <c r="U293" s="595"/>
      <c r="W293" s="568"/>
      <c r="X293" s="568"/>
      <c r="Y293" s="566"/>
    </row>
    <row r="294" spans="18:25" x14ac:dyDescent="0.25">
      <c r="R294" s="594"/>
      <c r="T294" s="592"/>
      <c r="U294" s="595"/>
      <c r="W294" s="568"/>
      <c r="X294" s="568"/>
      <c r="Y294" s="566"/>
    </row>
    <row r="295" spans="18:25" x14ac:dyDescent="0.25">
      <c r="R295" s="594"/>
      <c r="T295" s="592"/>
      <c r="U295" s="595"/>
      <c r="W295" s="568"/>
      <c r="X295" s="568"/>
      <c r="Y295" s="566"/>
    </row>
    <row r="296" spans="18:25" x14ac:dyDescent="0.25">
      <c r="R296" s="594"/>
      <c r="T296" s="592"/>
      <c r="U296" s="595"/>
      <c r="W296" s="568"/>
      <c r="X296" s="568"/>
      <c r="Y296" s="566"/>
    </row>
    <row r="297" spans="18:25" x14ac:dyDescent="0.25">
      <c r="R297" s="594"/>
      <c r="T297" s="592"/>
      <c r="U297" s="595"/>
      <c r="W297" s="568"/>
      <c r="X297" s="568"/>
      <c r="Y297" s="566"/>
    </row>
    <row r="298" spans="18:25" x14ac:dyDescent="0.25">
      <c r="R298" s="594"/>
      <c r="T298" s="592"/>
      <c r="U298" s="595"/>
      <c r="W298" s="568"/>
      <c r="X298" s="568"/>
      <c r="Y298" s="566"/>
    </row>
    <row r="299" spans="18:25" x14ac:dyDescent="0.25">
      <c r="R299" s="594"/>
      <c r="T299" s="592"/>
      <c r="U299" s="595"/>
      <c r="W299" s="568"/>
      <c r="X299" s="568"/>
      <c r="Y299" s="566"/>
    </row>
    <row r="300" spans="18:25" x14ac:dyDescent="0.25">
      <c r="R300" s="594"/>
      <c r="T300" s="592"/>
      <c r="U300" s="595"/>
      <c r="W300" s="568"/>
      <c r="X300" s="568"/>
      <c r="Y300" s="566"/>
    </row>
    <row r="301" spans="18:25" x14ac:dyDescent="0.25">
      <c r="R301" s="594"/>
      <c r="T301" s="592"/>
      <c r="U301" s="595"/>
      <c r="W301" s="568"/>
      <c r="X301" s="568"/>
      <c r="Y301" s="566"/>
    </row>
    <row r="302" spans="18:25" x14ac:dyDescent="0.25">
      <c r="R302" s="594"/>
      <c r="T302" s="592"/>
      <c r="U302" s="595"/>
      <c r="W302" s="568"/>
      <c r="X302" s="568"/>
      <c r="Y302" s="566"/>
    </row>
    <row r="303" spans="18:25" x14ac:dyDescent="0.25">
      <c r="R303" s="594"/>
      <c r="T303" s="592"/>
      <c r="U303" s="595"/>
      <c r="W303" s="568"/>
      <c r="X303" s="568"/>
      <c r="Y303" s="566"/>
    </row>
    <row r="304" spans="18:25" x14ac:dyDescent="0.25">
      <c r="R304" s="594"/>
      <c r="T304" s="592"/>
      <c r="U304" s="595"/>
      <c r="W304" s="568"/>
      <c r="X304" s="568"/>
      <c r="Y304" s="566"/>
    </row>
    <row r="305" spans="18:25" x14ac:dyDescent="0.25">
      <c r="R305" s="594"/>
      <c r="T305" s="592"/>
      <c r="U305" s="595"/>
      <c r="W305" s="568"/>
      <c r="X305" s="568"/>
      <c r="Y305" s="566"/>
    </row>
    <row r="306" spans="18:25" x14ac:dyDescent="0.25">
      <c r="R306" s="594"/>
      <c r="T306" s="592"/>
      <c r="U306" s="595"/>
      <c r="W306" s="568"/>
      <c r="X306" s="568"/>
      <c r="Y306" s="566"/>
    </row>
    <row r="307" spans="18:25" x14ac:dyDescent="0.25">
      <c r="R307" s="594"/>
      <c r="T307" s="592"/>
      <c r="U307" s="595"/>
      <c r="W307" s="568"/>
      <c r="X307" s="568"/>
      <c r="Y307" s="566"/>
    </row>
    <row r="308" spans="18:25" x14ac:dyDescent="0.25">
      <c r="R308" s="594"/>
      <c r="T308" s="592"/>
      <c r="U308" s="595"/>
      <c r="W308" s="568"/>
      <c r="X308" s="568"/>
      <c r="Y308" s="566"/>
    </row>
    <row r="309" spans="18:25" x14ac:dyDescent="0.25">
      <c r="R309" s="594"/>
      <c r="T309" s="592"/>
      <c r="U309" s="595"/>
      <c r="W309" s="568"/>
      <c r="X309" s="568"/>
      <c r="Y309" s="566"/>
    </row>
    <row r="310" spans="18:25" x14ac:dyDescent="0.25">
      <c r="R310" s="594"/>
      <c r="T310" s="592"/>
      <c r="U310" s="595"/>
      <c r="W310" s="568"/>
      <c r="X310" s="568"/>
      <c r="Y310" s="566"/>
    </row>
    <row r="311" spans="18:25" x14ac:dyDescent="0.25">
      <c r="R311" s="594"/>
      <c r="T311" s="592"/>
      <c r="U311" s="595"/>
      <c r="W311" s="568"/>
      <c r="X311" s="568"/>
      <c r="Y311" s="566"/>
    </row>
    <row r="312" spans="18:25" x14ac:dyDescent="0.25">
      <c r="R312" s="594"/>
      <c r="T312" s="592"/>
      <c r="U312" s="595"/>
      <c r="W312" s="568"/>
      <c r="X312" s="568"/>
      <c r="Y312" s="566"/>
    </row>
    <row r="313" spans="18:25" x14ac:dyDescent="0.25">
      <c r="R313" s="594"/>
      <c r="T313" s="592"/>
      <c r="U313" s="595"/>
      <c r="W313" s="568"/>
      <c r="X313" s="568"/>
      <c r="Y313" s="566"/>
    </row>
    <row r="314" spans="18:25" x14ac:dyDescent="0.25">
      <c r="R314" s="594"/>
      <c r="T314" s="592"/>
      <c r="U314" s="595"/>
      <c r="W314" s="568"/>
      <c r="X314" s="568"/>
      <c r="Y314" s="566"/>
    </row>
    <row r="315" spans="18:25" x14ac:dyDescent="0.25">
      <c r="R315" s="594"/>
      <c r="T315" s="592"/>
      <c r="U315" s="595"/>
      <c r="W315" s="568"/>
      <c r="X315" s="568"/>
      <c r="Y315" s="566"/>
    </row>
    <row r="316" spans="18:25" x14ac:dyDescent="0.25">
      <c r="R316" s="594"/>
      <c r="T316" s="592"/>
      <c r="U316" s="595"/>
      <c r="W316" s="568"/>
      <c r="X316" s="568"/>
      <c r="Y316" s="566"/>
    </row>
    <row r="317" spans="18:25" x14ac:dyDescent="0.25">
      <c r="R317" s="594"/>
      <c r="T317" s="592"/>
      <c r="U317" s="595"/>
      <c r="W317" s="568"/>
      <c r="X317" s="568"/>
      <c r="Y317" s="566"/>
    </row>
    <row r="318" spans="18:25" x14ac:dyDescent="0.25">
      <c r="R318" s="594"/>
      <c r="T318" s="592"/>
      <c r="U318" s="595"/>
      <c r="W318" s="568"/>
      <c r="X318" s="568"/>
      <c r="Y318" s="566"/>
    </row>
    <row r="319" spans="18:25" x14ac:dyDescent="0.25">
      <c r="R319" s="594"/>
      <c r="T319" s="592"/>
      <c r="U319" s="595"/>
      <c r="W319" s="568"/>
      <c r="X319" s="568"/>
      <c r="Y319" s="566"/>
    </row>
    <row r="320" spans="18:25" x14ac:dyDescent="0.25">
      <c r="R320" s="594"/>
      <c r="T320" s="592"/>
      <c r="U320" s="595"/>
      <c r="W320" s="568"/>
      <c r="X320" s="568"/>
      <c r="Y320" s="566"/>
    </row>
    <row r="321" spans="18:25" x14ac:dyDescent="0.25">
      <c r="R321" s="594"/>
      <c r="T321" s="592"/>
      <c r="U321" s="595"/>
      <c r="W321" s="568"/>
      <c r="X321" s="568"/>
      <c r="Y321" s="566"/>
    </row>
    <row r="322" spans="18:25" x14ac:dyDescent="0.25">
      <c r="R322" s="594"/>
      <c r="T322" s="592"/>
      <c r="U322" s="595"/>
      <c r="W322" s="568"/>
      <c r="X322" s="568"/>
      <c r="Y322" s="566"/>
    </row>
    <row r="323" spans="18:25" x14ac:dyDescent="0.25">
      <c r="R323" s="594"/>
      <c r="T323" s="592"/>
      <c r="U323" s="595"/>
      <c r="W323" s="568"/>
      <c r="X323" s="568"/>
      <c r="Y323" s="566"/>
    </row>
    <row r="324" spans="18:25" x14ac:dyDescent="0.25">
      <c r="R324" s="594"/>
      <c r="T324" s="592"/>
      <c r="U324" s="595"/>
      <c r="W324" s="568"/>
      <c r="X324" s="568"/>
      <c r="Y324" s="566"/>
    </row>
    <row r="325" spans="18:25" x14ac:dyDescent="0.25">
      <c r="R325" s="594"/>
      <c r="T325" s="592"/>
      <c r="U325" s="595"/>
      <c r="W325" s="568"/>
      <c r="X325" s="568"/>
      <c r="Y325" s="566"/>
    </row>
    <row r="326" spans="18:25" x14ac:dyDescent="0.25">
      <c r="R326" s="594"/>
      <c r="T326" s="592"/>
      <c r="U326" s="595"/>
      <c r="W326" s="568"/>
      <c r="X326" s="568"/>
      <c r="Y326" s="566"/>
    </row>
    <row r="327" spans="18:25" x14ac:dyDescent="0.25">
      <c r="R327" s="594"/>
      <c r="T327" s="592"/>
      <c r="U327" s="595"/>
      <c r="W327" s="568"/>
      <c r="X327" s="568"/>
      <c r="Y327" s="566"/>
    </row>
    <row r="328" spans="18:25" x14ac:dyDescent="0.25">
      <c r="R328" s="594"/>
      <c r="T328" s="592"/>
      <c r="U328" s="595"/>
      <c r="W328" s="568"/>
      <c r="X328" s="568"/>
      <c r="Y328" s="566"/>
    </row>
    <row r="329" spans="18:25" x14ac:dyDescent="0.25">
      <c r="R329" s="594"/>
      <c r="T329" s="592"/>
      <c r="U329" s="595"/>
      <c r="W329" s="568"/>
      <c r="X329" s="568"/>
      <c r="Y329" s="566"/>
    </row>
    <row r="330" spans="18:25" x14ac:dyDescent="0.25">
      <c r="R330" s="594"/>
      <c r="T330" s="592"/>
      <c r="U330" s="595"/>
      <c r="W330" s="568"/>
      <c r="X330" s="568"/>
      <c r="Y330" s="566"/>
    </row>
    <row r="331" spans="18:25" x14ac:dyDescent="0.25">
      <c r="R331" s="594"/>
      <c r="T331" s="592"/>
      <c r="U331" s="595"/>
      <c r="W331" s="568"/>
      <c r="X331" s="568"/>
      <c r="Y331" s="566"/>
    </row>
    <row r="332" spans="18:25" x14ac:dyDescent="0.25">
      <c r="R332" s="594"/>
      <c r="T332" s="592"/>
      <c r="U332" s="595"/>
      <c r="W332" s="568"/>
      <c r="X332" s="568"/>
      <c r="Y332" s="566"/>
    </row>
    <row r="333" spans="18:25" x14ac:dyDescent="0.25">
      <c r="R333" s="594"/>
      <c r="T333" s="592"/>
      <c r="U333" s="595"/>
      <c r="W333" s="568"/>
      <c r="X333" s="568"/>
      <c r="Y333" s="566"/>
    </row>
    <row r="334" spans="18:25" x14ac:dyDescent="0.25">
      <c r="R334" s="594"/>
      <c r="T334" s="592"/>
      <c r="U334" s="595"/>
      <c r="W334" s="568"/>
      <c r="X334" s="568"/>
      <c r="Y334" s="566"/>
    </row>
    <row r="335" spans="18:25" x14ac:dyDescent="0.25">
      <c r="R335" s="594"/>
      <c r="T335" s="592"/>
      <c r="U335" s="595"/>
      <c r="W335" s="568"/>
      <c r="X335" s="568"/>
      <c r="Y335" s="566"/>
    </row>
    <row r="336" spans="18:25" x14ac:dyDescent="0.25">
      <c r="R336" s="594"/>
      <c r="T336" s="592"/>
      <c r="U336" s="595"/>
      <c r="W336" s="568"/>
      <c r="X336" s="568"/>
      <c r="Y336" s="566"/>
    </row>
    <row r="337" spans="18:25" x14ac:dyDescent="0.25">
      <c r="R337" s="594"/>
      <c r="T337" s="592"/>
      <c r="U337" s="595"/>
      <c r="W337" s="568"/>
      <c r="X337" s="568"/>
      <c r="Y337" s="566"/>
    </row>
    <row r="338" spans="18:25" x14ac:dyDescent="0.25">
      <c r="R338" s="594"/>
      <c r="T338" s="592"/>
      <c r="U338" s="595"/>
      <c r="W338" s="568"/>
      <c r="X338" s="568"/>
      <c r="Y338" s="566"/>
    </row>
    <row r="339" spans="18:25" x14ac:dyDescent="0.25">
      <c r="R339" s="594"/>
      <c r="T339" s="592"/>
      <c r="U339" s="595"/>
      <c r="W339" s="568"/>
      <c r="X339" s="568"/>
      <c r="Y339" s="566"/>
    </row>
    <row r="340" spans="18:25" x14ac:dyDescent="0.25">
      <c r="R340" s="594"/>
      <c r="T340" s="592"/>
      <c r="U340" s="595"/>
      <c r="W340" s="568"/>
      <c r="X340" s="568"/>
      <c r="Y340" s="566"/>
    </row>
    <row r="341" spans="18:25" x14ac:dyDescent="0.25">
      <c r="R341" s="594"/>
      <c r="T341" s="592"/>
      <c r="U341" s="595"/>
      <c r="W341" s="568"/>
      <c r="X341" s="568"/>
      <c r="Y341" s="566"/>
    </row>
    <row r="342" spans="18:25" x14ac:dyDescent="0.25">
      <c r="R342" s="594"/>
      <c r="T342" s="592"/>
      <c r="U342" s="595"/>
      <c r="W342" s="568"/>
      <c r="X342" s="568"/>
      <c r="Y342" s="566"/>
    </row>
    <row r="343" spans="18:25" x14ac:dyDescent="0.25">
      <c r="R343" s="594"/>
      <c r="T343" s="592"/>
      <c r="U343" s="595"/>
      <c r="W343" s="568"/>
      <c r="X343" s="568"/>
      <c r="Y343" s="566"/>
    </row>
    <row r="344" spans="18:25" x14ac:dyDescent="0.25">
      <c r="R344" s="594"/>
      <c r="T344" s="592"/>
      <c r="U344" s="595"/>
      <c r="W344" s="568"/>
      <c r="X344" s="568"/>
      <c r="Y344" s="566"/>
    </row>
    <row r="345" spans="18:25" x14ac:dyDescent="0.25">
      <c r="R345" s="594"/>
      <c r="T345" s="592"/>
      <c r="U345" s="595"/>
      <c r="W345" s="568"/>
      <c r="X345" s="568"/>
      <c r="Y345" s="566"/>
    </row>
    <row r="346" spans="18:25" x14ac:dyDescent="0.25">
      <c r="R346" s="594"/>
      <c r="T346" s="592"/>
      <c r="U346" s="595"/>
      <c r="W346" s="568"/>
      <c r="X346" s="568"/>
      <c r="Y346" s="566"/>
    </row>
    <row r="347" spans="18:25" x14ac:dyDescent="0.25">
      <c r="R347" s="594"/>
      <c r="T347" s="592"/>
      <c r="U347" s="595"/>
      <c r="W347" s="568"/>
      <c r="X347" s="568"/>
      <c r="Y347" s="566"/>
    </row>
    <row r="348" spans="18:25" x14ac:dyDescent="0.25">
      <c r="R348" s="594"/>
      <c r="T348" s="592"/>
      <c r="U348" s="595"/>
      <c r="W348" s="568"/>
      <c r="X348" s="568"/>
      <c r="Y348" s="566"/>
    </row>
    <row r="349" spans="18:25" x14ac:dyDescent="0.25">
      <c r="R349" s="594"/>
      <c r="T349" s="592"/>
      <c r="U349" s="595"/>
      <c r="W349" s="568"/>
      <c r="X349" s="568"/>
      <c r="Y349" s="566"/>
    </row>
    <row r="350" spans="18:25" x14ac:dyDescent="0.25">
      <c r="R350" s="594"/>
      <c r="T350" s="592"/>
      <c r="U350" s="595"/>
      <c r="W350" s="568"/>
      <c r="X350" s="568"/>
      <c r="Y350" s="566"/>
    </row>
    <row r="351" spans="18:25" x14ac:dyDescent="0.25">
      <c r="R351" s="594"/>
      <c r="T351" s="592"/>
      <c r="U351" s="595"/>
      <c r="W351" s="568"/>
      <c r="X351" s="568"/>
      <c r="Y351" s="566"/>
    </row>
    <row r="352" spans="18:25" x14ac:dyDescent="0.25">
      <c r="R352" s="594"/>
      <c r="T352" s="592"/>
      <c r="U352" s="595"/>
      <c r="W352" s="568"/>
      <c r="X352" s="568"/>
      <c r="Y352" s="566"/>
    </row>
    <row r="353" spans="18:25" x14ac:dyDescent="0.25">
      <c r="R353" s="594"/>
      <c r="T353" s="592"/>
      <c r="U353" s="595"/>
      <c r="W353" s="568"/>
      <c r="X353" s="568"/>
      <c r="Y353" s="566"/>
    </row>
    <row r="354" spans="18:25" x14ac:dyDescent="0.25">
      <c r="R354" s="594"/>
      <c r="T354" s="592"/>
      <c r="U354" s="595"/>
      <c r="W354" s="568"/>
      <c r="X354" s="568"/>
      <c r="Y354" s="566"/>
    </row>
    <row r="355" spans="18:25" x14ac:dyDescent="0.25">
      <c r="R355" s="594"/>
      <c r="T355" s="592"/>
      <c r="U355" s="595"/>
      <c r="W355" s="568"/>
      <c r="X355" s="568"/>
      <c r="Y355" s="566"/>
    </row>
    <row r="356" spans="18:25" x14ac:dyDescent="0.25">
      <c r="R356" s="594"/>
      <c r="T356" s="592"/>
      <c r="U356" s="595"/>
      <c r="W356" s="568"/>
      <c r="X356" s="568"/>
      <c r="Y356" s="566"/>
    </row>
    <row r="357" spans="18:25" x14ac:dyDescent="0.25">
      <c r="R357" s="594"/>
      <c r="T357" s="592"/>
      <c r="U357" s="595"/>
      <c r="W357" s="568"/>
      <c r="X357" s="568"/>
      <c r="Y357" s="566"/>
    </row>
    <row r="358" spans="18:25" x14ac:dyDescent="0.25">
      <c r="R358" s="594"/>
      <c r="T358" s="592"/>
      <c r="U358" s="595"/>
      <c r="W358" s="568"/>
      <c r="X358" s="568"/>
      <c r="Y358" s="566"/>
    </row>
    <row r="359" spans="18:25" x14ac:dyDescent="0.25">
      <c r="R359" s="594"/>
      <c r="T359" s="592"/>
      <c r="U359" s="595"/>
      <c r="W359" s="568"/>
      <c r="X359" s="568"/>
      <c r="Y359" s="566"/>
    </row>
    <row r="360" spans="18:25" x14ac:dyDescent="0.25">
      <c r="R360" s="594"/>
      <c r="T360" s="592"/>
      <c r="U360" s="595"/>
      <c r="W360" s="568"/>
      <c r="X360" s="568"/>
      <c r="Y360" s="566"/>
    </row>
    <row r="361" spans="18:25" x14ac:dyDescent="0.25">
      <c r="R361" s="594"/>
      <c r="T361" s="592"/>
      <c r="U361" s="595"/>
      <c r="W361" s="568"/>
      <c r="X361" s="568"/>
      <c r="Y361" s="566"/>
    </row>
    <row r="362" spans="18:25" x14ac:dyDescent="0.25">
      <c r="R362" s="594"/>
      <c r="T362" s="592"/>
      <c r="U362" s="595"/>
      <c r="W362" s="568"/>
      <c r="X362" s="568"/>
      <c r="Y362" s="566"/>
    </row>
    <row r="363" spans="18:25" x14ac:dyDescent="0.25">
      <c r="R363" s="594"/>
      <c r="T363" s="592"/>
      <c r="U363" s="595"/>
      <c r="W363" s="568"/>
      <c r="X363" s="568"/>
      <c r="Y363" s="566"/>
    </row>
    <row r="364" spans="18:25" x14ac:dyDescent="0.25">
      <c r="R364" s="594"/>
      <c r="T364" s="592"/>
      <c r="U364" s="595"/>
      <c r="W364" s="568"/>
      <c r="X364" s="568"/>
      <c r="Y364" s="566"/>
    </row>
    <row r="365" spans="18:25" x14ac:dyDescent="0.25">
      <c r="R365" s="594"/>
      <c r="T365" s="592"/>
      <c r="U365" s="595"/>
      <c r="W365" s="568"/>
      <c r="X365" s="568"/>
      <c r="Y365" s="566"/>
    </row>
    <row r="366" spans="18:25" x14ac:dyDescent="0.25">
      <c r="R366" s="594"/>
      <c r="T366" s="592"/>
      <c r="U366" s="595"/>
      <c r="W366" s="568"/>
      <c r="X366" s="568"/>
      <c r="Y366" s="566"/>
    </row>
    <row r="367" spans="18:25" x14ac:dyDescent="0.25">
      <c r="R367" s="594"/>
      <c r="T367" s="592"/>
      <c r="U367" s="595"/>
      <c r="W367" s="568"/>
      <c r="X367" s="568"/>
      <c r="Y367" s="566"/>
    </row>
    <row r="368" spans="18:25" x14ac:dyDescent="0.25">
      <c r="R368" s="594"/>
      <c r="T368" s="592"/>
      <c r="U368" s="595"/>
      <c r="W368" s="568"/>
      <c r="X368" s="568"/>
      <c r="Y368" s="566"/>
    </row>
    <row r="369" spans="18:25" x14ac:dyDescent="0.25">
      <c r="R369" s="594"/>
      <c r="T369" s="592"/>
      <c r="U369" s="595"/>
      <c r="W369" s="568"/>
      <c r="X369" s="568"/>
      <c r="Y369" s="566"/>
    </row>
    <row r="370" spans="18:25" x14ac:dyDescent="0.25">
      <c r="R370" s="594"/>
      <c r="T370" s="592"/>
      <c r="U370" s="595"/>
      <c r="W370" s="568"/>
      <c r="X370" s="568"/>
      <c r="Y370" s="566"/>
    </row>
    <row r="371" spans="18:25" x14ac:dyDescent="0.25">
      <c r="R371" s="594"/>
      <c r="T371" s="592"/>
      <c r="U371" s="595"/>
      <c r="W371" s="568"/>
      <c r="X371" s="568"/>
      <c r="Y371" s="566"/>
    </row>
    <row r="372" spans="18:25" x14ac:dyDescent="0.25">
      <c r="R372" s="594"/>
      <c r="T372" s="592"/>
      <c r="U372" s="595"/>
      <c r="W372" s="568"/>
      <c r="X372" s="568"/>
      <c r="Y372" s="566"/>
    </row>
    <row r="373" spans="18:25" x14ac:dyDescent="0.25">
      <c r="R373" s="594"/>
      <c r="T373" s="592"/>
      <c r="U373" s="595"/>
      <c r="W373" s="568"/>
      <c r="X373" s="568"/>
      <c r="Y373" s="566"/>
    </row>
    <row r="374" spans="18:25" x14ac:dyDescent="0.25">
      <c r="R374" s="594"/>
      <c r="T374" s="592"/>
      <c r="U374" s="595"/>
      <c r="W374" s="568"/>
      <c r="X374" s="568"/>
      <c r="Y374" s="566"/>
    </row>
    <row r="375" spans="18:25" x14ac:dyDescent="0.25">
      <c r="R375" s="594"/>
      <c r="T375" s="592"/>
      <c r="U375" s="595"/>
      <c r="W375" s="568"/>
      <c r="X375" s="568"/>
      <c r="Y375" s="566"/>
    </row>
    <row r="376" spans="18:25" x14ac:dyDescent="0.25">
      <c r="R376" s="594"/>
      <c r="T376" s="592"/>
      <c r="U376" s="595"/>
      <c r="W376" s="568"/>
      <c r="X376" s="568"/>
      <c r="Y376" s="566"/>
    </row>
    <row r="377" spans="18:25" x14ac:dyDescent="0.25">
      <c r="R377" s="594"/>
      <c r="T377" s="592"/>
      <c r="U377" s="595"/>
      <c r="W377" s="568"/>
      <c r="X377" s="568"/>
      <c r="Y377" s="566"/>
    </row>
    <row r="378" spans="18:25" x14ac:dyDescent="0.25">
      <c r="R378" s="594"/>
      <c r="T378" s="592"/>
      <c r="U378" s="595"/>
      <c r="W378" s="568"/>
      <c r="X378" s="568"/>
      <c r="Y378" s="566"/>
    </row>
    <row r="379" spans="18:25" x14ac:dyDescent="0.25">
      <c r="R379" s="594"/>
      <c r="T379" s="592"/>
      <c r="U379" s="595"/>
      <c r="W379" s="568"/>
      <c r="X379" s="568"/>
      <c r="Y379" s="566"/>
    </row>
    <row r="380" spans="18:25" x14ac:dyDescent="0.25">
      <c r="R380" s="594"/>
      <c r="T380" s="592"/>
      <c r="U380" s="595"/>
      <c r="W380" s="568"/>
      <c r="X380" s="568"/>
      <c r="Y380" s="566"/>
    </row>
    <row r="381" spans="18:25" x14ac:dyDescent="0.25">
      <c r="R381" s="594"/>
      <c r="T381" s="592"/>
      <c r="U381" s="595"/>
      <c r="W381" s="568"/>
      <c r="X381" s="568"/>
      <c r="Y381" s="566"/>
    </row>
    <row r="382" spans="18:25" x14ac:dyDescent="0.25">
      <c r="R382" s="594"/>
      <c r="T382" s="592"/>
      <c r="U382" s="595"/>
      <c r="W382" s="568"/>
      <c r="X382" s="568"/>
      <c r="Y382" s="566"/>
    </row>
    <row r="383" spans="18:25" x14ac:dyDescent="0.25">
      <c r="R383" s="594"/>
      <c r="T383" s="592"/>
      <c r="U383" s="595"/>
      <c r="W383" s="568"/>
      <c r="X383" s="568"/>
      <c r="Y383" s="566"/>
    </row>
    <row r="384" spans="18:25" x14ac:dyDescent="0.25">
      <c r="R384" s="594"/>
      <c r="T384" s="592"/>
      <c r="U384" s="595"/>
      <c r="W384" s="568"/>
      <c r="X384" s="568"/>
      <c r="Y384" s="566"/>
    </row>
    <row r="385" spans="18:25" x14ac:dyDescent="0.25">
      <c r="R385" s="594"/>
      <c r="T385" s="592"/>
      <c r="U385" s="595"/>
      <c r="W385" s="568"/>
      <c r="X385" s="568"/>
      <c r="Y385" s="566"/>
    </row>
    <row r="386" spans="18:25" x14ac:dyDescent="0.25">
      <c r="R386" s="594"/>
      <c r="T386" s="592"/>
      <c r="U386" s="595"/>
      <c r="W386" s="568"/>
      <c r="X386" s="568"/>
      <c r="Y386" s="566"/>
    </row>
    <row r="387" spans="18:25" x14ac:dyDescent="0.25">
      <c r="R387" s="594"/>
      <c r="T387" s="592"/>
      <c r="U387" s="595"/>
      <c r="W387" s="568"/>
      <c r="X387" s="568"/>
      <c r="Y387" s="566"/>
    </row>
    <row r="388" spans="18:25" x14ac:dyDescent="0.25">
      <c r="R388" s="594"/>
      <c r="T388" s="592"/>
      <c r="U388" s="595"/>
      <c r="W388" s="568"/>
      <c r="X388" s="568"/>
      <c r="Y388" s="566"/>
    </row>
    <row r="389" spans="18:25" x14ac:dyDescent="0.25">
      <c r="R389" s="594"/>
      <c r="T389" s="592"/>
      <c r="U389" s="595"/>
      <c r="W389" s="568"/>
      <c r="X389" s="568"/>
      <c r="Y389" s="566"/>
    </row>
    <row r="390" spans="18:25" x14ac:dyDescent="0.25">
      <c r="R390" s="594"/>
      <c r="T390" s="592"/>
      <c r="U390" s="595"/>
      <c r="W390" s="568"/>
      <c r="X390" s="568"/>
      <c r="Y390" s="566"/>
    </row>
    <row r="391" spans="18:25" x14ac:dyDescent="0.25">
      <c r="R391" s="594"/>
      <c r="T391" s="592"/>
      <c r="U391" s="595"/>
      <c r="W391" s="568"/>
      <c r="X391" s="568"/>
      <c r="Y391" s="566"/>
    </row>
    <row r="392" spans="18:25" x14ac:dyDescent="0.25">
      <c r="R392" s="594"/>
      <c r="T392" s="592"/>
      <c r="U392" s="595"/>
      <c r="W392" s="568"/>
      <c r="X392" s="568"/>
      <c r="Y392" s="566"/>
    </row>
    <row r="393" spans="18:25" x14ac:dyDescent="0.25">
      <c r="R393" s="594"/>
      <c r="T393" s="592"/>
      <c r="U393" s="595"/>
      <c r="W393" s="568"/>
      <c r="X393" s="568"/>
      <c r="Y393" s="566"/>
    </row>
    <row r="394" spans="18:25" x14ac:dyDescent="0.25">
      <c r="R394" s="594"/>
      <c r="T394" s="592"/>
      <c r="U394" s="595"/>
      <c r="W394" s="568"/>
      <c r="X394" s="568"/>
      <c r="Y394" s="566"/>
    </row>
    <row r="395" spans="18:25" x14ac:dyDescent="0.25">
      <c r="R395" s="594"/>
      <c r="T395" s="592"/>
      <c r="U395" s="595"/>
      <c r="W395" s="568"/>
      <c r="X395" s="568"/>
      <c r="Y395" s="566"/>
    </row>
    <row r="396" spans="18:25" x14ac:dyDescent="0.25">
      <c r="R396" s="594"/>
      <c r="T396" s="592"/>
      <c r="U396" s="595"/>
      <c r="W396" s="568"/>
      <c r="X396" s="568"/>
      <c r="Y396" s="566"/>
    </row>
    <row r="397" spans="18:25" x14ac:dyDescent="0.25">
      <c r="R397" s="594"/>
      <c r="T397" s="592"/>
      <c r="U397" s="595"/>
      <c r="W397" s="568"/>
      <c r="X397" s="568"/>
      <c r="Y397" s="566"/>
    </row>
    <row r="398" spans="18:25" x14ac:dyDescent="0.25">
      <c r="R398" s="594"/>
      <c r="T398" s="592"/>
      <c r="U398" s="595"/>
      <c r="W398" s="568"/>
      <c r="X398" s="568"/>
      <c r="Y398" s="566"/>
    </row>
    <row r="399" spans="18:25" x14ac:dyDescent="0.25">
      <c r="R399" s="594"/>
      <c r="T399" s="592"/>
      <c r="U399" s="595"/>
      <c r="W399" s="568"/>
      <c r="X399" s="568"/>
      <c r="Y399" s="566"/>
    </row>
    <row r="400" spans="18:25" x14ac:dyDescent="0.25">
      <c r="R400" s="594"/>
      <c r="T400" s="592"/>
      <c r="U400" s="595"/>
      <c r="W400" s="568"/>
      <c r="X400" s="568"/>
      <c r="Y400" s="566"/>
    </row>
    <row r="401" spans="18:25" x14ac:dyDescent="0.25">
      <c r="R401" s="594"/>
      <c r="T401" s="592"/>
      <c r="U401" s="595"/>
      <c r="W401" s="568"/>
      <c r="X401" s="568"/>
      <c r="Y401" s="566"/>
    </row>
    <row r="402" spans="18:25" x14ac:dyDescent="0.25">
      <c r="R402" s="594"/>
      <c r="T402" s="592"/>
      <c r="U402" s="595"/>
      <c r="W402" s="568"/>
      <c r="X402" s="568"/>
      <c r="Y402" s="566"/>
    </row>
    <row r="403" spans="18:25" x14ac:dyDescent="0.25">
      <c r="R403" s="594"/>
      <c r="T403" s="592"/>
      <c r="U403" s="595"/>
      <c r="W403" s="568"/>
      <c r="X403" s="568"/>
      <c r="Y403" s="566"/>
    </row>
    <row r="404" spans="18:25" x14ac:dyDescent="0.25">
      <c r="R404" s="594"/>
      <c r="T404" s="592"/>
      <c r="U404" s="595"/>
      <c r="W404" s="568"/>
      <c r="X404" s="568"/>
      <c r="Y404" s="566"/>
    </row>
    <row r="405" spans="18:25" x14ac:dyDescent="0.25">
      <c r="R405" s="594"/>
      <c r="T405" s="592"/>
      <c r="U405" s="595"/>
      <c r="W405" s="568"/>
      <c r="X405" s="568"/>
      <c r="Y405" s="566"/>
    </row>
    <row r="406" spans="18:25" x14ac:dyDescent="0.25">
      <c r="R406" s="594"/>
      <c r="T406" s="592"/>
      <c r="U406" s="595"/>
      <c r="W406" s="568"/>
      <c r="X406" s="568"/>
      <c r="Y406" s="566"/>
    </row>
    <row r="407" spans="18:25" x14ac:dyDescent="0.25">
      <c r="R407" s="594"/>
      <c r="T407" s="592"/>
      <c r="U407" s="595"/>
      <c r="W407" s="568"/>
      <c r="X407" s="568"/>
      <c r="Y407" s="566"/>
    </row>
    <row r="408" spans="18:25" x14ac:dyDescent="0.25">
      <c r="R408" s="594"/>
      <c r="T408" s="592"/>
      <c r="U408" s="595"/>
      <c r="W408" s="568"/>
      <c r="X408" s="568"/>
      <c r="Y408" s="566"/>
    </row>
    <row r="409" spans="18:25" x14ac:dyDescent="0.25">
      <c r="R409" s="594"/>
      <c r="T409" s="592"/>
      <c r="U409" s="595"/>
      <c r="W409" s="568"/>
      <c r="X409" s="568"/>
      <c r="Y409" s="566"/>
    </row>
    <row r="410" spans="18:25" x14ac:dyDescent="0.25">
      <c r="R410" s="594"/>
      <c r="T410" s="592"/>
      <c r="U410" s="595"/>
      <c r="W410" s="568"/>
      <c r="X410" s="568"/>
      <c r="Y410" s="566"/>
    </row>
    <row r="411" spans="18:25" x14ac:dyDescent="0.25">
      <c r="R411" s="594"/>
      <c r="T411" s="592"/>
      <c r="U411" s="595"/>
      <c r="W411" s="568"/>
      <c r="X411" s="568"/>
      <c r="Y411" s="566"/>
    </row>
    <row r="412" spans="18:25" x14ac:dyDescent="0.25">
      <c r="R412" s="594"/>
      <c r="T412" s="592"/>
      <c r="U412" s="595"/>
      <c r="W412" s="568"/>
      <c r="X412" s="568"/>
      <c r="Y412" s="566"/>
    </row>
    <row r="413" spans="18:25" x14ac:dyDescent="0.25">
      <c r="R413" s="594"/>
      <c r="T413" s="592"/>
      <c r="U413" s="595"/>
      <c r="W413" s="568"/>
      <c r="X413" s="568"/>
      <c r="Y413" s="566"/>
    </row>
    <row r="414" spans="18:25" x14ac:dyDescent="0.25">
      <c r="R414" s="594"/>
      <c r="T414" s="592"/>
      <c r="U414" s="595"/>
      <c r="W414" s="568"/>
      <c r="X414" s="568"/>
      <c r="Y414" s="566"/>
    </row>
    <row r="415" spans="18:25" x14ac:dyDescent="0.25">
      <c r="R415" s="594"/>
      <c r="T415" s="592"/>
      <c r="U415" s="595"/>
      <c r="W415" s="568"/>
      <c r="X415" s="568"/>
      <c r="Y415" s="566"/>
    </row>
    <row r="416" spans="18:25" x14ac:dyDescent="0.25">
      <c r="R416" s="594"/>
      <c r="T416" s="592"/>
      <c r="U416" s="595"/>
      <c r="W416" s="568"/>
      <c r="X416" s="568"/>
      <c r="Y416" s="566"/>
    </row>
    <row r="417" spans="18:25" x14ac:dyDescent="0.25">
      <c r="R417" s="594"/>
      <c r="T417" s="592"/>
      <c r="U417" s="595"/>
      <c r="W417" s="568"/>
      <c r="X417" s="568"/>
      <c r="Y417" s="566"/>
    </row>
    <row r="418" spans="18:25" x14ac:dyDescent="0.25">
      <c r="R418" s="594"/>
      <c r="T418" s="592"/>
      <c r="U418" s="595"/>
      <c r="W418" s="568"/>
      <c r="X418" s="568"/>
      <c r="Y418" s="566"/>
    </row>
    <row r="419" spans="18:25" x14ac:dyDescent="0.25">
      <c r="R419" s="594"/>
      <c r="T419" s="592"/>
      <c r="U419" s="595"/>
      <c r="W419" s="568"/>
      <c r="X419" s="568"/>
      <c r="Y419" s="566"/>
    </row>
    <row r="420" spans="18:25" x14ac:dyDescent="0.25">
      <c r="R420" s="594"/>
      <c r="T420" s="592"/>
      <c r="U420" s="595"/>
      <c r="W420" s="568"/>
      <c r="X420" s="568"/>
      <c r="Y420" s="566"/>
    </row>
    <row r="421" spans="18:25" x14ac:dyDescent="0.25">
      <c r="R421" s="594"/>
      <c r="T421" s="592"/>
      <c r="U421" s="595"/>
      <c r="W421" s="568"/>
      <c r="X421" s="568"/>
      <c r="Y421" s="566"/>
    </row>
    <row r="422" spans="18:25" x14ac:dyDescent="0.25">
      <c r="R422" s="594"/>
      <c r="T422" s="592"/>
      <c r="U422" s="595"/>
      <c r="W422" s="568"/>
      <c r="X422" s="568"/>
      <c r="Y422" s="566"/>
    </row>
    <row r="423" spans="18:25" x14ac:dyDescent="0.25">
      <c r="R423" s="594"/>
      <c r="T423" s="592"/>
      <c r="U423" s="595"/>
      <c r="W423" s="568"/>
      <c r="X423" s="568"/>
      <c r="Y423" s="566"/>
    </row>
    <row r="424" spans="18:25" x14ac:dyDescent="0.25">
      <c r="R424" s="594"/>
      <c r="T424" s="592"/>
      <c r="U424" s="595"/>
      <c r="W424" s="568"/>
      <c r="X424" s="568"/>
      <c r="Y424" s="566"/>
    </row>
    <row r="425" spans="18:25" x14ac:dyDescent="0.25">
      <c r="R425" s="594"/>
      <c r="T425" s="592"/>
      <c r="U425" s="595"/>
      <c r="W425" s="568"/>
      <c r="X425" s="568"/>
      <c r="Y425" s="566"/>
    </row>
    <row r="426" spans="18:25" x14ac:dyDescent="0.25">
      <c r="R426" s="594"/>
      <c r="T426" s="592"/>
      <c r="U426" s="595"/>
      <c r="W426" s="568"/>
      <c r="X426" s="568"/>
      <c r="Y426" s="566"/>
    </row>
    <row r="427" spans="18:25" x14ac:dyDescent="0.25">
      <c r="R427" s="594"/>
      <c r="T427" s="592"/>
      <c r="U427" s="595"/>
      <c r="W427" s="568"/>
      <c r="X427" s="568"/>
      <c r="Y427" s="566"/>
    </row>
    <row r="428" spans="18:25" x14ac:dyDescent="0.25">
      <c r="R428" s="594"/>
      <c r="T428" s="592"/>
      <c r="U428" s="595"/>
      <c r="W428" s="568"/>
      <c r="X428" s="568"/>
      <c r="Y428" s="566"/>
    </row>
    <row r="429" spans="18:25" x14ac:dyDescent="0.25">
      <c r="R429" s="594"/>
      <c r="T429" s="592"/>
      <c r="U429" s="595"/>
      <c r="W429" s="568"/>
      <c r="X429" s="568"/>
      <c r="Y429" s="566"/>
    </row>
    <row r="430" spans="18:25" x14ac:dyDescent="0.25">
      <c r="R430" s="594"/>
      <c r="T430" s="592"/>
      <c r="U430" s="595"/>
      <c r="W430" s="568"/>
      <c r="X430" s="568"/>
      <c r="Y430" s="566"/>
    </row>
    <row r="431" spans="18:25" x14ac:dyDescent="0.25">
      <c r="R431" s="594"/>
      <c r="T431" s="592"/>
      <c r="U431" s="595"/>
      <c r="W431" s="568"/>
      <c r="X431" s="568"/>
      <c r="Y431" s="566"/>
    </row>
    <row r="432" spans="18:25" x14ac:dyDescent="0.25">
      <c r="R432" s="594"/>
      <c r="T432" s="592"/>
      <c r="U432" s="595"/>
      <c r="W432" s="568"/>
      <c r="X432" s="568"/>
      <c r="Y432" s="566"/>
    </row>
    <row r="433" spans="18:25" x14ac:dyDescent="0.25">
      <c r="R433" s="594"/>
      <c r="T433" s="592"/>
      <c r="U433" s="595"/>
      <c r="W433" s="568"/>
      <c r="X433" s="568"/>
      <c r="Y433" s="566"/>
    </row>
    <row r="434" spans="18:25" x14ac:dyDescent="0.25">
      <c r="R434" s="594"/>
      <c r="T434" s="592"/>
      <c r="U434" s="595"/>
      <c r="W434" s="568"/>
      <c r="X434" s="568"/>
      <c r="Y434" s="566"/>
    </row>
    <row r="435" spans="18:25" x14ac:dyDescent="0.25">
      <c r="R435" s="594"/>
      <c r="T435" s="592"/>
      <c r="U435" s="595"/>
      <c r="W435" s="568"/>
      <c r="X435" s="568"/>
      <c r="Y435" s="566"/>
    </row>
    <row r="436" spans="18:25" x14ac:dyDescent="0.25">
      <c r="R436" s="594"/>
      <c r="T436" s="592"/>
      <c r="U436" s="595"/>
      <c r="W436" s="568"/>
      <c r="X436" s="568"/>
      <c r="Y436" s="566"/>
    </row>
    <row r="437" spans="18:25" x14ac:dyDescent="0.25">
      <c r="R437" s="594"/>
      <c r="T437" s="592"/>
      <c r="U437" s="595"/>
      <c r="W437" s="568"/>
      <c r="X437" s="568"/>
      <c r="Y437" s="566"/>
    </row>
    <row r="438" spans="18:25" x14ac:dyDescent="0.25">
      <c r="R438" s="594"/>
      <c r="T438" s="592"/>
      <c r="U438" s="595"/>
      <c r="W438" s="568"/>
      <c r="X438" s="568"/>
      <c r="Y438" s="566"/>
    </row>
    <row r="439" spans="18:25" x14ac:dyDescent="0.25">
      <c r="R439" s="594"/>
      <c r="T439" s="592"/>
      <c r="U439" s="595"/>
      <c r="W439" s="568"/>
      <c r="X439" s="568"/>
      <c r="Y439" s="566"/>
    </row>
    <row r="440" spans="18:25" x14ac:dyDescent="0.25">
      <c r="R440" s="594"/>
      <c r="T440" s="592"/>
      <c r="U440" s="595"/>
      <c r="W440" s="568"/>
      <c r="X440" s="568"/>
      <c r="Y440" s="566"/>
    </row>
    <row r="441" spans="18:25" x14ac:dyDescent="0.25">
      <c r="R441" s="594"/>
      <c r="T441" s="592"/>
      <c r="U441" s="595"/>
      <c r="W441" s="568"/>
      <c r="X441" s="568"/>
      <c r="Y441" s="566"/>
    </row>
    <row r="442" spans="18:25" x14ac:dyDescent="0.25">
      <c r="R442" s="594"/>
      <c r="T442" s="592"/>
      <c r="U442" s="595"/>
      <c r="W442" s="568"/>
      <c r="X442" s="568"/>
      <c r="Y442" s="566"/>
    </row>
    <row r="443" spans="18:25" x14ac:dyDescent="0.25">
      <c r="R443" s="594"/>
      <c r="T443" s="592"/>
      <c r="U443" s="595"/>
      <c r="W443" s="568"/>
      <c r="X443" s="568"/>
      <c r="Y443" s="566"/>
    </row>
    <row r="444" spans="18:25" x14ac:dyDescent="0.25">
      <c r="R444" s="594"/>
      <c r="T444" s="592"/>
      <c r="U444" s="595"/>
      <c r="W444" s="568"/>
      <c r="X444" s="568"/>
      <c r="Y444" s="566"/>
    </row>
    <row r="445" spans="18:25" x14ac:dyDescent="0.25">
      <c r="R445" s="594"/>
      <c r="T445" s="592"/>
      <c r="U445" s="595"/>
      <c r="W445" s="568"/>
      <c r="X445" s="568"/>
      <c r="Y445" s="566"/>
    </row>
    <row r="446" spans="18:25" x14ac:dyDescent="0.25">
      <c r="R446" s="594"/>
      <c r="T446" s="592"/>
      <c r="U446" s="595"/>
      <c r="W446" s="568"/>
      <c r="X446" s="568"/>
      <c r="Y446" s="566"/>
    </row>
    <row r="447" spans="18:25" x14ac:dyDescent="0.25">
      <c r="R447" s="594"/>
      <c r="T447" s="592"/>
      <c r="U447" s="595"/>
      <c r="W447" s="568"/>
      <c r="X447" s="568"/>
      <c r="Y447" s="566"/>
    </row>
    <row r="448" spans="18:25" x14ac:dyDescent="0.25">
      <c r="R448" s="594"/>
      <c r="T448" s="592"/>
      <c r="U448" s="595"/>
      <c r="W448" s="568"/>
      <c r="X448" s="568"/>
      <c r="Y448" s="566"/>
    </row>
    <row r="449" spans="18:25" x14ac:dyDescent="0.25">
      <c r="R449" s="594"/>
      <c r="T449" s="592"/>
      <c r="U449" s="595"/>
      <c r="W449" s="568"/>
      <c r="X449" s="568"/>
      <c r="Y449" s="566"/>
    </row>
    <row r="450" spans="18:25" x14ac:dyDescent="0.25">
      <c r="R450" s="594"/>
      <c r="T450" s="592"/>
      <c r="U450" s="595"/>
      <c r="W450" s="568"/>
      <c r="X450" s="568"/>
      <c r="Y450" s="566"/>
    </row>
    <row r="451" spans="18:25" x14ac:dyDescent="0.25">
      <c r="R451" s="594"/>
      <c r="T451" s="592"/>
      <c r="U451" s="595"/>
      <c r="W451" s="568"/>
      <c r="X451" s="568"/>
      <c r="Y451" s="566"/>
    </row>
    <row r="452" spans="18:25" x14ac:dyDescent="0.25">
      <c r="R452" s="594"/>
      <c r="T452" s="592"/>
      <c r="U452" s="595"/>
      <c r="W452" s="568"/>
      <c r="X452" s="568"/>
      <c r="Y452" s="566"/>
    </row>
    <row r="453" spans="18:25" x14ac:dyDescent="0.25">
      <c r="R453" s="594"/>
      <c r="T453" s="592"/>
      <c r="U453" s="595"/>
      <c r="W453" s="568"/>
      <c r="X453" s="568"/>
      <c r="Y453" s="566"/>
    </row>
    <row r="454" spans="18:25" x14ac:dyDescent="0.25">
      <c r="R454" s="594"/>
      <c r="T454" s="592"/>
      <c r="U454" s="595"/>
      <c r="W454" s="568"/>
      <c r="X454" s="568"/>
      <c r="Y454" s="566"/>
    </row>
    <row r="455" spans="18:25" x14ac:dyDescent="0.25">
      <c r="R455" s="594"/>
      <c r="T455" s="592"/>
      <c r="U455" s="595"/>
      <c r="W455" s="568"/>
      <c r="X455" s="568"/>
      <c r="Y455" s="566"/>
    </row>
    <row r="456" spans="18:25" x14ac:dyDescent="0.25">
      <c r="R456" s="594"/>
      <c r="T456" s="592"/>
      <c r="U456" s="595"/>
      <c r="W456" s="568"/>
      <c r="X456" s="568"/>
      <c r="Y456" s="566"/>
    </row>
    <row r="457" spans="18:25" x14ac:dyDescent="0.25">
      <c r="R457" s="594"/>
      <c r="T457" s="592"/>
      <c r="U457" s="595"/>
      <c r="W457" s="568"/>
      <c r="X457" s="568"/>
      <c r="Y457" s="566"/>
    </row>
    <row r="458" spans="18:25" x14ac:dyDescent="0.25">
      <c r="R458" s="594"/>
      <c r="T458" s="592"/>
      <c r="U458" s="595"/>
      <c r="W458" s="568"/>
      <c r="X458" s="568"/>
      <c r="Y458" s="566"/>
    </row>
    <row r="459" spans="18:25" x14ac:dyDescent="0.25">
      <c r="R459" s="594"/>
      <c r="T459" s="592"/>
      <c r="U459" s="595"/>
      <c r="W459" s="568"/>
      <c r="X459" s="568"/>
      <c r="Y459" s="566"/>
    </row>
    <row r="460" spans="18:25" x14ac:dyDescent="0.25">
      <c r="R460" s="594"/>
      <c r="T460" s="592"/>
      <c r="U460" s="595"/>
      <c r="W460" s="568"/>
      <c r="X460" s="568"/>
      <c r="Y460" s="566"/>
    </row>
    <row r="461" spans="18:25" x14ac:dyDescent="0.25">
      <c r="R461" s="594"/>
      <c r="T461" s="592"/>
      <c r="U461" s="595"/>
      <c r="W461" s="568"/>
      <c r="X461" s="568"/>
      <c r="Y461" s="566"/>
    </row>
    <row r="462" spans="18:25" x14ac:dyDescent="0.25">
      <c r="R462" s="594"/>
      <c r="T462" s="592"/>
      <c r="U462" s="595"/>
      <c r="W462" s="568"/>
      <c r="X462" s="568"/>
      <c r="Y462" s="566"/>
    </row>
    <row r="463" spans="18:25" x14ac:dyDescent="0.25">
      <c r="R463" s="594"/>
      <c r="T463" s="592"/>
      <c r="U463" s="595"/>
      <c r="W463" s="568"/>
      <c r="X463" s="568"/>
      <c r="Y463" s="566"/>
    </row>
    <row r="464" spans="18:25" x14ac:dyDescent="0.25">
      <c r="R464" s="594"/>
      <c r="T464" s="592"/>
      <c r="U464" s="595"/>
      <c r="W464" s="568"/>
      <c r="X464" s="568"/>
      <c r="Y464" s="566"/>
    </row>
    <row r="465" spans="18:25" x14ac:dyDescent="0.25">
      <c r="R465" s="594"/>
      <c r="T465" s="592"/>
      <c r="U465" s="595"/>
      <c r="W465" s="568"/>
      <c r="X465" s="568"/>
      <c r="Y465" s="566"/>
    </row>
    <row r="466" spans="18:25" x14ac:dyDescent="0.25">
      <c r="R466" s="594"/>
      <c r="T466" s="592"/>
      <c r="U466" s="595"/>
      <c r="W466" s="568"/>
      <c r="X466" s="568"/>
      <c r="Y466" s="566"/>
    </row>
    <row r="467" spans="18:25" x14ac:dyDescent="0.25">
      <c r="R467" s="594"/>
      <c r="T467" s="592"/>
      <c r="U467" s="595"/>
      <c r="W467" s="568"/>
      <c r="X467" s="568"/>
      <c r="Y467" s="566"/>
    </row>
    <row r="468" spans="18:25" x14ac:dyDescent="0.25">
      <c r="R468" s="594"/>
      <c r="T468" s="592"/>
      <c r="U468" s="595"/>
      <c r="W468" s="568"/>
      <c r="X468" s="568"/>
      <c r="Y468" s="566"/>
    </row>
    <row r="469" spans="18:25" x14ac:dyDescent="0.25">
      <c r="R469" s="594"/>
      <c r="T469" s="592"/>
      <c r="U469" s="595"/>
      <c r="W469" s="568"/>
      <c r="X469" s="568"/>
      <c r="Y469" s="566"/>
    </row>
    <row r="470" spans="18:25" x14ac:dyDescent="0.25">
      <c r="R470" s="594"/>
      <c r="T470" s="592"/>
      <c r="U470" s="595"/>
      <c r="W470" s="568"/>
      <c r="X470" s="568"/>
      <c r="Y470" s="566"/>
    </row>
    <row r="471" spans="18:25" x14ac:dyDescent="0.25">
      <c r="R471" s="594"/>
      <c r="T471" s="592"/>
      <c r="U471" s="595"/>
      <c r="W471" s="568"/>
      <c r="X471" s="568"/>
      <c r="Y471" s="566"/>
    </row>
    <row r="472" spans="18:25" x14ac:dyDescent="0.25">
      <c r="R472" s="594"/>
      <c r="T472" s="592"/>
      <c r="U472" s="595"/>
      <c r="W472" s="568"/>
      <c r="X472" s="568"/>
      <c r="Y472" s="566"/>
    </row>
    <row r="473" spans="18:25" x14ac:dyDescent="0.25">
      <c r="R473" s="594"/>
      <c r="T473" s="592"/>
      <c r="U473" s="595"/>
      <c r="W473" s="568"/>
      <c r="X473" s="568"/>
      <c r="Y473" s="566"/>
    </row>
    <row r="474" spans="18:25" x14ac:dyDescent="0.25">
      <c r="R474" s="594"/>
      <c r="T474" s="592"/>
      <c r="U474" s="595"/>
      <c r="W474" s="568"/>
      <c r="X474" s="568"/>
      <c r="Y474" s="566"/>
    </row>
    <row r="475" spans="18:25" x14ac:dyDescent="0.25">
      <c r="R475" s="594"/>
      <c r="T475" s="592"/>
      <c r="U475" s="595"/>
      <c r="W475" s="568"/>
      <c r="X475" s="568"/>
      <c r="Y475" s="566"/>
    </row>
    <row r="476" spans="18:25" x14ac:dyDescent="0.25">
      <c r="R476" s="594"/>
      <c r="T476" s="592"/>
      <c r="U476" s="595"/>
      <c r="W476" s="568"/>
      <c r="X476" s="568"/>
      <c r="Y476" s="566"/>
    </row>
    <row r="477" spans="18:25" x14ac:dyDescent="0.25">
      <c r="R477" s="594"/>
      <c r="T477" s="592"/>
      <c r="U477" s="595"/>
      <c r="W477" s="568"/>
      <c r="X477" s="568"/>
      <c r="Y477" s="566"/>
    </row>
    <row r="478" spans="18:25" x14ac:dyDescent="0.25">
      <c r="R478" s="594"/>
      <c r="T478" s="592"/>
      <c r="U478" s="595"/>
      <c r="W478" s="568"/>
      <c r="X478" s="568"/>
      <c r="Y478" s="566"/>
    </row>
    <row r="479" spans="18:25" x14ac:dyDescent="0.25">
      <c r="R479" s="594"/>
      <c r="T479" s="592"/>
      <c r="U479" s="595"/>
      <c r="W479" s="568"/>
      <c r="X479" s="568"/>
      <c r="Y479" s="566"/>
    </row>
    <row r="480" spans="18:25" x14ac:dyDescent="0.25">
      <c r="R480" s="594"/>
      <c r="T480" s="592"/>
      <c r="U480" s="595"/>
      <c r="W480" s="568"/>
      <c r="X480" s="568"/>
      <c r="Y480" s="566"/>
    </row>
    <row r="481" spans="18:25" x14ac:dyDescent="0.25">
      <c r="R481" s="594"/>
      <c r="T481" s="592"/>
      <c r="U481" s="595"/>
      <c r="W481" s="568"/>
      <c r="X481" s="568"/>
      <c r="Y481" s="566"/>
    </row>
    <row r="482" spans="18:25" x14ac:dyDescent="0.25">
      <c r="R482" s="594"/>
      <c r="T482" s="592"/>
      <c r="U482" s="595"/>
      <c r="W482" s="568"/>
      <c r="X482" s="568"/>
      <c r="Y482" s="566"/>
    </row>
    <row r="483" spans="18:25" x14ac:dyDescent="0.25">
      <c r="R483" s="594"/>
      <c r="T483" s="592"/>
      <c r="U483" s="595"/>
      <c r="W483" s="568"/>
      <c r="X483" s="568"/>
      <c r="Y483" s="566"/>
    </row>
    <row r="484" spans="18:25" x14ac:dyDescent="0.25">
      <c r="R484" s="594"/>
      <c r="T484" s="592"/>
      <c r="U484" s="595"/>
      <c r="W484" s="568"/>
      <c r="X484" s="568"/>
      <c r="Y484" s="566"/>
    </row>
    <row r="485" spans="18:25" x14ac:dyDescent="0.25">
      <c r="R485" s="594"/>
      <c r="T485" s="592"/>
      <c r="U485" s="595"/>
      <c r="W485" s="568"/>
      <c r="X485" s="568"/>
      <c r="Y485" s="566"/>
    </row>
    <row r="486" spans="18:25" x14ac:dyDescent="0.25">
      <c r="R486" s="594"/>
      <c r="T486" s="592"/>
      <c r="U486" s="595"/>
      <c r="W486" s="568"/>
      <c r="X486" s="568"/>
      <c r="Y486" s="566"/>
    </row>
    <row r="487" spans="18:25" x14ac:dyDescent="0.25">
      <c r="R487" s="594"/>
      <c r="T487" s="592"/>
      <c r="U487" s="595"/>
      <c r="W487" s="568"/>
      <c r="X487" s="568"/>
      <c r="Y487" s="566"/>
    </row>
    <row r="488" spans="18:25" x14ac:dyDescent="0.25">
      <c r="R488" s="594"/>
      <c r="T488" s="592"/>
      <c r="U488" s="595"/>
      <c r="W488" s="568"/>
      <c r="X488" s="568"/>
      <c r="Y488" s="566"/>
    </row>
    <row r="489" spans="18:25" x14ac:dyDescent="0.25">
      <c r="R489" s="594"/>
      <c r="T489" s="592"/>
      <c r="U489" s="595"/>
      <c r="W489" s="568"/>
      <c r="X489" s="568"/>
      <c r="Y489" s="566"/>
    </row>
    <row r="490" spans="18:25" x14ac:dyDescent="0.25">
      <c r="R490" s="594"/>
      <c r="T490" s="592"/>
      <c r="U490" s="595"/>
      <c r="W490" s="568"/>
      <c r="X490" s="568"/>
      <c r="Y490" s="566"/>
    </row>
    <row r="491" spans="18:25" x14ac:dyDescent="0.25">
      <c r="R491" s="594"/>
      <c r="T491" s="592"/>
      <c r="U491" s="595"/>
      <c r="W491" s="568"/>
      <c r="X491" s="568"/>
      <c r="Y491" s="566"/>
    </row>
    <row r="492" spans="18:25" x14ac:dyDescent="0.25">
      <c r="R492" s="594"/>
      <c r="T492" s="592"/>
      <c r="U492" s="595"/>
      <c r="W492" s="568"/>
      <c r="X492" s="568"/>
      <c r="Y492" s="566"/>
    </row>
    <row r="493" spans="18:25" x14ac:dyDescent="0.25">
      <c r="R493" s="594"/>
      <c r="T493" s="592"/>
      <c r="U493" s="595"/>
      <c r="W493" s="568"/>
      <c r="X493" s="568"/>
      <c r="Y493" s="566"/>
    </row>
    <row r="494" spans="18:25" x14ac:dyDescent="0.25">
      <c r="R494" s="594"/>
      <c r="T494" s="592"/>
      <c r="U494" s="595"/>
      <c r="W494" s="568"/>
      <c r="X494" s="568"/>
      <c r="Y494" s="566"/>
    </row>
    <row r="495" spans="18:25" x14ac:dyDescent="0.25">
      <c r="R495" s="594"/>
      <c r="T495" s="592"/>
      <c r="U495" s="595"/>
      <c r="W495" s="568"/>
      <c r="X495" s="568"/>
      <c r="Y495" s="566"/>
    </row>
    <row r="496" spans="18:25" x14ac:dyDescent="0.25">
      <c r="R496" s="594"/>
      <c r="T496" s="592"/>
      <c r="U496" s="595"/>
      <c r="W496" s="568"/>
      <c r="X496" s="568"/>
      <c r="Y496" s="566"/>
    </row>
    <row r="497" spans="18:25" x14ac:dyDescent="0.25">
      <c r="R497" s="594"/>
      <c r="T497" s="592"/>
      <c r="U497" s="595"/>
      <c r="W497" s="568"/>
      <c r="X497" s="568"/>
      <c r="Y497" s="566"/>
    </row>
    <row r="498" spans="18:25" x14ac:dyDescent="0.25">
      <c r="R498" s="594"/>
      <c r="T498" s="592"/>
      <c r="U498" s="595"/>
      <c r="W498" s="568"/>
      <c r="X498" s="568"/>
      <c r="Y498" s="566"/>
    </row>
    <row r="499" spans="18:25" x14ac:dyDescent="0.25">
      <c r="R499" s="594"/>
      <c r="T499" s="592"/>
      <c r="U499" s="595"/>
      <c r="W499" s="568"/>
      <c r="X499" s="568"/>
      <c r="Y499" s="566"/>
    </row>
    <row r="500" spans="18:25" x14ac:dyDescent="0.25">
      <c r="R500" s="594"/>
      <c r="T500" s="592"/>
      <c r="U500" s="595"/>
      <c r="W500" s="568"/>
      <c r="X500" s="568"/>
      <c r="Y500" s="566"/>
    </row>
    <row r="501" spans="18:25" x14ac:dyDescent="0.25">
      <c r="R501" s="594"/>
      <c r="T501" s="592"/>
      <c r="U501" s="595"/>
      <c r="W501" s="568"/>
      <c r="X501" s="568"/>
      <c r="Y501" s="566"/>
    </row>
    <row r="502" spans="18:25" x14ac:dyDescent="0.25">
      <c r="R502" s="594"/>
      <c r="T502" s="592"/>
      <c r="U502" s="595"/>
      <c r="W502" s="568"/>
      <c r="X502" s="568"/>
      <c r="Y502" s="566"/>
    </row>
    <row r="503" spans="18:25" x14ac:dyDescent="0.25">
      <c r="R503" s="594"/>
      <c r="T503" s="592"/>
      <c r="U503" s="595"/>
      <c r="W503" s="568"/>
      <c r="X503" s="568"/>
      <c r="Y503" s="566"/>
    </row>
    <row r="504" spans="18:25" x14ac:dyDescent="0.25">
      <c r="R504" s="594"/>
      <c r="T504" s="592"/>
      <c r="U504" s="595"/>
      <c r="W504" s="568"/>
      <c r="X504" s="568"/>
      <c r="Y504" s="566"/>
    </row>
    <row r="505" spans="18:25" x14ac:dyDescent="0.25">
      <c r="R505" s="594"/>
      <c r="T505" s="592"/>
      <c r="U505" s="595"/>
      <c r="W505" s="568"/>
      <c r="X505" s="568"/>
      <c r="Y505" s="566"/>
    </row>
    <row r="506" spans="18:25" x14ac:dyDescent="0.25">
      <c r="R506" s="594"/>
      <c r="T506" s="592"/>
      <c r="U506" s="595"/>
      <c r="W506" s="568"/>
      <c r="X506" s="568"/>
      <c r="Y506" s="566"/>
    </row>
    <row r="507" spans="18:25" x14ac:dyDescent="0.25">
      <c r="R507" s="594"/>
      <c r="T507" s="592"/>
      <c r="U507" s="595"/>
      <c r="W507" s="568"/>
      <c r="X507" s="568"/>
      <c r="Y507" s="566"/>
    </row>
    <row r="508" spans="18:25" x14ac:dyDescent="0.25">
      <c r="R508" s="594"/>
      <c r="T508" s="592"/>
      <c r="U508" s="595"/>
      <c r="W508" s="568"/>
      <c r="X508" s="568"/>
      <c r="Y508" s="566"/>
    </row>
    <row r="509" spans="18:25" x14ac:dyDescent="0.25">
      <c r="R509" s="594"/>
      <c r="T509" s="592"/>
      <c r="U509" s="595"/>
      <c r="W509" s="568"/>
      <c r="X509" s="568"/>
      <c r="Y509" s="566"/>
    </row>
    <row r="510" spans="18:25" x14ac:dyDescent="0.25">
      <c r="R510" s="594"/>
      <c r="T510" s="592"/>
      <c r="U510" s="595"/>
      <c r="W510" s="568"/>
      <c r="X510" s="568"/>
      <c r="Y510" s="566"/>
    </row>
    <row r="511" spans="18:25" x14ac:dyDescent="0.25">
      <c r="R511" s="594"/>
      <c r="T511" s="592"/>
      <c r="U511" s="595"/>
      <c r="W511" s="568"/>
      <c r="X511" s="568"/>
      <c r="Y511" s="566"/>
    </row>
    <row r="512" spans="18:25" x14ac:dyDescent="0.25">
      <c r="R512" s="594"/>
      <c r="T512" s="592"/>
      <c r="U512" s="595"/>
      <c r="W512" s="568"/>
      <c r="X512" s="568"/>
      <c r="Y512" s="566"/>
    </row>
    <row r="513" spans="18:25" x14ac:dyDescent="0.25">
      <c r="R513" s="594"/>
      <c r="T513" s="592"/>
      <c r="U513" s="595"/>
      <c r="W513" s="568"/>
      <c r="X513" s="568"/>
      <c r="Y513" s="566"/>
    </row>
    <row r="514" spans="18:25" x14ac:dyDescent="0.25">
      <c r="R514" s="594"/>
      <c r="T514" s="592"/>
      <c r="U514" s="595"/>
      <c r="W514" s="568"/>
      <c r="X514" s="568"/>
      <c r="Y514" s="566"/>
    </row>
    <row r="515" spans="18:25" x14ac:dyDescent="0.25">
      <c r="R515" s="594"/>
      <c r="T515" s="592"/>
      <c r="U515" s="595"/>
      <c r="W515" s="568"/>
      <c r="X515" s="568"/>
      <c r="Y515" s="566"/>
    </row>
    <row r="516" spans="18:25" x14ac:dyDescent="0.25">
      <c r="R516" s="594"/>
      <c r="T516" s="592"/>
      <c r="U516" s="595"/>
      <c r="W516" s="568"/>
      <c r="X516" s="568"/>
      <c r="Y516" s="566"/>
    </row>
    <row r="517" spans="18:25" x14ac:dyDescent="0.25">
      <c r="R517" s="594"/>
      <c r="T517" s="592"/>
      <c r="U517" s="595"/>
      <c r="W517" s="568"/>
      <c r="X517" s="568"/>
      <c r="Y517" s="566"/>
    </row>
    <row r="518" spans="18:25" x14ac:dyDescent="0.25">
      <c r="R518" s="594"/>
      <c r="T518" s="592"/>
      <c r="U518" s="595"/>
      <c r="W518" s="568"/>
      <c r="X518" s="568"/>
      <c r="Y518" s="566"/>
    </row>
    <row r="519" spans="18:25" x14ac:dyDescent="0.25">
      <c r="R519" s="594"/>
      <c r="T519" s="592"/>
      <c r="U519" s="595"/>
      <c r="W519" s="568"/>
      <c r="X519" s="568"/>
      <c r="Y519" s="566"/>
    </row>
    <row r="520" spans="18:25" x14ac:dyDescent="0.25">
      <c r="R520" s="594"/>
      <c r="T520" s="592"/>
      <c r="U520" s="595"/>
      <c r="W520" s="568"/>
      <c r="X520" s="568"/>
      <c r="Y520" s="566"/>
    </row>
    <row r="521" spans="18:25" x14ac:dyDescent="0.25">
      <c r="R521" s="594"/>
      <c r="T521" s="592"/>
      <c r="U521" s="595"/>
      <c r="W521" s="568"/>
      <c r="X521" s="568"/>
      <c r="Y521" s="566"/>
    </row>
    <row r="522" spans="18:25" x14ac:dyDescent="0.25">
      <c r="R522" s="594"/>
      <c r="T522" s="592"/>
      <c r="U522" s="595"/>
      <c r="W522" s="568"/>
      <c r="X522" s="568"/>
      <c r="Y522" s="566"/>
    </row>
    <row r="523" spans="18:25" x14ac:dyDescent="0.25">
      <c r="R523" s="594"/>
      <c r="T523" s="592"/>
      <c r="U523" s="595"/>
      <c r="W523" s="568"/>
      <c r="X523" s="568"/>
      <c r="Y523" s="566"/>
    </row>
    <row r="524" spans="18:25" x14ac:dyDescent="0.25">
      <c r="R524" s="594"/>
      <c r="T524" s="592"/>
      <c r="U524" s="595"/>
      <c r="W524" s="568"/>
      <c r="X524" s="568"/>
      <c r="Y524" s="566"/>
    </row>
    <row r="525" spans="18:25" x14ac:dyDescent="0.25">
      <c r="R525" s="594"/>
      <c r="T525" s="592"/>
      <c r="U525" s="595"/>
      <c r="W525" s="568"/>
      <c r="X525" s="568"/>
      <c r="Y525" s="566"/>
    </row>
    <row r="526" spans="18:25" x14ac:dyDescent="0.25">
      <c r="R526" s="594"/>
      <c r="T526" s="592"/>
      <c r="U526" s="595"/>
      <c r="W526" s="568"/>
      <c r="X526" s="568"/>
      <c r="Y526" s="566"/>
    </row>
    <row r="527" spans="18:25" x14ac:dyDescent="0.25">
      <c r="R527" s="594"/>
      <c r="T527" s="592"/>
      <c r="U527" s="595"/>
      <c r="W527" s="568"/>
      <c r="X527" s="568"/>
      <c r="Y527" s="566"/>
    </row>
    <row r="528" spans="18:25" x14ac:dyDescent="0.25">
      <c r="R528" s="594"/>
      <c r="T528" s="592"/>
      <c r="U528" s="595"/>
      <c r="W528" s="568"/>
      <c r="X528" s="568"/>
      <c r="Y528" s="566"/>
    </row>
    <row r="529" spans="18:25" x14ac:dyDescent="0.25">
      <c r="R529" s="594"/>
      <c r="T529" s="592"/>
      <c r="U529" s="595"/>
      <c r="W529" s="568"/>
      <c r="X529" s="568"/>
      <c r="Y529" s="566"/>
    </row>
    <row r="530" spans="18:25" x14ac:dyDescent="0.25">
      <c r="R530" s="594"/>
      <c r="T530" s="592"/>
      <c r="U530" s="595"/>
      <c r="W530" s="568"/>
      <c r="X530" s="568"/>
      <c r="Y530" s="566"/>
    </row>
    <row r="531" spans="18:25" x14ac:dyDescent="0.25">
      <c r="R531" s="594"/>
      <c r="T531" s="592"/>
      <c r="U531" s="595"/>
      <c r="W531" s="568"/>
      <c r="X531" s="568"/>
      <c r="Y531" s="566"/>
    </row>
    <row r="532" spans="18:25" x14ac:dyDescent="0.25">
      <c r="R532" s="594"/>
      <c r="T532" s="592"/>
      <c r="U532" s="595"/>
      <c r="W532" s="568"/>
      <c r="X532" s="568"/>
      <c r="Y532" s="566"/>
    </row>
    <row r="533" spans="18:25" x14ac:dyDescent="0.25">
      <c r="R533" s="594"/>
      <c r="T533" s="592"/>
      <c r="U533" s="595"/>
      <c r="W533" s="568"/>
      <c r="X533" s="568"/>
      <c r="Y533" s="566"/>
    </row>
    <row r="534" spans="18:25" x14ac:dyDescent="0.25">
      <c r="R534" s="594"/>
      <c r="T534" s="592"/>
      <c r="U534" s="595"/>
      <c r="W534" s="568"/>
      <c r="X534" s="568"/>
      <c r="Y534" s="566"/>
    </row>
    <row r="535" spans="18:25" x14ac:dyDescent="0.25">
      <c r="R535" s="594"/>
      <c r="T535" s="592"/>
      <c r="U535" s="595"/>
      <c r="W535" s="568"/>
      <c r="X535" s="568"/>
      <c r="Y535" s="566"/>
    </row>
    <row r="536" spans="18:25" x14ac:dyDescent="0.25">
      <c r="R536" s="594"/>
      <c r="T536" s="592"/>
      <c r="U536" s="595"/>
      <c r="W536" s="568"/>
      <c r="X536" s="568"/>
      <c r="Y536" s="566"/>
    </row>
    <row r="537" spans="18:25" x14ac:dyDescent="0.25">
      <c r="R537" s="594"/>
      <c r="T537" s="592"/>
      <c r="U537" s="595"/>
      <c r="W537" s="568"/>
      <c r="X537" s="568"/>
      <c r="Y537" s="566"/>
    </row>
    <row r="538" spans="18:25" x14ac:dyDescent="0.25">
      <c r="R538" s="594"/>
      <c r="T538" s="592"/>
      <c r="U538" s="595"/>
      <c r="W538" s="568"/>
      <c r="X538" s="568"/>
      <c r="Y538" s="566"/>
    </row>
    <row r="539" spans="18:25" x14ac:dyDescent="0.25">
      <c r="R539" s="594"/>
      <c r="T539" s="592"/>
      <c r="U539" s="595"/>
      <c r="W539" s="568"/>
      <c r="X539" s="568"/>
      <c r="Y539" s="566"/>
    </row>
    <row r="540" spans="18:25" x14ac:dyDescent="0.25">
      <c r="R540" s="594"/>
      <c r="T540" s="592"/>
      <c r="U540" s="595"/>
      <c r="W540" s="568"/>
      <c r="X540" s="568"/>
      <c r="Y540" s="566"/>
    </row>
    <row r="541" spans="18:25" x14ac:dyDescent="0.25">
      <c r="R541" s="594"/>
      <c r="T541" s="592"/>
      <c r="U541" s="595"/>
      <c r="W541" s="568"/>
      <c r="X541" s="568"/>
      <c r="Y541" s="566"/>
    </row>
    <row r="542" spans="18:25" x14ac:dyDescent="0.25">
      <c r="R542" s="594"/>
      <c r="T542" s="592"/>
      <c r="U542" s="595"/>
      <c r="W542" s="568"/>
      <c r="X542" s="568"/>
      <c r="Y542" s="566"/>
    </row>
    <row r="543" spans="18:25" x14ac:dyDescent="0.25">
      <c r="R543" s="594"/>
      <c r="T543" s="592"/>
      <c r="U543" s="595"/>
      <c r="W543" s="568"/>
      <c r="X543" s="568"/>
      <c r="Y543" s="566"/>
    </row>
    <row r="544" spans="18:25" x14ac:dyDescent="0.25">
      <c r="R544" s="594"/>
      <c r="T544" s="592"/>
      <c r="U544" s="595"/>
      <c r="W544" s="568"/>
      <c r="X544" s="568"/>
      <c r="Y544" s="566"/>
    </row>
    <row r="545" spans="18:25" x14ac:dyDescent="0.25">
      <c r="R545" s="594"/>
      <c r="T545" s="592"/>
      <c r="U545" s="595"/>
      <c r="W545" s="568"/>
      <c r="X545" s="568"/>
      <c r="Y545" s="566"/>
    </row>
    <row r="546" spans="18:25" x14ac:dyDescent="0.25">
      <c r="R546" s="594"/>
      <c r="T546" s="592"/>
      <c r="U546" s="595"/>
      <c r="W546" s="568"/>
      <c r="X546" s="568"/>
      <c r="Y546" s="566"/>
    </row>
    <row r="547" spans="18:25" x14ac:dyDescent="0.25">
      <c r="R547" s="594"/>
      <c r="T547" s="592"/>
      <c r="U547" s="595"/>
      <c r="W547" s="568"/>
      <c r="X547" s="568"/>
      <c r="Y547" s="566"/>
    </row>
    <row r="548" spans="18:25" x14ac:dyDescent="0.25">
      <c r="R548" s="594"/>
      <c r="T548" s="592"/>
      <c r="U548" s="595"/>
      <c r="W548" s="568"/>
      <c r="X548" s="568"/>
      <c r="Y548" s="566"/>
    </row>
    <row r="549" spans="18:25" x14ac:dyDescent="0.25">
      <c r="R549" s="594"/>
      <c r="T549" s="592"/>
      <c r="U549" s="595"/>
      <c r="W549" s="568"/>
      <c r="X549" s="568"/>
      <c r="Y549" s="566"/>
    </row>
    <row r="550" spans="18:25" x14ac:dyDescent="0.25">
      <c r="R550" s="594"/>
      <c r="T550" s="592"/>
      <c r="U550" s="595"/>
      <c r="W550" s="568"/>
      <c r="X550" s="568"/>
      <c r="Y550" s="566"/>
    </row>
    <row r="551" spans="18:25" x14ac:dyDescent="0.25">
      <c r="R551" s="594"/>
      <c r="T551" s="592"/>
      <c r="U551" s="595"/>
      <c r="W551" s="568"/>
      <c r="X551" s="568"/>
      <c r="Y551" s="566"/>
    </row>
    <row r="552" spans="18:25" x14ac:dyDescent="0.25">
      <c r="R552" s="594"/>
      <c r="T552" s="592"/>
      <c r="U552" s="595"/>
      <c r="W552" s="568"/>
      <c r="X552" s="568"/>
      <c r="Y552" s="566"/>
    </row>
    <row r="553" spans="18:25" x14ac:dyDescent="0.25">
      <c r="R553" s="594"/>
      <c r="T553" s="592"/>
      <c r="U553" s="595"/>
      <c r="W553" s="568"/>
      <c r="X553" s="568"/>
      <c r="Y553" s="566"/>
    </row>
    <row r="554" spans="18:25" x14ac:dyDescent="0.25">
      <c r="R554" s="594"/>
      <c r="T554" s="592"/>
      <c r="U554" s="595"/>
      <c r="W554" s="568"/>
      <c r="X554" s="568"/>
      <c r="Y554" s="566"/>
    </row>
    <row r="555" spans="18:25" x14ac:dyDescent="0.25">
      <c r="R555" s="594"/>
      <c r="T555" s="592"/>
      <c r="U555" s="595"/>
      <c r="W555" s="568"/>
      <c r="X555" s="568"/>
      <c r="Y555" s="566"/>
    </row>
    <row r="556" spans="18:25" x14ac:dyDescent="0.25">
      <c r="R556" s="594"/>
      <c r="T556" s="592"/>
      <c r="U556" s="595"/>
      <c r="W556" s="568"/>
      <c r="X556" s="568"/>
      <c r="Y556" s="566"/>
    </row>
    <row r="557" spans="18:25" x14ac:dyDescent="0.25">
      <c r="R557" s="594"/>
      <c r="T557" s="592"/>
      <c r="U557" s="595"/>
      <c r="W557" s="568"/>
      <c r="X557" s="568"/>
      <c r="Y557" s="566"/>
    </row>
    <row r="558" spans="18:25" x14ac:dyDescent="0.25">
      <c r="R558" s="594"/>
      <c r="T558" s="592"/>
      <c r="U558" s="595"/>
      <c r="W558" s="568"/>
      <c r="X558" s="568"/>
      <c r="Y558" s="566"/>
    </row>
    <row r="559" spans="18:25" x14ac:dyDescent="0.25">
      <c r="R559" s="594"/>
      <c r="T559" s="592"/>
      <c r="U559" s="595"/>
      <c r="W559" s="568"/>
      <c r="X559" s="568"/>
      <c r="Y559" s="566"/>
    </row>
    <row r="560" spans="18:25" x14ac:dyDescent="0.25">
      <c r="R560" s="594"/>
      <c r="T560" s="592"/>
      <c r="U560" s="595"/>
      <c r="W560" s="568"/>
      <c r="X560" s="568"/>
      <c r="Y560" s="566"/>
    </row>
    <row r="561" spans="18:25" x14ac:dyDescent="0.25">
      <c r="R561" s="594"/>
      <c r="T561" s="592"/>
      <c r="U561" s="595"/>
      <c r="W561" s="568"/>
      <c r="X561" s="568"/>
      <c r="Y561" s="566"/>
    </row>
    <row r="562" spans="18:25" x14ac:dyDescent="0.25">
      <c r="R562" s="594"/>
      <c r="T562" s="592"/>
      <c r="U562" s="595"/>
      <c r="W562" s="568"/>
      <c r="X562" s="568"/>
      <c r="Y562" s="566"/>
    </row>
    <row r="563" spans="18:25" x14ac:dyDescent="0.25">
      <c r="R563" s="594"/>
      <c r="T563" s="592"/>
      <c r="U563" s="595"/>
      <c r="W563" s="568"/>
      <c r="X563" s="568"/>
      <c r="Y563" s="566"/>
    </row>
    <row r="564" spans="18:25" x14ac:dyDescent="0.25">
      <c r="R564" s="594"/>
      <c r="T564" s="592"/>
      <c r="U564" s="595"/>
      <c r="W564" s="568"/>
      <c r="X564" s="568"/>
      <c r="Y564" s="566"/>
    </row>
    <row r="565" spans="18:25" x14ac:dyDescent="0.25">
      <c r="R565" s="594"/>
      <c r="T565" s="592"/>
      <c r="U565" s="595"/>
      <c r="W565" s="568"/>
      <c r="X565" s="568"/>
      <c r="Y565" s="566"/>
    </row>
    <row r="566" spans="18:25" x14ac:dyDescent="0.25">
      <c r="R566" s="594"/>
      <c r="T566" s="592"/>
      <c r="U566" s="595"/>
      <c r="W566" s="568"/>
      <c r="X566" s="568"/>
      <c r="Y566" s="566"/>
    </row>
    <row r="567" spans="18:25" x14ac:dyDescent="0.25">
      <c r="R567" s="594"/>
      <c r="T567" s="592"/>
      <c r="U567" s="595"/>
      <c r="W567" s="568"/>
      <c r="X567" s="568"/>
      <c r="Y567" s="566"/>
    </row>
    <row r="568" spans="18:25" x14ac:dyDescent="0.25">
      <c r="R568" s="594"/>
      <c r="T568" s="592"/>
      <c r="U568" s="595"/>
      <c r="W568" s="568"/>
      <c r="X568" s="568"/>
      <c r="Y568" s="566"/>
    </row>
    <row r="569" spans="18:25" x14ac:dyDescent="0.25">
      <c r="R569" s="594"/>
      <c r="T569" s="592"/>
      <c r="U569" s="595"/>
      <c r="W569" s="568"/>
      <c r="X569" s="568"/>
      <c r="Y569" s="566"/>
    </row>
    <row r="570" spans="18:25" x14ac:dyDescent="0.25">
      <c r="R570" s="594"/>
      <c r="T570" s="592"/>
      <c r="U570" s="595"/>
      <c r="W570" s="568"/>
      <c r="X570" s="568"/>
      <c r="Y570" s="566"/>
    </row>
    <row r="571" spans="18:25" x14ac:dyDescent="0.25">
      <c r="R571" s="594"/>
      <c r="T571" s="592"/>
      <c r="U571" s="595"/>
      <c r="W571" s="568"/>
      <c r="X571" s="568"/>
      <c r="Y571" s="566"/>
    </row>
    <row r="572" spans="18:25" x14ac:dyDescent="0.25">
      <c r="R572" s="594"/>
      <c r="T572" s="592"/>
      <c r="U572" s="595"/>
      <c r="W572" s="568"/>
      <c r="X572" s="568"/>
      <c r="Y572" s="566"/>
    </row>
    <row r="573" spans="18:25" x14ac:dyDescent="0.25">
      <c r="R573" s="594"/>
      <c r="T573" s="592"/>
      <c r="U573" s="595"/>
      <c r="W573" s="568"/>
      <c r="X573" s="568"/>
      <c r="Y573" s="566"/>
    </row>
    <row r="574" spans="18:25" x14ac:dyDescent="0.25">
      <c r="R574" s="594"/>
      <c r="T574" s="592"/>
      <c r="U574" s="595"/>
      <c r="W574" s="568"/>
      <c r="X574" s="568"/>
      <c r="Y574" s="566"/>
    </row>
    <row r="575" spans="18:25" x14ac:dyDescent="0.25">
      <c r="R575" s="594"/>
      <c r="T575" s="592"/>
      <c r="U575" s="595"/>
      <c r="W575" s="568"/>
      <c r="X575" s="568"/>
      <c r="Y575" s="566"/>
    </row>
    <row r="576" spans="18:25" x14ac:dyDescent="0.25">
      <c r="R576" s="594"/>
      <c r="T576" s="592"/>
      <c r="U576" s="595"/>
      <c r="W576" s="568"/>
      <c r="X576" s="568"/>
      <c r="Y576" s="566"/>
    </row>
    <row r="577" spans="18:25" x14ac:dyDescent="0.25">
      <c r="R577" s="594"/>
      <c r="T577" s="592"/>
      <c r="U577" s="595"/>
      <c r="W577" s="568"/>
      <c r="X577" s="568"/>
      <c r="Y577" s="566"/>
    </row>
    <row r="578" spans="18:25" x14ac:dyDescent="0.25">
      <c r="R578" s="594"/>
      <c r="T578" s="592"/>
      <c r="U578" s="595"/>
      <c r="W578" s="568"/>
      <c r="X578" s="568"/>
      <c r="Y578" s="566"/>
    </row>
    <row r="579" spans="18:25" x14ac:dyDescent="0.25">
      <c r="R579" s="594"/>
      <c r="T579" s="592"/>
      <c r="U579" s="595"/>
      <c r="W579" s="568"/>
      <c r="X579" s="568"/>
      <c r="Y579" s="566"/>
    </row>
    <row r="580" spans="18:25" x14ac:dyDescent="0.25">
      <c r="R580" s="594"/>
      <c r="T580" s="592"/>
      <c r="U580" s="595"/>
      <c r="W580" s="568"/>
      <c r="X580" s="568"/>
      <c r="Y580" s="566"/>
    </row>
    <row r="581" spans="18:25" x14ac:dyDescent="0.25">
      <c r="R581" s="594"/>
      <c r="T581" s="592"/>
      <c r="U581" s="595"/>
      <c r="W581" s="568"/>
      <c r="X581" s="568"/>
      <c r="Y581" s="566"/>
    </row>
    <row r="582" spans="18:25" x14ac:dyDescent="0.25">
      <c r="R582" s="594"/>
      <c r="T582" s="592"/>
      <c r="U582" s="595"/>
      <c r="W582" s="568"/>
      <c r="X582" s="568"/>
      <c r="Y582" s="566"/>
    </row>
    <row r="583" spans="18:25" x14ac:dyDescent="0.25">
      <c r="R583" s="594"/>
      <c r="T583" s="592"/>
      <c r="U583" s="595"/>
      <c r="W583" s="568"/>
      <c r="X583" s="568"/>
      <c r="Y583" s="566"/>
    </row>
    <row r="584" spans="18:25" x14ac:dyDescent="0.25">
      <c r="R584" s="594"/>
      <c r="T584" s="592"/>
      <c r="U584" s="595"/>
      <c r="W584" s="568"/>
      <c r="X584" s="568"/>
      <c r="Y584" s="566"/>
    </row>
    <row r="585" spans="18:25" x14ac:dyDescent="0.25">
      <c r="R585" s="594"/>
      <c r="T585" s="592"/>
      <c r="U585" s="595"/>
      <c r="W585" s="568"/>
      <c r="X585" s="568"/>
      <c r="Y585" s="566"/>
    </row>
    <row r="586" spans="18:25" x14ac:dyDescent="0.25">
      <c r="R586" s="594"/>
      <c r="T586" s="592"/>
      <c r="U586" s="595"/>
      <c r="W586" s="568"/>
      <c r="X586" s="568"/>
      <c r="Y586" s="566"/>
    </row>
    <row r="587" spans="18:25" x14ac:dyDescent="0.25">
      <c r="R587" s="594"/>
      <c r="T587" s="592"/>
      <c r="U587" s="595"/>
      <c r="W587" s="568"/>
      <c r="X587" s="568"/>
      <c r="Y587" s="566"/>
    </row>
    <row r="588" spans="18:25" x14ac:dyDescent="0.25">
      <c r="R588" s="594"/>
      <c r="T588" s="592"/>
      <c r="U588" s="595"/>
      <c r="W588" s="568"/>
      <c r="X588" s="568"/>
      <c r="Y588" s="566"/>
    </row>
    <row r="589" spans="18:25" x14ac:dyDescent="0.25">
      <c r="R589" s="594"/>
      <c r="T589" s="592"/>
      <c r="U589" s="595"/>
      <c r="W589" s="568"/>
      <c r="X589" s="568"/>
      <c r="Y589" s="566"/>
    </row>
    <row r="590" spans="18:25" x14ac:dyDescent="0.25">
      <c r="R590" s="594"/>
      <c r="T590" s="592"/>
      <c r="U590" s="595"/>
      <c r="W590" s="568"/>
      <c r="X590" s="568"/>
      <c r="Y590" s="566"/>
    </row>
    <row r="591" spans="18:25" x14ac:dyDescent="0.25">
      <c r="R591" s="594"/>
      <c r="T591" s="592"/>
      <c r="U591" s="595"/>
      <c r="W591" s="568"/>
      <c r="X591" s="568"/>
      <c r="Y591" s="566"/>
    </row>
    <row r="592" spans="18:25" x14ac:dyDescent="0.25">
      <c r="R592" s="594"/>
      <c r="T592" s="592"/>
      <c r="U592" s="595"/>
      <c r="W592" s="568"/>
      <c r="X592" s="568"/>
      <c r="Y592" s="566"/>
    </row>
    <row r="593" spans="18:25" x14ac:dyDescent="0.25">
      <c r="R593" s="594"/>
      <c r="T593" s="592"/>
      <c r="U593" s="595"/>
      <c r="W593" s="568"/>
      <c r="X593" s="568"/>
      <c r="Y593" s="566"/>
    </row>
    <row r="594" spans="18:25" x14ac:dyDescent="0.25">
      <c r="R594" s="594"/>
      <c r="T594" s="592"/>
      <c r="U594" s="595"/>
      <c r="W594" s="568"/>
      <c r="X594" s="568"/>
      <c r="Y594" s="566"/>
    </row>
    <row r="595" spans="18:25" x14ac:dyDescent="0.25">
      <c r="R595" s="594"/>
      <c r="T595" s="592"/>
      <c r="U595" s="595"/>
      <c r="W595" s="568"/>
      <c r="X595" s="568"/>
      <c r="Y595" s="566"/>
    </row>
    <row r="596" spans="18:25" x14ac:dyDescent="0.25">
      <c r="R596" s="594"/>
      <c r="T596" s="592"/>
      <c r="U596" s="595"/>
      <c r="W596" s="568"/>
      <c r="X596" s="568"/>
      <c r="Y596" s="566"/>
    </row>
    <row r="597" spans="18:25" x14ac:dyDescent="0.25">
      <c r="R597" s="594"/>
      <c r="T597" s="592"/>
      <c r="U597" s="595"/>
      <c r="W597" s="568"/>
      <c r="X597" s="568"/>
      <c r="Y597" s="566"/>
    </row>
    <row r="598" spans="18:25" x14ac:dyDescent="0.25">
      <c r="R598" s="594"/>
      <c r="T598" s="592"/>
      <c r="U598" s="595"/>
      <c r="W598" s="568"/>
      <c r="X598" s="568"/>
      <c r="Y598" s="566"/>
    </row>
    <row r="599" spans="18:25" x14ac:dyDescent="0.25">
      <c r="R599" s="594"/>
      <c r="T599" s="592"/>
      <c r="U599" s="595"/>
      <c r="W599" s="568"/>
      <c r="X599" s="568"/>
      <c r="Y599" s="566"/>
    </row>
    <row r="600" spans="18:25" x14ac:dyDescent="0.25">
      <c r="R600" s="594"/>
      <c r="T600" s="592"/>
      <c r="U600" s="595"/>
      <c r="W600" s="568"/>
      <c r="X600" s="568"/>
      <c r="Y600" s="566"/>
    </row>
    <row r="601" spans="18:25" x14ac:dyDescent="0.25">
      <c r="R601" s="594"/>
      <c r="T601" s="592"/>
      <c r="U601" s="595"/>
      <c r="W601" s="568"/>
      <c r="X601" s="568"/>
      <c r="Y601" s="566"/>
    </row>
    <row r="602" spans="18:25" x14ac:dyDescent="0.25">
      <c r="R602" s="594"/>
      <c r="T602" s="592"/>
      <c r="U602" s="595"/>
      <c r="W602" s="568"/>
      <c r="X602" s="568"/>
      <c r="Y602" s="566"/>
    </row>
    <row r="603" spans="18:25" x14ac:dyDescent="0.25">
      <c r="R603" s="594"/>
      <c r="T603" s="592"/>
      <c r="U603" s="595"/>
      <c r="W603" s="568"/>
      <c r="X603" s="568"/>
      <c r="Y603" s="566"/>
    </row>
    <row r="604" spans="18:25" x14ac:dyDescent="0.25">
      <c r="R604" s="594"/>
      <c r="T604" s="592"/>
      <c r="U604" s="595"/>
      <c r="W604" s="568"/>
      <c r="X604" s="568"/>
      <c r="Y604" s="566"/>
    </row>
    <row r="605" spans="18:25" x14ac:dyDescent="0.25">
      <c r="R605" s="594"/>
      <c r="T605" s="592"/>
      <c r="U605" s="595"/>
      <c r="W605" s="568"/>
      <c r="X605" s="568"/>
      <c r="Y605" s="566"/>
    </row>
    <row r="606" spans="18:25" x14ac:dyDescent="0.25">
      <c r="R606" s="594"/>
      <c r="T606" s="592"/>
      <c r="U606" s="595"/>
      <c r="W606" s="568"/>
      <c r="X606" s="568"/>
      <c r="Y606" s="566"/>
    </row>
    <row r="607" spans="18:25" x14ac:dyDescent="0.25">
      <c r="R607" s="594"/>
      <c r="T607" s="592"/>
      <c r="U607" s="595"/>
      <c r="W607" s="568"/>
      <c r="X607" s="568"/>
      <c r="Y607" s="566"/>
    </row>
    <row r="608" spans="18:25" x14ac:dyDescent="0.25">
      <c r="R608" s="594"/>
      <c r="T608" s="592"/>
      <c r="U608" s="595"/>
      <c r="W608" s="568"/>
      <c r="X608" s="568"/>
      <c r="Y608" s="566"/>
    </row>
    <row r="609" spans="18:25" x14ac:dyDescent="0.25">
      <c r="R609" s="594"/>
      <c r="T609" s="592"/>
      <c r="U609" s="595"/>
      <c r="W609" s="568"/>
      <c r="X609" s="568"/>
      <c r="Y609" s="566"/>
    </row>
    <row r="610" spans="18:25" x14ac:dyDescent="0.25">
      <c r="R610" s="594"/>
      <c r="T610" s="592"/>
      <c r="U610" s="595"/>
      <c r="W610" s="568"/>
      <c r="X610" s="568"/>
      <c r="Y610" s="566"/>
    </row>
    <row r="611" spans="18:25" x14ac:dyDescent="0.25">
      <c r="R611" s="594"/>
      <c r="T611" s="592"/>
      <c r="U611" s="595"/>
      <c r="W611" s="568"/>
      <c r="X611" s="568"/>
      <c r="Y611" s="566"/>
    </row>
    <row r="612" spans="18:25" x14ac:dyDescent="0.25">
      <c r="R612" s="594"/>
      <c r="T612" s="592"/>
      <c r="U612" s="595"/>
      <c r="W612" s="568"/>
      <c r="X612" s="568"/>
      <c r="Y612" s="566"/>
    </row>
    <row r="613" spans="18:25" x14ac:dyDescent="0.25">
      <c r="R613" s="594"/>
      <c r="T613" s="592"/>
      <c r="U613" s="595"/>
      <c r="W613" s="568"/>
      <c r="X613" s="568"/>
      <c r="Y613" s="566"/>
    </row>
    <row r="614" spans="18:25" x14ac:dyDescent="0.25">
      <c r="R614" s="594"/>
      <c r="T614" s="592"/>
      <c r="U614" s="595"/>
      <c r="W614" s="568"/>
      <c r="X614" s="568"/>
      <c r="Y614" s="566"/>
    </row>
    <row r="615" spans="18:25" x14ac:dyDescent="0.25">
      <c r="R615" s="594"/>
      <c r="T615" s="592"/>
      <c r="U615" s="595"/>
      <c r="W615" s="568"/>
      <c r="X615" s="568"/>
      <c r="Y615" s="566"/>
    </row>
    <row r="616" spans="18:25" x14ac:dyDescent="0.25">
      <c r="R616" s="594"/>
      <c r="T616" s="592"/>
      <c r="U616" s="595"/>
      <c r="W616" s="568"/>
      <c r="X616" s="568"/>
      <c r="Y616" s="566"/>
    </row>
    <row r="617" spans="18:25" x14ac:dyDescent="0.25">
      <c r="R617" s="594"/>
      <c r="T617" s="592"/>
      <c r="U617" s="595"/>
      <c r="W617" s="568"/>
      <c r="X617" s="568"/>
      <c r="Y617" s="566"/>
    </row>
    <row r="618" spans="18:25" x14ac:dyDescent="0.25">
      <c r="R618" s="594"/>
      <c r="T618" s="592"/>
      <c r="U618" s="595"/>
      <c r="W618" s="568"/>
      <c r="X618" s="568"/>
      <c r="Y618" s="566"/>
    </row>
    <row r="619" spans="18:25" x14ac:dyDescent="0.25">
      <c r="R619" s="594"/>
      <c r="T619" s="592"/>
      <c r="U619" s="595"/>
      <c r="W619" s="568"/>
      <c r="X619" s="568"/>
      <c r="Y619" s="566"/>
    </row>
    <row r="620" spans="18:25" x14ac:dyDescent="0.25">
      <c r="R620" s="594"/>
      <c r="T620" s="592"/>
      <c r="U620" s="595"/>
      <c r="W620" s="568"/>
      <c r="X620" s="568"/>
      <c r="Y620" s="566"/>
    </row>
    <row r="621" spans="18:25" x14ac:dyDescent="0.25">
      <c r="R621" s="594"/>
      <c r="T621" s="592"/>
      <c r="U621" s="595"/>
      <c r="W621" s="568"/>
      <c r="X621" s="568"/>
      <c r="Y621" s="566"/>
    </row>
    <row r="622" spans="18:25" x14ac:dyDescent="0.25">
      <c r="R622" s="594"/>
      <c r="T622" s="592"/>
      <c r="U622" s="595"/>
      <c r="W622" s="568"/>
      <c r="X622" s="568"/>
      <c r="Y622" s="566"/>
    </row>
    <row r="623" spans="18:25" x14ac:dyDescent="0.25">
      <c r="R623" s="594"/>
      <c r="T623" s="592"/>
      <c r="U623" s="595"/>
      <c r="W623" s="568"/>
      <c r="X623" s="568"/>
      <c r="Y623" s="566"/>
    </row>
    <row r="624" spans="18:25" x14ac:dyDescent="0.25">
      <c r="R624" s="594"/>
      <c r="T624" s="592"/>
      <c r="U624" s="595"/>
      <c r="W624" s="568"/>
      <c r="X624" s="568"/>
      <c r="Y624" s="566"/>
    </row>
    <row r="625" spans="18:25" x14ac:dyDescent="0.25">
      <c r="R625" s="594"/>
      <c r="T625" s="592"/>
      <c r="U625" s="595"/>
      <c r="W625" s="568"/>
      <c r="X625" s="568"/>
      <c r="Y625" s="566"/>
    </row>
    <row r="626" spans="18:25" x14ac:dyDescent="0.25">
      <c r="R626" s="594"/>
      <c r="T626" s="592"/>
      <c r="U626" s="595"/>
      <c r="W626" s="568"/>
      <c r="X626" s="568"/>
      <c r="Y626" s="566"/>
    </row>
    <row r="627" spans="18:25" x14ac:dyDescent="0.25">
      <c r="R627" s="594"/>
      <c r="T627" s="592"/>
      <c r="U627" s="595"/>
      <c r="W627" s="568"/>
      <c r="X627" s="568"/>
      <c r="Y627" s="566"/>
    </row>
    <row r="628" spans="18:25" x14ac:dyDescent="0.25">
      <c r="R628" s="594"/>
      <c r="T628" s="592"/>
      <c r="U628" s="595"/>
      <c r="W628" s="568"/>
      <c r="X628" s="568"/>
      <c r="Y628" s="566"/>
    </row>
    <row r="629" spans="18:25" x14ac:dyDescent="0.25">
      <c r="R629" s="594"/>
      <c r="T629" s="592"/>
      <c r="U629" s="595"/>
      <c r="W629" s="568"/>
      <c r="X629" s="568"/>
      <c r="Y629" s="566"/>
    </row>
    <row r="630" spans="18:25" x14ac:dyDescent="0.25">
      <c r="R630" s="594"/>
      <c r="T630" s="592"/>
      <c r="U630" s="595"/>
      <c r="W630" s="568"/>
      <c r="X630" s="568"/>
      <c r="Y630" s="566"/>
    </row>
    <row r="631" spans="18:25" x14ac:dyDescent="0.25">
      <c r="R631" s="594"/>
      <c r="T631" s="592"/>
      <c r="U631" s="595"/>
      <c r="W631" s="568"/>
      <c r="X631" s="568"/>
      <c r="Y631" s="566"/>
    </row>
    <row r="632" spans="18:25" x14ac:dyDescent="0.25">
      <c r="R632" s="594"/>
      <c r="T632" s="592"/>
      <c r="U632" s="595"/>
      <c r="W632" s="568"/>
      <c r="X632" s="568"/>
      <c r="Y632" s="566"/>
    </row>
    <row r="633" spans="18:25" x14ac:dyDescent="0.25">
      <c r="R633" s="594"/>
      <c r="T633" s="592"/>
      <c r="U633" s="595"/>
      <c r="W633" s="568"/>
      <c r="X633" s="568"/>
      <c r="Y633" s="566"/>
    </row>
    <row r="634" spans="18:25" x14ac:dyDescent="0.25">
      <c r="R634" s="594"/>
      <c r="T634" s="592"/>
      <c r="U634" s="595"/>
      <c r="W634" s="568"/>
      <c r="X634" s="568"/>
      <c r="Y634" s="566"/>
    </row>
    <row r="635" spans="18:25" x14ac:dyDescent="0.25">
      <c r="R635" s="594"/>
      <c r="T635" s="592"/>
      <c r="U635" s="595"/>
      <c r="W635" s="568"/>
      <c r="X635" s="568"/>
      <c r="Y635" s="566"/>
    </row>
    <row r="636" spans="18:25" x14ac:dyDescent="0.25">
      <c r="R636" s="594"/>
      <c r="T636" s="592"/>
      <c r="U636" s="595"/>
      <c r="W636" s="568"/>
      <c r="X636" s="568"/>
      <c r="Y636" s="566"/>
    </row>
    <row r="637" spans="18:25" x14ac:dyDescent="0.25">
      <c r="R637" s="594"/>
      <c r="T637" s="592"/>
      <c r="U637" s="595"/>
      <c r="W637" s="568"/>
      <c r="X637" s="568"/>
      <c r="Y637" s="566"/>
    </row>
    <row r="638" spans="18:25" x14ac:dyDescent="0.25">
      <c r="R638" s="594"/>
      <c r="T638" s="592"/>
      <c r="U638" s="595"/>
      <c r="W638" s="568"/>
      <c r="X638" s="568"/>
      <c r="Y638" s="566"/>
    </row>
    <row r="639" spans="18:25" x14ac:dyDescent="0.25">
      <c r="R639" s="594"/>
      <c r="T639" s="592"/>
      <c r="U639" s="595"/>
      <c r="W639" s="568"/>
      <c r="X639" s="568"/>
      <c r="Y639" s="566"/>
    </row>
    <row r="640" spans="18:25" x14ac:dyDescent="0.25">
      <c r="R640" s="594"/>
      <c r="T640" s="592"/>
      <c r="U640" s="595"/>
      <c r="W640" s="568"/>
      <c r="X640" s="568"/>
      <c r="Y640" s="566"/>
    </row>
    <row r="641" spans="18:25" x14ac:dyDescent="0.25">
      <c r="R641" s="594"/>
      <c r="T641" s="592"/>
      <c r="U641" s="595"/>
      <c r="W641" s="568"/>
      <c r="X641" s="568"/>
      <c r="Y641" s="566"/>
    </row>
    <row r="642" spans="18:25" x14ac:dyDescent="0.25">
      <c r="R642" s="594"/>
      <c r="T642" s="592"/>
      <c r="U642" s="595"/>
      <c r="W642" s="568"/>
      <c r="X642" s="568"/>
      <c r="Y642" s="566"/>
    </row>
    <row r="643" spans="18:25" x14ac:dyDescent="0.25">
      <c r="R643" s="594"/>
      <c r="T643" s="592"/>
      <c r="U643" s="595"/>
      <c r="W643" s="568"/>
      <c r="X643" s="568"/>
      <c r="Y643" s="566"/>
    </row>
    <row r="644" spans="18:25" x14ac:dyDescent="0.25">
      <c r="R644" s="594"/>
      <c r="T644" s="592"/>
      <c r="U644" s="595"/>
      <c r="W644" s="568"/>
      <c r="X644" s="568"/>
      <c r="Y644" s="566"/>
    </row>
    <row r="645" spans="18:25" x14ac:dyDescent="0.25">
      <c r="R645" s="594"/>
      <c r="T645" s="592"/>
      <c r="U645" s="595"/>
      <c r="W645" s="568"/>
      <c r="X645" s="568"/>
      <c r="Y645" s="566"/>
    </row>
    <row r="646" spans="18:25" x14ac:dyDescent="0.25">
      <c r="R646" s="594"/>
      <c r="T646" s="592"/>
      <c r="U646" s="595"/>
      <c r="W646" s="568"/>
      <c r="X646" s="568"/>
      <c r="Y646" s="566"/>
    </row>
    <row r="647" spans="18:25" x14ac:dyDescent="0.25">
      <c r="R647" s="594"/>
      <c r="T647" s="592"/>
      <c r="U647" s="595"/>
      <c r="W647" s="568"/>
      <c r="X647" s="568"/>
      <c r="Y647" s="566"/>
    </row>
    <row r="648" spans="18:25" x14ac:dyDescent="0.25">
      <c r="R648" s="594"/>
      <c r="T648" s="592"/>
      <c r="U648" s="595"/>
      <c r="W648" s="568"/>
      <c r="X648" s="568"/>
      <c r="Y648" s="566"/>
    </row>
    <row r="649" spans="18:25" x14ac:dyDescent="0.25">
      <c r="R649" s="594"/>
      <c r="T649" s="592"/>
      <c r="U649" s="595"/>
      <c r="W649" s="568"/>
      <c r="X649" s="568"/>
      <c r="Y649" s="566"/>
    </row>
    <row r="650" spans="18:25" x14ac:dyDescent="0.25">
      <c r="R650" s="594"/>
      <c r="T650" s="592"/>
      <c r="U650" s="595"/>
      <c r="W650" s="568"/>
      <c r="X650" s="568"/>
      <c r="Y650" s="566"/>
    </row>
    <row r="651" spans="18:25" x14ac:dyDescent="0.25">
      <c r="R651" s="594"/>
      <c r="T651" s="592"/>
      <c r="U651" s="595"/>
      <c r="W651" s="568"/>
      <c r="X651" s="568"/>
      <c r="Y651" s="566"/>
    </row>
    <row r="652" spans="18:25" x14ac:dyDescent="0.25">
      <c r="R652" s="594"/>
      <c r="T652" s="592"/>
      <c r="U652" s="595"/>
      <c r="W652" s="568"/>
      <c r="X652" s="568"/>
      <c r="Y652" s="566"/>
    </row>
    <row r="653" spans="18:25" x14ac:dyDescent="0.25">
      <c r="R653" s="594"/>
      <c r="T653" s="592"/>
      <c r="U653" s="595"/>
      <c r="W653" s="568"/>
      <c r="X653" s="568"/>
      <c r="Y653" s="566"/>
    </row>
    <row r="654" spans="18:25" x14ac:dyDescent="0.25">
      <c r="R654" s="594"/>
      <c r="T654" s="592"/>
      <c r="U654" s="595"/>
      <c r="W654" s="568"/>
      <c r="X654" s="568"/>
      <c r="Y654" s="566"/>
    </row>
    <row r="655" spans="18:25" x14ac:dyDescent="0.25">
      <c r="R655" s="594"/>
      <c r="T655" s="592"/>
      <c r="U655" s="595"/>
      <c r="W655" s="568"/>
      <c r="X655" s="568"/>
      <c r="Y655" s="566"/>
    </row>
    <row r="656" spans="18:25" x14ac:dyDescent="0.25">
      <c r="R656" s="594"/>
      <c r="T656" s="592"/>
      <c r="U656" s="595"/>
      <c r="W656" s="568"/>
      <c r="X656" s="568"/>
      <c r="Y656" s="566"/>
    </row>
    <row r="657" spans="18:25" x14ac:dyDescent="0.25">
      <c r="R657" s="594"/>
      <c r="T657" s="592"/>
      <c r="U657" s="595"/>
      <c r="W657" s="568"/>
      <c r="X657" s="568"/>
      <c r="Y657" s="566"/>
    </row>
    <row r="658" spans="18:25" x14ac:dyDescent="0.25">
      <c r="R658" s="594"/>
      <c r="T658" s="592"/>
      <c r="U658" s="595"/>
      <c r="W658" s="568"/>
      <c r="X658" s="568"/>
      <c r="Y658" s="566"/>
    </row>
    <row r="659" spans="18:25" x14ac:dyDescent="0.25">
      <c r="R659" s="594"/>
      <c r="T659" s="592"/>
      <c r="U659" s="595"/>
      <c r="W659" s="568"/>
      <c r="X659" s="568"/>
      <c r="Y659" s="566"/>
    </row>
    <row r="660" spans="18:25" x14ac:dyDescent="0.25">
      <c r="R660" s="594"/>
      <c r="T660" s="592"/>
      <c r="U660" s="595"/>
      <c r="W660" s="568"/>
      <c r="X660" s="568"/>
      <c r="Y660" s="566"/>
    </row>
    <row r="661" spans="18:25" x14ac:dyDescent="0.25">
      <c r="R661" s="594"/>
      <c r="T661" s="592"/>
      <c r="U661" s="595"/>
      <c r="W661" s="568"/>
      <c r="X661" s="568"/>
      <c r="Y661" s="566"/>
    </row>
    <row r="662" spans="18:25" x14ac:dyDescent="0.25">
      <c r="R662" s="594"/>
      <c r="T662" s="592"/>
      <c r="U662" s="595"/>
      <c r="W662" s="568"/>
      <c r="X662" s="568"/>
      <c r="Y662" s="566"/>
    </row>
    <row r="663" spans="18:25" x14ac:dyDescent="0.25">
      <c r="R663" s="594"/>
      <c r="T663" s="592"/>
      <c r="U663" s="595"/>
      <c r="W663" s="568"/>
      <c r="X663" s="568"/>
      <c r="Y663" s="566"/>
    </row>
    <row r="664" spans="18:25" x14ac:dyDescent="0.25">
      <c r="R664" s="594"/>
      <c r="T664" s="592"/>
      <c r="U664" s="595"/>
      <c r="W664" s="568"/>
      <c r="X664" s="568"/>
      <c r="Y664" s="566"/>
    </row>
    <row r="665" spans="18:25" x14ac:dyDescent="0.25">
      <c r="R665" s="594"/>
      <c r="T665" s="592"/>
      <c r="U665" s="595"/>
      <c r="W665" s="568"/>
      <c r="X665" s="568"/>
      <c r="Y665" s="566"/>
    </row>
    <row r="666" spans="18:25" x14ac:dyDescent="0.25">
      <c r="R666" s="594"/>
      <c r="T666" s="592"/>
      <c r="U666" s="595"/>
      <c r="W666" s="568"/>
      <c r="X666" s="568"/>
      <c r="Y666" s="566"/>
    </row>
    <row r="667" spans="18:25" x14ac:dyDescent="0.25">
      <c r="R667" s="594"/>
      <c r="T667" s="592"/>
      <c r="U667" s="595"/>
      <c r="W667" s="568"/>
      <c r="X667" s="568"/>
      <c r="Y667" s="566"/>
    </row>
    <row r="668" spans="18:25" x14ac:dyDescent="0.25">
      <c r="R668" s="594"/>
      <c r="T668" s="592"/>
      <c r="U668" s="595"/>
      <c r="W668" s="568"/>
      <c r="X668" s="568"/>
      <c r="Y668" s="566"/>
    </row>
    <row r="669" spans="18:25" x14ac:dyDescent="0.25">
      <c r="R669" s="594"/>
      <c r="T669" s="592"/>
      <c r="U669" s="595"/>
      <c r="W669" s="568"/>
      <c r="X669" s="568"/>
      <c r="Y669" s="566"/>
    </row>
    <row r="670" spans="18:25" x14ac:dyDescent="0.25">
      <c r="R670" s="594"/>
      <c r="T670" s="592"/>
      <c r="U670" s="595"/>
      <c r="W670" s="568"/>
      <c r="X670" s="568"/>
      <c r="Y670" s="566"/>
    </row>
    <row r="671" spans="18:25" x14ac:dyDescent="0.25">
      <c r="R671" s="594"/>
      <c r="T671" s="592"/>
      <c r="U671" s="595"/>
      <c r="W671" s="568"/>
      <c r="X671" s="568"/>
      <c r="Y671" s="566"/>
    </row>
    <row r="672" spans="18:25" x14ac:dyDescent="0.25">
      <c r="R672" s="594"/>
      <c r="T672" s="592"/>
      <c r="U672" s="595"/>
      <c r="W672" s="568"/>
      <c r="X672" s="568"/>
      <c r="Y672" s="566"/>
    </row>
    <row r="673" spans="18:25" x14ac:dyDescent="0.25">
      <c r="R673" s="594"/>
      <c r="T673" s="592"/>
      <c r="U673" s="595"/>
      <c r="W673" s="568"/>
      <c r="X673" s="568"/>
      <c r="Y673" s="566"/>
    </row>
    <row r="674" spans="18:25" x14ac:dyDescent="0.25">
      <c r="R674" s="594"/>
      <c r="T674" s="592"/>
      <c r="U674" s="595"/>
      <c r="W674" s="568"/>
      <c r="X674" s="568"/>
      <c r="Y674" s="566"/>
    </row>
    <row r="675" spans="18:25" x14ac:dyDescent="0.25">
      <c r="R675" s="594"/>
      <c r="T675" s="592"/>
      <c r="U675" s="595"/>
      <c r="W675" s="568"/>
      <c r="X675" s="568"/>
      <c r="Y675" s="566"/>
    </row>
    <row r="676" spans="18:25" x14ac:dyDescent="0.25">
      <c r="R676" s="594"/>
      <c r="T676" s="592"/>
      <c r="U676" s="595"/>
      <c r="W676" s="568"/>
      <c r="X676" s="568"/>
      <c r="Y676" s="566"/>
    </row>
    <row r="677" spans="18:25" x14ac:dyDescent="0.25">
      <c r="R677" s="594"/>
      <c r="T677" s="592"/>
      <c r="U677" s="595"/>
      <c r="W677" s="568"/>
      <c r="X677" s="568"/>
      <c r="Y677" s="566"/>
    </row>
    <row r="678" spans="18:25" x14ac:dyDescent="0.25">
      <c r="R678" s="594"/>
      <c r="T678" s="592"/>
      <c r="U678" s="595"/>
      <c r="W678" s="568"/>
      <c r="X678" s="568"/>
      <c r="Y678" s="566"/>
    </row>
    <row r="679" spans="18:25" x14ac:dyDescent="0.25">
      <c r="R679" s="594"/>
      <c r="T679" s="592"/>
      <c r="U679" s="595"/>
      <c r="W679" s="568"/>
      <c r="X679" s="568"/>
      <c r="Y679" s="566"/>
    </row>
    <row r="680" spans="18:25" x14ac:dyDescent="0.25">
      <c r="R680" s="594"/>
      <c r="T680" s="592"/>
      <c r="U680" s="595"/>
      <c r="W680" s="568"/>
      <c r="X680" s="568"/>
      <c r="Y680" s="566"/>
    </row>
    <row r="681" spans="18:25" x14ac:dyDescent="0.25">
      <c r="R681" s="594"/>
      <c r="T681" s="592"/>
      <c r="U681" s="595"/>
      <c r="W681" s="568"/>
      <c r="X681" s="568"/>
      <c r="Y681" s="566"/>
    </row>
    <row r="682" spans="18:25" x14ac:dyDescent="0.25">
      <c r="R682" s="594"/>
      <c r="T682" s="592"/>
      <c r="U682" s="595"/>
      <c r="W682" s="568"/>
      <c r="X682" s="568"/>
      <c r="Y682" s="566"/>
    </row>
    <row r="683" spans="18:25" x14ac:dyDescent="0.25">
      <c r="R683" s="594"/>
      <c r="T683" s="592"/>
      <c r="U683" s="595"/>
      <c r="W683" s="568"/>
      <c r="X683" s="568"/>
      <c r="Y683" s="566"/>
    </row>
    <row r="684" spans="18:25" x14ac:dyDescent="0.25">
      <c r="R684" s="594"/>
      <c r="T684" s="592"/>
      <c r="U684" s="595"/>
      <c r="W684" s="568"/>
      <c r="X684" s="568"/>
      <c r="Y684" s="566"/>
    </row>
    <row r="685" spans="18:25" x14ac:dyDescent="0.25">
      <c r="R685" s="594"/>
      <c r="T685" s="592"/>
      <c r="U685" s="595"/>
      <c r="W685" s="568"/>
      <c r="X685" s="568"/>
      <c r="Y685" s="566"/>
    </row>
    <row r="686" spans="18:25" x14ac:dyDescent="0.25">
      <c r="R686" s="594"/>
      <c r="T686" s="592"/>
      <c r="U686" s="595"/>
      <c r="W686" s="568"/>
      <c r="X686" s="568"/>
      <c r="Y686" s="566"/>
    </row>
    <row r="687" spans="18:25" x14ac:dyDescent="0.25">
      <c r="R687" s="594"/>
      <c r="T687" s="592"/>
      <c r="U687" s="595"/>
      <c r="W687" s="568"/>
      <c r="X687" s="568"/>
      <c r="Y687" s="566"/>
    </row>
    <row r="688" spans="18:25" x14ac:dyDescent="0.25">
      <c r="R688" s="594"/>
      <c r="T688" s="592"/>
      <c r="U688" s="595"/>
      <c r="W688" s="568"/>
      <c r="X688" s="568"/>
      <c r="Y688" s="566"/>
    </row>
    <row r="689" spans="18:25" x14ac:dyDescent="0.25">
      <c r="R689" s="594"/>
      <c r="T689" s="592"/>
      <c r="U689" s="595"/>
      <c r="W689" s="568"/>
      <c r="X689" s="568"/>
      <c r="Y689" s="566"/>
    </row>
    <row r="690" spans="18:25" x14ac:dyDescent="0.25">
      <c r="R690" s="594"/>
      <c r="T690" s="592"/>
      <c r="U690" s="595"/>
      <c r="W690" s="568"/>
      <c r="X690" s="568"/>
      <c r="Y690" s="566"/>
    </row>
    <row r="691" spans="18:25" x14ac:dyDescent="0.25">
      <c r="R691" s="594"/>
      <c r="T691" s="592"/>
      <c r="U691" s="595"/>
      <c r="W691" s="568"/>
      <c r="X691" s="568"/>
      <c r="Y691" s="566"/>
    </row>
    <row r="692" spans="18:25" x14ac:dyDescent="0.25">
      <c r="R692" s="594"/>
      <c r="T692" s="592"/>
      <c r="U692" s="595"/>
      <c r="W692" s="568"/>
      <c r="X692" s="568"/>
      <c r="Y692" s="566"/>
    </row>
    <row r="693" spans="18:25" x14ac:dyDescent="0.25">
      <c r="R693" s="594"/>
      <c r="T693" s="592"/>
      <c r="U693" s="595"/>
      <c r="W693" s="568"/>
      <c r="X693" s="568"/>
      <c r="Y693" s="566"/>
    </row>
    <row r="694" spans="18:25" x14ac:dyDescent="0.25">
      <c r="R694" s="594"/>
      <c r="T694" s="592"/>
      <c r="U694" s="595"/>
      <c r="W694" s="568"/>
      <c r="X694" s="568"/>
      <c r="Y694" s="566"/>
    </row>
    <row r="695" spans="18:25" x14ac:dyDescent="0.25">
      <c r="R695" s="594"/>
      <c r="T695" s="592"/>
      <c r="U695" s="595"/>
      <c r="W695" s="568"/>
      <c r="X695" s="568"/>
      <c r="Y695" s="566"/>
    </row>
    <row r="696" spans="18:25" x14ac:dyDescent="0.25">
      <c r="R696" s="594"/>
      <c r="T696" s="592"/>
      <c r="U696" s="595"/>
      <c r="W696" s="568"/>
      <c r="X696" s="568"/>
      <c r="Y696" s="566"/>
    </row>
    <row r="697" spans="18:25" x14ac:dyDescent="0.25">
      <c r="R697" s="594"/>
      <c r="T697" s="592"/>
      <c r="U697" s="595"/>
      <c r="W697" s="568"/>
      <c r="X697" s="568"/>
      <c r="Y697" s="566"/>
    </row>
    <row r="698" spans="18:25" x14ac:dyDescent="0.25">
      <c r="R698" s="594"/>
      <c r="T698" s="592"/>
      <c r="U698" s="595"/>
      <c r="W698" s="568"/>
      <c r="X698" s="568"/>
      <c r="Y698" s="566"/>
    </row>
    <row r="699" spans="18:25" x14ac:dyDescent="0.25">
      <c r="R699" s="594"/>
      <c r="T699" s="592"/>
      <c r="U699" s="595"/>
      <c r="W699" s="568"/>
      <c r="X699" s="568"/>
      <c r="Y699" s="566"/>
    </row>
    <row r="700" spans="18:25" x14ac:dyDescent="0.25">
      <c r="R700" s="594"/>
      <c r="T700" s="592"/>
      <c r="U700" s="595"/>
      <c r="W700" s="568"/>
      <c r="X700" s="568"/>
      <c r="Y700" s="566"/>
    </row>
    <row r="701" spans="18:25" x14ac:dyDescent="0.25">
      <c r="R701" s="594"/>
      <c r="T701" s="592"/>
      <c r="U701" s="595"/>
      <c r="W701" s="568"/>
      <c r="X701" s="568"/>
      <c r="Y701" s="566"/>
    </row>
    <row r="702" spans="18:25" x14ac:dyDescent="0.25">
      <c r="R702" s="594"/>
      <c r="T702" s="592"/>
      <c r="U702" s="595"/>
      <c r="W702" s="568"/>
      <c r="X702" s="568"/>
      <c r="Y702" s="566"/>
    </row>
    <row r="703" spans="18:25" x14ac:dyDescent="0.25">
      <c r="R703" s="594"/>
      <c r="T703" s="592"/>
      <c r="U703" s="595"/>
      <c r="W703" s="568"/>
      <c r="X703" s="568"/>
      <c r="Y703" s="566"/>
    </row>
    <row r="704" spans="18:25" x14ac:dyDescent="0.25">
      <c r="R704" s="594"/>
      <c r="T704" s="592"/>
      <c r="U704" s="595"/>
      <c r="W704" s="568"/>
      <c r="X704" s="568"/>
      <c r="Y704" s="566"/>
    </row>
    <row r="705" spans="18:25" x14ac:dyDescent="0.25">
      <c r="R705" s="594"/>
      <c r="T705" s="592"/>
      <c r="U705" s="595"/>
      <c r="W705" s="568"/>
      <c r="X705" s="568"/>
      <c r="Y705" s="566"/>
    </row>
    <row r="706" spans="18:25" x14ac:dyDescent="0.25">
      <c r="R706" s="594"/>
      <c r="T706" s="592"/>
      <c r="U706" s="595"/>
      <c r="W706" s="568"/>
      <c r="X706" s="568"/>
      <c r="Y706" s="566"/>
    </row>
    <row r="707" spans="18:25" x14ac:dyDescent="0.25">
      <c r="R707" s="594"/>
      <c r="T707" s="592"/>
      <c r="U707" s="595"/>
      <c r="W707" s="568"/>
      <c r="X707" s="568"/>
      <c r="Y707" s="566"/>
    </row>
    <row r="708" spans="18:25" x14ac:dyDescent="0.25">
      <c r="R708" s="594"/>
      <c r="T708" s="592"/>
      <c r="U708" s="595"/>
      <c r="W708" s="568"/>
      <c r="X708" s="568"/>
      <c r="Y708" s="566"/>
    </row>
    <row r="709" spans="18:25" x14ac:dyDescent="0.25">
      <c r="R709" s="594"/>
      <c r="T709" s="592"/>
      <c r="U709" s="595"/>
      <c r="W709" s="568"/>
      <c r="X709" s="568"/>
      <c r="Y709" s="566"/>
    </row>
    <row r="710" spans="18:25" x14ac:dyDescent="0.25">
      <c r="R710" s="594"/>
      <c r="T710" s="592"/>
      <c r="U710" s="595"/>
      <c r="W710" s="568"/>
      <c r="X710" s="568"/>
      <c r="Y710" s="566"/>
    </row>
    <row r="711" spans="18:25" x14ac:dyDescent="0.25">
      <c r="R711" s="594"/>
      <c r="T711" s="592"/>
      <c r="U711" s="595"/>
      <c r="W711" s="568"/>
      <c r="X711" s="568"/>
      <c r="Y711" s="566"/>
    </row>
    <row r="712" spans="18:25" x14ac:dyDescent="0.25">
      <c r="R712" s="594"/>
      <c r="T712" s="592"/>
      <c r="U712" s="595"/>
      <c r="W712" s="568"/>
      <c r="X712" s="568"/>
      <c r="Y712" s="566"/>
    </row>
    <row r="713" spans="18:25" x14ac:dyDescent="0.25">
      <c r="R713" s="594"/>
      <c r="T713" s="592"/>
      <c r="U713" s="595"/>
      <c r="W713" s="568"/>
      <c r="X713" s="568"/>
      <c r="Y713" s="566"/>
    </row>
    <row r="714" spans="18:25" x14ac:dyDescent="0.25">
      <c r="R714" s="594"/>
      <c r="T714" s="592"/>
      <c r="U714" s="595"/>
      <c r="W714" s="568"/>
      <c r="X714" s="568"/>
      <c r="Y714" s="566"/>
    </row>
    <row r="715" spans="18:25" x14ac:dyDescent="0.25">
      <c r="R715" s="594"/>
      <c r="T715" s="592"/>
      <c r="U715" s="595"/>
      <c r="W715" s="568"/>
      <c r="X715" s="568"/>
      <c r="Y715" s="566"/>
    </row>
    <row r="716" spans="18:25" x14ac:dyDescent="0.25">
      <c r="R716" s="594"/>
      <c r="T716" s="592"/>
      <c r="U716" s="595"/>
      <c r="W716" s="568"/>
      <c r="X716" s="568"/>
      <c r="Y716" s="566"/>
    </row>
    <row r="717" spans="18:25" x14ac:dyDescent="0.25">
      <c r="R717" s="594"/>
      <c r="T717" s="592"/>
      <c r="U717" s="595"/>
      <c r="W717" s="568"/>
      <c r="X717" s="568"/>
      <c r="Y717" s="566"/>
    </row>
    <row r="718" spans="18:25" x14ac:dyDescent="0.25">
      <c r="R718" s="594"/>
      <c r="T718" s="592"/>
      <c r="U718" s="595"/>
      <c r="W718" s="568"/>
      <c r="X718" s="568"/>
      <c r="Y718" s="566"/>
    </row>
    <row r="719" spans="18:25" x14ac:dyDescent="0.25">
      <c r="R719" s="594"/>
      <c r="T719" s="592"/>
      <c r="U719" s="595"/>
      <c r="W719" s="568"/>
      <c r="X719" s="568"/>
      <c r="Y719" s="566"/>
    </row>
    <row r="720" spans="18:25" x14ac:dyDescent="0.25">
      <c r="R720" s="594"/>
      <c r="T720" s="592"/>
      <c r="U720" s="595"/>
      <c r="W720" s="568"/>
      <c r="X720" s="568"/>
      <c r="Y720" s="566"/>
    </row>
    <row r="721" spans="18:25" x14ac:dyDescent="0.25">
      <c r="R721" s="594"/>
      <c r="T721" s="592"/>
      <c r="U721" s="595"/>
      <c r="W721" s="568"/>
      <c r="X721" s="568"/>
      <c r="Y721" s="566"/>
    </row>
    <row r="722" spans="18:25" x14ac:dyDescent="0.25">
      <c r="R722" s="594"/>
      <c r="T722" s="592"/>
      <c r="U722" s="595"/>
      <c r="W722" s="568"/>
      <c r="X722" s="568"/>
      <c r="Y722" s="566"/>
    </row>
    <row r="723" spans="18:25" x14ac:dyDescent="0.25">
      <c r="R723" s="594"/>
      <c r="T723" s="592"/>
      <c r="U723" s="595"/>
      <c r="W723" s="568"/>
      <c r="X723" s="568"/>
      <c r="Y723" s="566"/>
    </row>
    <row r="724" spans="18:25" x14ac:dyDescent="0.25">
      <c r="R724" s="594"/>
      <c r="T724" s="592"/>
      <c r="U724" s="595"/>
      <c r="W724" s="568"/>
      <c r="X724" s="568"/>
      <c r="Y724" s="566"/>
    </row>
    <row r="725" spans="18:25" x14ac:dyDescent="0.25">
      <c r="R725" s="594"/>
      <c r="T725" s="592"/>
      <c r="U725" s="595"/>
      <c r="W725" s="568"/>
      <c r="X725" s="568"/>
      <c r="Y725" s="566"/>
    </row>
    <row r="726" spans="18:25" x14ac:dyDescent="0.25">
      <c r="R726" s="594"/>
      <c r="T726" s="592"/>
      <c r="U726" s="595"/>
      <c r="W726" s="568"/>
      <c r="X726" s="568"/>
      <c r="Y726" s="566"/>
    </row>
    <row r="727" spans="18:25" x14ac:dyDescent="0.25">
      <c r="R727" s="594"/>
      <c r="T727" s="592"/>
      <c r="U727" s="595"/>
      <c r="W727" s="568"/>
      <c r="X727" s="568"/>
      <c r="Y727" s="566"/>
    </row>
    <row r="728" spans="18:25" x14ac:dyDescent="0.25">
      <c r="R728" s="594"/>
      <c r="T728" s="592"/>
      <c r="U728" s="595"/>
      <c r="W728" s="568"/>
      <c r="X728" s="568"/>
      <c r="Y728" s="566"/>
    </row>
    <row r="729" spans="18:25" x14ac:dyDescent="0.25">
      <c r="R729" s="594"/>
      <c r="T729" s="592"/>
      <c r="U729" s="595"/>
      <c r="W729" s="568"/>
      <c r="X729" s="568"/>
      <c r="Y729" s="566"/>
    </row>
    <row r="730" spans="18:25" x14ac:dyDescent="0.25">
      <c r="R730" s="594"/>
      <c r="T730" s="592"/>
      <c r="U730" s="595"/>
      <c r="W730" s="568"/>
      <c r="X730" s="568"/>
      <c r="Y730" s="566"/>
    </row>
    <row r="731" spans="18:25" x14ac:dyDescent="0.25">
      <c r="R731" s="594"/>
      <c r="T731" s="592"/>
      <c r="U731" s="595"/>
      <c r="W731" s="568"/>
      <c r="X731" s="568"/>
      <c r="Y731" s="566"/>
    </row>
    <row r="732" spans="18:25" x14ac:dyDescent="0.25">
      <c r="R732" s="594"/>
      <c r="T732" s="592"/>
      <c r="U732" s="595"/>
      <c r="W732" s="568"/>
      <c r="X732" s="568"/>
      <c r="Y732" s="566"/>
    </row>
    <row r="733" spans="18:25" x14ac:dyDescent="0.25">
      <c r="R733" s="594"/>
      <c r="T733" s="592"/>
      <c r="U733" s="595"/>
      <c r="W733" s="568"/>
      <c r="X733" s="568"/>
      <c r="Y733" s="566"/>
    </row>
    <row r="734" spans="18:25" x14ac:dyDescent="0.25">
      <c r="R734" s="594"/>
      <c r="T734" s="592"/>
      <c r="U734" s="595"/>
      <c r="W734" s="568"/>
      <c r="X734" s="568"/>
      <c r="Y734" s="566"/>
    </row>
    <row r="735" spans="18:25" x14ac:dyDescent="0.25">
      <c r="R735" s="594"/>
      <c r="T735" s="592"/>
      <c r="U735" s="595"/>
      <c r="W735" s="568"/>
      <c r="X735" s="568"/>
      <c r="Y735" s="566"/>
    </row>
    <row r="736" spans="18:25" x14ac:dyDescent="0.25">
      <c r="R736" s="594"/>
      <c r="T736" s="592"/>
      <c r="U736" s="595"/>
      <c r="W736" s="568"/>
      <c r="X736" s="568"/>
      <c r="Y736" s="566"/>
    </row>
    <row r="737" spans="18:25" x14ac:dyDescent="0.25">
      <c r="R737" s="594"/>
      <c r="T737" s="592"/>
      <c r="U737" s="595"/>
      <c r="W737" s="568"/>
      <c r="X737" s="568"/>
      <c r="Y737" s="566"/>
    </row>
    <row r="738" spans="18:25" x14ac:dyDescent="0.25">
      <c r="R738" s="594"/>
      <c r="T738" s="592"/>
      <c r="U738" s="595"/>
      <c r="W738" s="568"/>
      <c r="X738" s="568"/>
      <c r="Y738" s="566"/>
    </row>
    <row r="739" spans="18:25" x14ac:dyDescent="0.25">
      <c r="R739" s="594"/>
      <c r="T739" s="592"/>
      <c r="U739" s="595"/>
      <c r="W739" s="568"/>
      <c r="X739" s="568"/>
      <c r="Y739" s="566"/>
    </row>
    <row r="740" spans="18:25" x14ac:dyDescent="0.25">
      <c r="R740" s="594"/>
      <c r="T740" s="592"/>
      <c r="U740" s="595"/>
      <c r="W740" s="568"/>
      <c r="X740" s="568"/>
      <c r="Y740" s="566"/>
    </row>
    <row r="741" spans="18:25" x14ac:dyDescent="0.25">
      <c r="R741" s="594"/>
      <c r="T741" s="592"/>
      <c r="U741" s="595"/>
      <c r="W741" s="568"/>
      <c r="X741" s="568"/>
      <c r="Y741" s="566"/>
    </row>
    <row r="742" spans="18:25" x14ac:dyDescent="0.25">
      <c r="R742" s="594"/>
      <c r="T742" s="592"/>
      <c r="U742" s="595"/>
      <c r="W742" s="568"/>
      <c r="X742" s="568"/>
      <c r="Y742" s="566"/>
    </row>
    <row r="743" spans="18:25" x14ac:dyDescent="0.25">
      <c r="R743" s="594"/>
      <c r="T743" s="592"/>
      <c r="U743" s="595"/>
      <c r="W743" s="568"/>
      <c r="X743" s="568"/>
      <c r="Y743" s="566"/>
    </row>
    <row r="744" spans="18:25" x14ac:dyDescent="0.25">
      <c r="R744" s="594"/>
      <c r="T744" s="592"/>
      <c r="U744" s="595"/>
      <c r="W744" s="568"/>
      <c r="X744" s="568"/>
      <c r="Y744" s="566"/>
    </row>
    <row r="745" spans="18:25" x14ac:dyDescent="0.25">
      <c r="R745" s="594"/>
      <c r="T745" s="592"/>
      <c r="U745" s="595"/>
      <c r="W745" s="568"/>
      <c r="X745" s="568"/>
      <c r="Y745" s="566"/>
    </row>
    <row r="746" spans="18:25" x14ac:dyDescent="0.25">
      <c r="R746" s="594"/>
      <c r="T746" s="592"/>
      <c r="U746" s="595"/>
      <c r="W746" s="568"/>
      <c r="X746" s="568"/>
      <c r="Y746" s="566"/>
    </row>
    <row r="747" spans="18:25" x14ac:dyDescent="0.25">
      <c r="R747" s="594"/>
      <c r="T747" s="592"/>
      <c r="U747" s="595"/>
      <c r="W747" s="568"/>
      <c r="X747" s="568"/>
      <c r="Y747" s="566"/>
    </row>
    <row r="748" spans="18:25" x14ac:dyDescent="0.25">
      <c r="R748" s="594"/>
      <c r="T748" s="592"/>
      <c r="U748" s="595"/>
      <c r="W748" s="568"/>
      <c r="X748" s="568"/>
      <c r="Y748" s="566"/>
    </row>
    <row r="749" spans="18:25" x14ac:dyDescent="0.25">
      <c r="R749" s="594"/>
      <c r="T749" s="592"/>
      <c r="U749" s="595"/>
      <c r="W749" s="568"/>
      <c r="X749" s="568"/>
      <c r="Y749" s="566"/>
    </row>
    <row r="750" spans="18:25" x14ac:dyDescent="0.25">
      <c r="R750" s="594"/>
      <c r="T750" s="592"/>
      <c r="U750" s="595"/>
      <c r="W750" s="568"/>
      <c r="X750" s="568"/>
      <c r="Y750" s="566"/>
    </row>
    <row r="751" spans="18:25" x14ac:dyDescent="0.25">
      <c r="R751" s="594"/>
      <c r="T751" s="592"/>
      <c r="U751" s="595"/>
      <c r="W751" s="568"/>
      <c r="X751" s="568"/>
      <c r="Y751" s="566"/>
    </row>
    <row r="752" spans="18:25" x14ac:dyDescent="0.25">
      <c r="R752" s="594"/>
      <c r="T752" s="592"/>
      <c r="U752" s="595"/>
      <c r="W752" s="568"/>
      <c r="X752" s="568"/>
      <c r="Y752" s="566"/>
    </row>
    <row r="753" spans="18:25" x14ac:dyDescent="0.25">
      <c r="R753" s="594"/>
      <c r="T753" s="592"/>
      <c r="U753" s="595"/>
      <c r="W753" s="568"/>
      <c r="X753" s="568"/>
      <c r="Y753" s="566"/>
    </row>
    <row r="754" spans="18:25" x14ac:dyDescent="0.25">
      <c r="R754" s="594"/>
      <c r="T754" s="592"/>
      <c r="U754" s="595"/>
      <c r="W754" s="568"/>
      <c r="X754" s="568"/>
      <c r="Y754" s="566"/>
    </row>
    <row r="755" spans="18:25" x14ac:dyDescent="0.25">
      <c r="R755" s="594"/>
      <c r="T755" s="592"/>
      <c r="U755" s="595"/>
      <c r="W755" s="568"/>
      <c r="X755" s="568"/>
      <c r="Y755" s="566"/>
    </row>
    <row r="756" spans="18:25" x14ac:dyDescent="0.25">
      <c r="R756" s="594"/>
      <c r="T756" s="592"/>
      <c r="U756" s="595"/>
      <c r="W756" s="568"/>
      <c r="X756" s="568"/>
      <c r="Y756" s="566"/>
    </row>
    <row r="757" spans="18:25" x14ac:dyDescent="0.25">
      <c r="R757" s="594"/>
      <c r="T757" s="592"/>
      <c r="U757" s="595"/>
      <c r="W757" s="568"/>
      <c r="X757" s="568"/>
      <c r="Y757" s="566"/>
    </row>
    <row r="758" spans="18:25" x14ac:dyDescent="0.25">
      <c r="R758" s="594"/>
      <c r="T758" s="592"/>
      <c r="U758" s="595"/>
      <c r="W758" s="568"/>
      <c r="X758" s="568"/>
      <c r="Y758" s="566"/>
    </row>
    <row r="759" spans="18:25" x14ac:dyDescent="0.25">
      <c r="R759" s="594"/>
      <c r="T759" s="592"/>
      <c r="U759" s="595"/>
      <c r="W759" s="568"/>
      <c r="X759" s="568"/>
      <c r="Y759" s="566"/>
    </row>
    <row r="760" spans="18:25" x14ac:dyDescent="0.25">
      <c r="R760" s="594"/>
      <c r="T760" s="592"/>
      <c r="U760" s="595"/>
      <c r="W760" s="568"/>
      <c r="X760" s="568"/>
      <c r="Y760" s="566"/>
    </row>
    <row r="761" spans="18:25" x14ac:dyDescent="0.25">
      <c r="R761" s="594"/>
      <c r="T761" s="592"/>
      <c r="U761" s="595"/>
      <c r="W761" s="568"/>
      <c r="X761" s="568"/>
      <c r="Y761" s="566"/>
    </row>
    <row r="762" spans="18:25" x14ac:dyDescent="0.25">
      <c r="R762" s="594"/>
      <c r="T762" s="592"/>
      <c r="U762" s="595"/>
      <c r="W762" s="568"/>
      <c r="X762" s="568"/>
      <c r="Y762" s="566"/>
    </row>
    <row r="763" spans="18:25" x14ac:dyDescent="0.25">
      <c r="R763" s="594"/>
      <c r="T763" s="592"/>
      <c r="U763" s="595"/>
      <c r="W763" s="568"/>
      <c r="X763" s="568"/>
      <c r="Y763" s="566"/>
    </row>
    <row r="764" spans="18:25" x14ac:dyDescent="0.25">
      <c r="R764" s="594"/>
      <c r="T764" s="592"/>
      <c r="U764" s="595"/>
      <c r="W764" s="568"/>
      <c r="X764" s="568"/>
      <c r="Y764" s="566"/>
    </row>
    <row r="765" spans="18:25" x14ac:dyDescent="0.25">
      <c r="R765" s="594"/>
      <c r="T765" s="592"/>
      <c r="U765" s="595"/>
      <c r="W765" s="568"/>
      <c r="X765" s="568"/>
      <c r="Y765" s="566"/>
    </row>
    <row r="766" spans="18:25" x14ac:dyDescent="0.25">
      <c r="R766" s="594"/>
      <c r="T766" s="592"/>
      <c r="U766" s="595"/>
      <c r="W766" s="568"/>
      <c r="X766" s="568"/>
      <c r="Y766" s="566"/>
    </row>
    <row r="767" spans="18:25" x14ac:dyDescent="0.25">
      <c r="R767" s="594"/>
      <c r="T767" s="592"/>
      <c r="U767" s="595"/>
      <c r="W767" s="568"/>
      <c r="X767" s="568"/>
      <c r="Y767" s="566"/>
    </row>
    <row r="768" spans="18:25" x14ac:dyDescent="0.25">
      <c r="R768" s="594"/>
      <c r="T768" s="592"/>
      <c r="U768" s="595"/>
      <c r="W768" s="568"/>
      <c r="X768" s="568"/>
      <c r="Y768" s="566"/>
    </row>
    <row r="769" spans="18:25" x14ac:dyDescent="0.25">
      <c r="R769" s="594"/>
      <c r="T769" s="592"/>
      <c r="U769" s="595"/>
      <c r="W769" s="568"/>
      <c r="X769" s="568"/>
      <c r="Y769" s="566"/>
    </row>
    <row r="770" spans="18:25" x14ac:dyDescent="0.25">
      <c r="R770" s="594"/>
      <c r="T770" s="592"/>
      <c r="U770" s="595"/>
      <c r="W770" s="568"/>
      <c r="X770" s="568"/>
      <c r="Y770" s="566"/>
    </row>
    <row r="771" spans="18:25" x14ac:dyDescent="0.25">
      <c r="R771" s="594"/>
      <c r="T771" s="592"/>
      <c r="U771" s="595"/>
      <c r="W771" s="568"/>
      <c r="X771" s="568"/>
      <c r="Y771" s="566"/>
    </row>
    <row r="772" spans="18:25" x14ac:dyDescent="0.25">
      <c r="R772" s="594"/>
      <c r="T772" s="592"/>
      <c r="U772" s="595"/>
      <c r="W772" s="568"/>
      <c r="X772" s="568"/>
      <c r="Y772" s="566"/>
    </row>
    <row r="773" spans="18:25" x14ac:dyDescent="0.25">
      <c r="R773" s="594"/>
      <c r="T773" s="592"/>
      <c r="U773" s="595"/>
      <c r="W773" s="568"/>
      <c r="X773" s="568"/>
      <c r="Y773" s="566"/>
    </row>
    <row r="774" spans="18:25" x14ac:dyDescent="0.25">
      <c r="R774" s="594"/>
      <c r="T774" s="592"/>
      <c r="U774" s="595"/>
      <c r="W774" s="568"/>
      <c r="X774" s="568"/>
      <c r="Y774" s="566"/>
    </row>
    <row r="775" spans="18:25" x14ac:dyDescent="0.25">
      <c r="R775" s="594"/>
      <c r="T775" s="592"/>
      <c r="U775" s="595"/>
      <c r="W775" s="568"/>
      <c r="X775" s="568"/>
      <c r="Y775" s="566"/>
    </row>
    <row r="776" spans="18:25" x14ac:dyDescent="0.25">
      <c r="R776" s="594"/>
      <c r="T776" s="592"/>
      <c r="U776" s="595"/>
      <c r="W776" s="568"/>
      <c r="X776" s="568"/>
      <c r="Y776" s="566"/>
    </row>
    <row r="777" spans="18:25" x14ac:dyDescent="0.25">
      <c r="R777" s="594"/>
      <c r="T777" s="592"/>
      <c r="U777" s="595"/>
      <c r="W777" s="568"/>
      <c r="X777" s="568"/>
      <c r="Y777" s="566"/>
    </row>
    <row r="778" spans="18:25" x14ac:dyDescent="0.25">
      <c r="R778" s="594"/>
      <c r="T778" s="592"/>
      <c r="U778" s="595"/>
      <c r="W778" s="568"/>
      <c r="X778" s="568"/>
      <c r="Y778" s="566"/>
    </row>
    <row r="779" spans="18:25" x14ac:dyDescent="0.25">
      <c r="R779" s="594"/>
      <c r="T779" s="592"/>
      <c r="U779" s="595"/>
      <c r="W779" s="568"/>
      <c r="X779" s="568"/>
      <c r="Y779" s="566"/>
    </row>
    <row r="780" spans="18:25" x14ac:dyDescent="0.25">
      <c r="R780" s="594"/>
      <c r="T780" s="592"/>
      <c r="U780" s="595"/>
      <c r="W780" s="568"/>
      <c r="X780" s="568"/>
      <c r="Y780" s="566"/>
    </row>
    <row r="781" spans="18:25" x14ac:dyDescent="0.25">
      <c r="R781" s="594"/>
      <c r="T781" s="592"/>
      <c r="U781" s="595"/>
      <c r="W781" s="568"/>
      <c r="X781" s="568"/>
      <c r="Y781" s="566"/>
    </row>
    <row r="782" spans="18:25" x14ac:dyDescent="0.25">
      <c r="R782" s="594"/>
      <c r="T782" s="592"/>
      <c r="U782" s="595"/>
      <c r="W782" s="568"/>
      <c r="X782" s="568"/>
      <c r="Y782" s="566"/>
    </row>
    <row r="783" spans="18:25" x14ac:dyDescent="0.25">
      <c r="R783" s="594"/>
      <c r="T783" s="592"/>
      <c r="U783" s="595"/>
      <c r="W783" s="568"/>
      <c r="X783" s="568"/>
      <c r="Y783" s="566"/>
    </row>
    <row r="784" spans="18:25" x14ac:dyDescent="0.25">
      <c r="R784" s="594"/>
      <c r="T784" s="592"/>
      <c r="U784" s="595"/>
      <c r="W784" s="568"/>
      <c r="X784" s="568"/>
      <c r="Y784" s="566"/>
    </row>
    <row r="785" spans="18:25" x14ac:dyDescent="0.25">
      <c r="R785" s="594"/>
      <c r="T785" s="592"/>
      <c r="U785" s="595"/>
      <c r="W785" s="568"/>
      <c r="X785" s="568"/>
      <c r="Y785" s="566"/>
    </row>
    <row r="786" spans="18:25" x14ac:dyDescent="0.25">
      <c r="R786" s="594"/>
      <c r="T786" s="592"/>
      <c r="U786" s="595"/>
      <c r="W786" s="568"/>
      <c r="X786" s="568"/>
      <c r="Y786" s="566"/>
    </row>
    <row r="787" spans="18:25" x14ac:dyDescent="0.25">
      <c r="R787" s="594"/>
      <c r="T787" s="592"/>
      <c r="U787" s="595"/>
      <c r="W787" s="568"/>
      <c r="X787" s="568"/>
      <c r="Y787" s="566"/>
    </row>
    <row r="788" spans="18:25" x14ac:dyDescent="0.25">
      <c r="R788" s="594"/>
      <c r="T788" s="592"/>
      <c r="U788" s="595"/>
      <c r="W788" s="568"/>
      <c r="X788" s="568"/>
      <c r="Y788" s="566"/>
    </row>
    <row r="789" spans="18:25" x14ac:dyDescent="0.25">
      <c r="R789" s="594"/>
      <c r="T789" s="592"/>
      <c r="U789" s="595"/>
      <c r="W789" s="568"/>
      <c r="X789" s="568"/>
      <c r="Y789" s="566"/>
    </row>
    <row r="790" spans="18:25" x14ac:dyDescent="0.25">
      <c r="R790" s="594"/>
      <c r="T790" s="592"/>
      <c r="U790" s="595"/>
      <c r="W790" s="568"/>
      <c r="X790" s="568"/>
      <c r="Y790" s="566"/>
    </row>
    <row r="791" spans="18:25" x14ac:dyDescent="0.25">
      <c r="R791" s="594"/>
      <c r="T791" s="592"/>
      <c r="U791" s="595"/>
      <c r="W791" s="568"/>
      <c r="X791" s="568"/>
      <c r="Y791" s="566"/>
    </row>
    <row r="792" spans="18:25" x14ac:dyDescent="0.25">
      <c r="R792" s="594"/>
      <c r="T792" s="592"/>
      <c r="U792" s="595"/>
      <c r="W792" s="568"/>
      <c r="X792" s="568"/>
      <c r="Y792" s="566"/>
    </row>
    <row r="793" spans="18:25" x14ac:dyDescent="0.25">
      <c r="R793" s="594"/>
      <c r="T793" s="592"/>
      <c r="U793" s="595"/>
      <c r="W793" s="568"/>
      <c r="X793" s="568"/>
      <c r="Y793" s="566"/>
    </row>
    <row r="794" spans="18:25" x14ac:dyDescent="0.25">
      <c r="R794" s="594"/>
      <c r="T794" s="592"/>
      <c r="U794" s="595"/>
      <c r="W794" s="568"/>
      <c r="X794" s="568"/>
      <c r="Y794" s="566"/>
    </row>
    <row r="795" spans="18:25" x14ac:dyDescent="0.25">
      <c r="R795" s="594"/>
      <c r="T795" s="592"/>
      <c r="U795" s="595"/>
      <c r="W795" s="568"/>
      <c r="X795" s="568"/>
      <c r="Y795" s="566"/>
    </row>
    <row r="796" spans="18:25" x14ac:dyDescent="0.25">
      <c r="R796" s="594"/>
      <c r="T796" s="592"/>
      <c r="U796" s="595"/>
      <c r="W796" s="568"/>
      <c r="X796" s="568"/>
      <c r="Y796" s="566"/>
    </row>
    <row r="797" spans="18:25" x14ac:dyDescent="0.25">
      <c r="R797" s="594"/>
      <c r="T797" s="592"/>
      <c r="U797" s="595"/>
      <c r="W797" s="568"/>
      <c r="X797" s="568"/>
      <c r="Y797" s="566"/>
    </row>
    <row r="798" spans="18:25" x14ac:dyDescent="0.25">
      <c r="R798" s="594"/>
      <c r="T798" s="592"/>
      <c r="U798" s="595"/>
      <c r="W798" s="568"/>
      <c r="X798" s="568"/>
      <c r="Y798" s="566"/>
    </row>
    <row r="799" spans="18:25" x14ac:dyDescent="0.25">
      <c r="R799" s="594"/>
      <c r="T799" s="592"/>
      <c r="U799" s="595"/>
      <c r="W799" s="568"/>
      <c r="X799" s="568"/>
      <c r="Y799" s="566"/>
    </row>
    <row r="800" spans="18:25" x14ac:dyDescent="0.25">
      <c r="R800" s="594"/>
      <c r="T800" s="592"/>
      <c r="U800" s="595"/>
      <c r="W800" s="568"/>
      <c r="X800" s="568"/>
      <c r="Y800" s="566"/>
    </row>
    <row r="801" spans="18:25" x14ac:dyDescent="0.25">
      <c r="R801" s="594"/>
      <c r="T801" s="592"/>
      <c r="U801" s="595"/>
      <c r="W801" s="568"/>
      <c r="X801" s="568"/>
      <c r="Y801" s="566"/>
    </row>
    <row r="802" spans="18:25" x14ac:dyDescent="0.25">
      <c r="R802" s="594"/>
      <c r="T802" s="592"/>
      <c r="U802" s="595"/>
      <c r="W802" s="568"/>
      <c r="X802" s="568"/>
      <c r="Y802" s="566"/>
    </row>
    <row r="803" spans="18:25" x14ac:dyDescent="0.25">
      <c r="R803" s="594"/>
      <c r="T803" s="592"/>
      <c r="U803" s="595"/>
      <c r="W803" s="568"/>
      <c r="X803" s="568"/>
      <c r="Y803" s="566"/>
    </row>
    <row r="804" spans="18:25" x14ac:dyDescent="0.25">
      <c r="R804" s="594"/>
      <c r="T804" s="592"/>
      <c r="U804" s="595"/>
      <c r="W804" s="568"/>
      <c r="X804" s="568"/>
      <c r="Y804" s="566"/>
    </row>
    <row r="805" spans="18:25" x14ac:dyDescent="0.25">
      <c r="R805" s="594"/>
      <c r="T805" s="592"/>
      <c r="U805" s="595"/>
      <c r="W805" s="568"/>
      <c r="X805" s="568"/>
      <c r="Y805" s="566"/>
    </row>
    <row r="806" spans="18:25" x14ac:dyDescent="0.25">
      <c r="R806" s="594"/>
      <c r="T806" s="592"/>
      <c r="U806" s="595"/>
      <c r="W806" s="568"/>
      <c r="X806" s="568"/>
      <c r="Y806" s="566"/>
    </row>
    <row r="807" spans="18:25" x14ac:dyDescent="0.25">
      <c r="R807" s="594"/>
      <c r="T807" s="592"/>
      <c r="U807" s="595"/>
      <c r="W807" s="568"/>
      <c r="X807" s="568"/>
      <c r="Y807" s="566"/>
    </row>
    <row r="808" spans="18:25" x14ac:dyDescent="0.25">
      <c r="R808" s="594"/>
      <c r="T808" s="592"/>
      <c r="U808" s="595"/>
      <c r="W808" s="568"/>
      <c r="X808" s="568"/>
      <c r="Y808" s="566"/>
    </row>
    <row r="809" spans="18:25" x14ac:dyDescent="0.25">
      <c r="R809" s="594"/>
      <c r="T809" s="592"/>
      <c r="U809" s="595"/>
      <c r="W809" s="568"/>
      <c r="X809" s="568"/>
      <c r="Y809" s="566"/>
    </row>
    <row r="810" spans="18:25" x14ac:dyDescent="0.25">
      <c r="R810" s="594"/>
      <c r="T810" s="592"/>
      <c r="U810" s="595"/>
      <c r="W810" s="568"/>
      <c r="X810" s="568"/>
      <c r="Y810" s="566"/>
    </row>
    <row r="811" spans="18:25" x14ac:dyDescent="0.25">
      <c r="R811" s="594"/>
      <c r="T811" s="592"/>
      <c r="U811" s="595"/>
      <c r="W811" s="568"/>
      <c r="X811" s="568"/>
      <c r="Y811" s="566"/>
    </row>
    <row r="812" spans="18:25" x14ac:dyDescent="0.25">
      <c r="R812" s="594"/>
      <c r="T812" s="592"/>
      <c r="U812" s="595"/>
      <c r="W812" s="568"/>
      <c r="X812" s="568"/>
      <c r="Y812" s="566"/>
    </row>
    <row r="813" spans="18:25" x14ac:dyDescent="0.25">
      <c r="R813" s="594"/>
      <c r="T813" s="592"/>
      <c r="U813" s="595"/>
      <c r="W813" s="568"/>
      <c r="X813" s="568"/>
      <c r="Y813" s="566"/>
    </row>
    <row r="814" spans="18:25" x14ac:dyDescent="0.25">
      <c r="R814" s="594"/>
      <c r="T814" s="592"/>
      <c r="U814" s="595"/>
      <c r="W814" s="568"/>
      <c r="X814" s="568"/>
      <c r="Y814" s="566"/>
    </row>
    <row r="815" spans="18:25" x14ac:dyDescent="0.25">
      <c r="R815" s="594"/>
      <c r="T815" s="592"/>
      <c r="U815" s="595"/>
      <c r="W815" s="568"/>
      <c r="X815" s="568"/>
      <c r="Y815" s="566"/>
    </row>
    <row r="816" spans="18:25" x14ac:dyDescent="0.25">
      <c r="R816" s="594"/>
      <c r="T816" s="592"/>
      <c r="U816" s="595"/>
      <c r="W816" s="568"/>
      <c r="X816" s="568"/>
      <c r="Y816" s="566"/>
    </row>
    <row r="817" spans="18:25" x14ac:dyDescent="0.25">
      <c r="R817" s="594"/>
      <c r="T817" s="592"/>
      <c r="U817" s="595"/>
      <c r="W817" s="568"/>
      <c r="X817" s="568"/>
      <c r="Y817" s="566"/>
    </row>
    <row r="818" spans="18:25" x14ac:dyDescent="0.25">
      <c r="R818" s="594"/>
      <c r="T818" s="592"/>
      <c r="U818" s="595"/>
      <c r="W818" s="568"/>
      <c r="X818" s="568"/>
      <c r="Y818" s="566"/>
    </row>
    <row r="819" spans="18:25" x14ac:dyDescent="0.25">
      <c r="R819" s="594"/>
      <c r="T819" s="592"/>
      <c r="U819" s="595"/>
      <c r="W819" s="568"/>
      <c r="X819" s="568"/>
      <c r="Y819" s="566"/>
    </row>
    <row r="820" spans="18:25" x14ac:dyDescent="0.25">
      <c r="R820" s="594"/>
      <c r="T820" s="592"/>
      <c r="U820" s="595"/>
      <c r="W820" s="568"/>
      <c r="X820" s="568"/>
      <c r="Y820" s="566"/>
    </row>
    <row r="821" spans="18:25" x14ac:dyDescent="0.25">
      <c r="R821" s="594"/>
      <c r="T821" s="592"/>
      <c r="U821" s="595"/>
      <c r="W821" s="568"/>
      <c r="X821" s="568"/>
      <c r="Y821" s="566"/>
    </row>
    <row r="822" spans="18:25" x14ac:dyDescent="0.25">
      <c r="R822" s="594"/>
      <c r="T822" s="592"/>
      <c r="U822" s="595"/>
      <c r="W822" s="568"/>
      <c r="X822" s="568"/>
      <c r="Y822" s="566"/>
    </row>
    <row r="823" spans="18:25" x14ac:dyDescent="0.25">
      <c r="R823" s="594"/>
      <c r="T823" s="592"/>
      <c r="U823" s="595"/>
      <c r="W823" s="568"/>
      <c r="X823" s="568"/>
      <c r="Y823" s="566"/>
    </row>
    <row r="824" spans="18:25" x14ac:dyDescent="0.25">
      <c r="R824" s="594"/>
      <c r="T824" s="592"/>
      <c r="U824" s="595"/>
      <c r="W824" s="568"/>
      <c r="X824" s="568"/>
      <c r="Y824" s="566"/>
    </row>
    <row r="825" spans="18:25" x14ac:dyDescent="0.25">
      <c r="R825" s="594"/>
      <c r="T825" s="592"/>
      <c r="U825" s="595"/>
      <c r="W825" s="568"/>
      <c r="X825" s="568"/>
      <c r="Y825" s="566"/>
    </row>
    <row r="826" spans="18:25" x14ac:dyDescent="0.25">
      <c r="R826" s="594"/>
      <c r="T826" s="592"/>
      <c r="U826" s="595"/>
      <c r="W826" s="568"/>
      <c r="X826" s="568"/>
      <c r="Y826" s="566"/>
    </row>
    <row r="827" spans="18:25" x14ac:dyDescent="0.25">
      <c r="R827" s="594"/>
      <c r="T827" s="592"/>
      <c r="U827" s="595"/>
      <c r="W827" s="568"/>
      <c r="X827" s="568"/>
      <c r="Y827" s="566"/>
    </row>
    <row r="828" spans="18:25" x14ac:dyDescent="0.25">
      <c r="R828" s="594"/>
      <c r="T828" s="592"/>
      <c r="U828" s="595"/>
      <c r="W828" s="568"/>
      <c r="X828" s="568"/>
      <c r="Y828" s="566"/>
    </row>
    <row r="829" spans="18:25" x14ac:dyDescent="0.25">
      <c r="R829" s="594"/>
      <c r="T829" s="592"/>
      <c r="U829" s="595"/>
      <c r="W829" s="568"/>
      <c r="X829" s="568"/>
      <c r="Y829" s="566"/>
    </row>
    <row r="830" spans="18:25" x14ac:dyDescent="0.25">
      <c r="R830" s="594"/>
      <c r="T830" s="592"/>
      <c r="U830" s="595"/>
      <c r="W830" s="568"/>
      <c r="X830" s="568"/>
      <c r="Y830" s="566"/>
    </row>
    <row r="831" spans="18:25" x14ac:dyDescent="0.25">
      <c r="R831" s="594"/>
      <c r="T831" s="592"/>
      <c r="U831" s="595"/>
      <c r="W831" s="568"/>
      <c r="X831" s="568"/>
      <c r="Y831" s="566"/>
    </row>
    <row r="832" spans="18:25" x14ac:dyDescent="0.25">
      <c r="R832" s="594"/>
      <c r="T832" s="592"/>
      <c r="U832" s="595"/>
      <c r="W832" s="568"/>
      <c r="X832" s="568"/>
      <c r="Y832" s="566"/>
    </row>
    <row r="833" spans="18:25" x14ac:dyDescent="0.25">
      <c r="R833" s="594"/>
      <c r="T833" s="592"/>
      <c r="U833" s="595"/>
      <c r="W833" s="568"/>
      <c r="X833" s="568"/>
      <c r="Y833" s="566"/>
    </row>
    <row r="834" spans="18:25" x14ac:dyDescent="0.25">
      <c r="R834" s="594"/>
      <c r="T834" s="592"/>
      <c r="U834" s="595"/>
      <c r="W834" s="568"/>
      <c r="X834" s="568"/>
      <c r="Y834" s="566"/>
    </row>
    <row r="835" spans="18:25" x14ac:dyDescent="0.25">
      <c r="R835" s="594"/>
      <c r="T835" s="592"/>
      <c r="U835" s="595"/>
      <c r="W835" s="568"/>
      <c r="X835" s="568"/>
      <c r="Y835" s="566"/>
    </row>
    <row r="836" spans="18:25" x14ac:dyDescent="0.25">
      <c r="R836" s="594"/>
      <c r="T836" s="592"/>
      <c r="U836" s="595"/>
      <c r="W836" s="568"/>
      <c r="X836" s="568"/>
      <c r="Y836" s="566"/>
    </row>
    <row r="837" spans="18:25" x14ac:dyDescent="0.25">
      <c r="R837" s="594"/>
      <c r="T837" s="592"/>
      <c r="U837" s="595"/>
      <c r="W837" s="568"/>
      <c r="X837" s="568"/>
      <c r="Y837" s="566"/>
    </row>
    <row r="838" spans="18:25" x14ac:dyDescent="0.25">
      <c r="R838" s="594"/>
      <c r="T838" s="592"/>
      <c r="U838" s="595"/>
      <c r="W838" s="568"/>
      <c r="X838" s="568"/>
      <c r="Y838" s="566"/>
    </row>
    <row r="839" spans="18:25" x14ac:dyDescent="0.25">
      <c r="R839" s="594"/>
      <c r="T839" s="592"/>
      <c r="U839" s="595"/>
      <c r="W839" s="568"/>
      <c r="X839" s="568"/>
      <c r="Y839" s="566"/>
    </row>
    <row r="840" spans="18:25" x14ac:dyDescent="0.25">
      <c r="R840" s="594"/>
      <c r="T840" s="592"/>
      <c r="U840" s="595"/>
      <c r="W840" s="568"/>
      <c r="X840" s="568"/>
      <c r="Y840" s="566"/>
    </row>
    <row r="841" spans="18:25" x14ac:dyDescent="0.25">
      <c r="R841" s="594"/>
      <c r="T841" s="592"/>
      <c r="U841" s="595"/>
      <c r="W841" s="568"/>
      <c r="X841" s="568"/>
      <c r="Y841" s="566"/>
    </row>
    <row r="842" spans="18:25" x14ac:dyDescent="0.25">
      <c r="R842" s="594"/>
      <c r="T842" s="592"/>
      <c r="U842" s="595"/>
      <c r="W842" s="568"/>
      <c r="X842" s="568"/>
      <c r="Y842" s="566"/>
    </row>
    <row r="843" spans="18:25" x14ac:dyDescent="0.25">
      <c r="R843" s="594"/>
      <c r="T843" s="592"/>
      <c r="U843" s="595"/>
      <c r="W843" s="568"/>
      <c r="X843" s="568"/>
      <c r="Y843" s="566"/>
    </row>
    <row r="844" spans="18:25" x14ac:dyDescent="0.25">
      <c r="R844" s="594"/>
      <c r="T844" s="592"/>
      <c r="U844" s="595"/>
      <c r="W844" s="568"/>
      <c r="X844" s="568"/>
      <c r="Y844" s="566"/>
    </row>
    <row r="845" spans="18:25" x14ac:dyDescent="0.25">
      <c r="R845" s="594"/>
      <c r="T845" s="592"/>
      <c r="U845" s="595"/>
      <c r="W845" s="568"/>
      <c r="X845" s="568"/>
      <c r="Y845" s="566"/>
    </row>
    <row r="846" spans="18:25" x14ac:dyDescent="0.25">
      <c r="R846" s="594"/>
      <c r="T846" s="592"/>
      <c r="U846" s="595"/>
      <c r="W846" s="568"/>
      <c r="X846" s="568"/>
      <c r="Y846" s="566"/>
    </row>
    <row r="847" spans="18:25" x14ac:dyDescent="0.25">
      <c r="R847" s="594"/>
      <c r="T847" s="592"/>
      <c r="U847" s="595"/>
      <c r="W847" s="568"/>
      <c r="X847" s="568"/>
      <c r="Y847" s="566"/>
    </row>
    <row r="848" spans="18:25" x14ac:dyDescent="0.25">
      <c r="R848" s="594"/>
      <c r="T848" s="592"/>
      <c r="U848" s="595"/>
      <c r="W848" s="568"/>
      <c r="X848" s="568"/>
      <c r="Y848" s="566"/>
    </row>
    <row r="849" spans="18:25" x14ac:dyDescent="0.25">
      <c r="R849" s="594"/>
      <c r="T849" s="592"/>
      <c r="U849" s="595"/>
      <c r="W849" s="568"/>
      <c r="X849" s="568"/>
      <c r="Y849" s="566"/>
    </row>
    <row r="850" spans="18:25" x14ac:dyDescent="0.25">
      <c r="R850" s="594"/>
      <c r="T850" s="592"/>
      <c r="U850" s="595"/>
      <c r="W850" s="568"/>
      <c r="X850" s="568"/>
      <c r="Y850" s="566"/>
    </row>
    <row r="851" spans="18:25" x14ac:dyDescent="0.25">
      <c r="R851" s="594"/>
      <c r="T851" s="592"/>
      <c r="U851" s="595"/>
      <c r="W851" s="568"/>
      <c r="X851" s="568"/>
      <c r="Y851" s="566"/>
    </row>
    <row r="852" spans="18:25" x14ac:dyDescent="0.25">
      <c r="R852" s="594"/>
      <c r="T852" s="592"/>
      <c r="U852" s="595"/>
      <c r="W852" s="568"/>
      <c r="X852" s="568"/>
      <c r="Y852" s="566"/>
    </row>
    <row r="853" spans="18:25" x14ac:dyDescent="0.25">
      <c r="R853" s="594"/>
      <c r="T853" s="592"/>
      <c r="U853" s="595"/>
      <c r="W853" s="568"/>
      <c r="X853" s="568"/>
      <c r="Y853" s="566"/>
    </row>
    <row r="854" spans="18:25" x14ac:dyDescent="0.25">
      <c r="R854" s="594"/>
      <c r="T854" s="592"/>
      <c r="U854" s="595"/>
      <c r="W854" s="568"/>
      <c r="X854" s="568"/>
      <c r="Y854" s="566"/>
    </row>
    <row r="855" spans="18:25" x14ac:dyDescent="0.25">
      <c r="R855" s="594"/>
      <c r="T855" s="592"/>
      <c r="U855" s="595"/>
      <c r="W855" s="568"/>
      <c r="X855" s="568"/>
      <c r="Y855" s="566"/>
    </row>
    <row r="856" spans="18:25" x14ac:dyDescent="0.25">
      <c r="R856" s="594"/>
      <c r="T856" s="592"/>
      <c r="U856" s="595"/>
      <c r="W856" s="568"/>
      <c r="X856" s="568"/>
      <c r="Y856" s="566"/>
    </row>
    <row r="857" spans="18:25" x14ac:dyDescent="0.25">
      <c r="R857" s="594"/>
      <c r="T857" s="592"/>
      <c r="U857" s="595"/>
      <c r="W857" s="568"/>
      <c r="X857" s="568"/>
      <c r="Y857" s="566"/>
    </row>
    <row r="858" spans="18:25" x14ac:dyDescent="0.25">
      <c r="R858" s="594"/>
      <c r="T858" s="592"/>
      <c r="U858" s="595"/>
      <c r="W858" s="568"/>
      <c r="X858" s="568"/>
      <c r="Y858" s="566"/>
    </row>
    <row r="859" spans="18:25" x14ac:dyDescent="0.25">
      <c r="R859" s="594"/>
      <c r="T859" s="592"/>
      <c r="U859" s="595"/>
      <c r="W859" s="568"/>
      <c r="X859" s="568"/>
      <c r="Y859" s="566"/>
    </row>
    <row r="860" spans="18:25" x14ac:dyDescent="0.25">
      <c r="R860" s="594"/>
      <c r="T860" s="592"/>
      <c r="U860" s="595"/>
      <c r="W860" s="568"/>
      <c r="X860" s="568"/>
      <c r="Y860" s="566"/>
    </row>
    <row r="861" spans="18:25" x14ac:dyDescent="0.25">
      <c r="R861" s="594"/>
      <c r="T861" s="592"/>
      <c r="U861" s="595"/>
      <c r="W861" s="568"/>
      <c r="X861" s="568"/>
      <c r="Y861" s="566"/>
    </row>
    <row r="862" spans="18:25" x14ac:dyDescent="0.25">
      <c r="R862" s="594"/>
      <c r="T862" s="592"/>
      <c r="U862" s="595"/>
      <c r="W862" s="568"/>
      <c r="X862" s="568"/>
      <c r="Y862" s="566"/>
    </row>
    <row r="863" spans="18:25" x14ac:dyDescent="0.25">
      <c r="R863" s="594"/>
      <c r="T863" s="592"/>
      <c r="U863" s="595"/>
      <c r="W863" s="568"/>
      <c r="X863" s="568"/>
      <c r="Y863" s="566"/>
    </row>
    <row r="864" spans="18:25" x14ac:dyDescent="0.25">
      <c r="R864" s="594"/>
      <c r="T864" s="592"/>
      <c r="U864" s="595"/>
      <c r="W864" s="568"/>
      <c r="X864" s="568"/>
      <c r="Y864" s="566"/>
    </row>
    <row r="865" spans="18:25" x14ac:dyDescent="0.25">
      <c r="R865" s="594"/>
      <c r="T865" s="592"/>
      <c r="U865" s="595"/>
      <c r="W865" s="568"/>
      <c r="X865" s="568"/>
      <c r="Y865" s="566"/>
    </row>
    <row r="866" spans="18:25" x14ac:dyDescent="0.25">
      <c r="R866" s="594"/>
      <c r="T866" s="592"/>
      <c r="U866" s="595"/>
      <c r="W866" s="568"/>
      <c r="X866" s="568"/>
      <c r="Y866" s="566"/>
    </row>
    <row r="867" spans="18:25" x14ac:dyDescent="0.25">
      <c r="R867" s="594"/>
      <c r="T867" s="592"/>
      <c r="U867" s="595"/>
      <c r="W867" s="568"/>
      <c r="X867" s="568"/>
      <c r="Y867" s="566"/>
    </row>
    <row r="868" spans="18:25" x14ac:dyDescent="0.25">
      <c r="R868" s="594"/>
      <c r="T868" s="592"/>
      <c r="U868" s="595"/>
      <c r="W868" s="568"/>
      <c r="X868" s="568"/>
      <c r="Y868" s="566"/>
    </row>
    <row r="869" spans="18:25" x14ac:dyDescent="0.25">
      <c r="R869" s="594"/>
      <c r="T869" s="592"/>
      <c r="U869" s="595"/>
      <c r="W869" s="568"/>
      <c r="X869" s="568"/>
      <c r="Y869" s="566"/>
    </row>
    <row r="870" spans="18:25" x14ac:dyDescent="0.25">
      <c r="R870" s="594"/>
      <c r="T870" s="592"/>
      <c r="U870" s="595"/>
      <c r="W870" s="568"/>
      <c r="X870" s="568"/>
      <c r="Y870" s="566"/>
    </row>
    <row r="871" spans="18:25" x14ac:dyDescent="0.25">
      <c r="R871" s="594"/>
      <c r="T871" s="592"/>
      <c r="U871" s="595"/>
      <c r="W871" s="568"/>
      <c r="X871" s="568"/>
      <c r="Y871" s="566"/>
    </row>
    <row r="872" spans="18:25" x14ac:dyDescent="0.25">
      <c r="R872" s="594"/>
      <c r="T872" s="592"/>
      <c r="U872" s="595"/>
      <c r="W872" s="568"/>
      <c r="X872" s="568"/>
      <c r="Y872" s="566"/>
    </row>
    <row r="873" spans="18:25" x14ac:dyDescent="0.25">
      <c r="R873" s="594"/>
      <c r="T873" s="592"/>
      <c r="U873" s="595"/>
      <c r="W873" s="568"/>
      <c r="X873" s="568"/>
      <c r="Y873" s="566"/>
    </row>
    <row r="874" spans="18:25" x14ac:dyDescent="0.25">
      <c r="R874" s="594"/>
      <c r="T874" s="592"/>
      <c r="U874" s="595"/>
      <c r="W874" s="568"/>
      <c r="X874" s="568"/>
      <c r="Y874" s="566"/>
    </row>
    <row r="875" spans="18:25" x14ac:dyDescent="0.25">
      <c r="R875" s="594"/>
      <c r="T875" s="592"/>
      <c r="U875" s="595"/>
      <c r="W875" s="568"/>
      <c r="X875" s="568"/>
      <c r="Y875" s="566"/>
    </row>
    <row r="876" spans="18:25" x14ac:dyDescent="0.25">
      <c r="R876" s="594"/>
      <c r="T876" s="592"/>
      <c r="U876" s="595"/>
      <c r="W876" s="568"/>
      <c r="X876" s="568"/>
      <c r="Y876" s="566"/>
    </row>
    <row r="877" spans="18:25" x14ac:dyDescent="0.25">
      <c r="R877" s="594"/>
      <c r="T877" s="592"/>
      <c r="U877" s="595"/>
      <c r="W877" s="568"/>
      <c r="X877" s="568"/>
      <c r="Y877" s="566"/>
    </row>
    <row r="878" spans="18:25" x14ac:dyDescent="0.25">
      <c r="R878" s="594"/>
      <c r="T878" s="592"/>
      <c r="U878" s="595"/>
      <c r="W878" s="568"/>
      <c r="X878" s="568"/>
      <c r="Y878" s="566"/>
    </row>
    <row r="879" spans="18:25" x14ac:dyDescent="0.25">
      <c r="R879" s="594"/>
      <c r="T879" s="592"/>
      <c r="U879" s="595"/>
      <c r="W879" s="568"/>
      <c r="X879" s="568"/>
      <c r="Y879" s="566"/>
    </row>
    <row r="880" spans="18:25" x14ac:dyDescent="0.25">
      <c r="R880" s="594"/>
      <c r="T880" s="592"/>
      <c r="U880" s="595"/>
      <c r="W880" s="568"/>
      <c r="X880" s="568"/>
      <c r="Y880" s="566"/>
    </row>
    <row r="881" spans="18:25" x14ac:dyDescent="0.25">
      <c r="R881" s="594"/>
      <c r="T881" s="592"/>
      <c r="U881" s="595"/>
      <c r="W881" s="568"/>
      <c r="X881" s="568"/>
      <c r="Y881" s="566"/>
    </row>
    <row r="882" spans="18:25" x14ac:dyDescent="0.25">
      <c r="R882" s="594"/>
      <c r="T882" s="592"/>
      <c r="U882" s="595"/>
      <c r="W882" s="568"/>
      <c r="X882" s="568"/>
      <c r="Y882" s="566"/>
    </row>
    <row r="883" spans="18:25" x14ac:dyDescent="0.25">
      <c r="R883" s="594"/>
      <c r="T883" s="592"/>
      <c r="U883" s="595"/>
      <c r="W883" s="568"/>
      <c r="X883" s="568"/>
      <c r="Y883" s="566"/>
    </row>
    <row r="884" spans="18:25" x14ac:dyDescent="0.25">
      <c r="R884" s="594"/>
      <c r="T884" s="592"/>
      <c r="U884" s="595"/>
      <c r="W884" s="568"/>
      <c r="X884" s="568"/>
      <c r="Y884" s="566"/>
    </row>
    <row r="885" spans="18:25" x14ac:dyDescent="0.25">
      <c r="R885" s="594"/>
      <c r="T885" s="592"/>
      <c r="U885" s="595"/>
      <c r="W885" s="568"/>
      <c r="X885" s="568"/>
      <c r="Y885" s="566"/>
    </row>
    <row r="886" spans="18:25" x14ac:dyDescent="0.25">
      <c r="R886" s="594"/>
      <c r="T886" s="592"/>
      <c r="U886" s="595"/>
      <c r="W886" s="568"/>
      <c r="X886" s="568"/>
      <c r="Y886" s="566"/>
    </row>
    <row r="887" spans="18:25" x14ac:dyDescent="0.25">
      <c r="R887" s="594"/>
      <c r="T887" s="592"/>
      <c r="U887" s="595"/>
      <c r="W887" s="568"/>
      <c r="X887" s="568"/>
      <c r="Y887" s="566"/>
    </row>
    <row r="888" spans="18:25" x14ac:dyDescent="0.25">
      <c r="R888" s="594"/>
      <c r="T888" s="592"/>
      <c r="U888" s="595"/>
      <c r="W888" s="568"/>
      <c r="X888" s="568"/>
      <c r="Y888" s="566"/>
    </row>
    <row r="889" spans="18:25" x14ac:dyDescent="0.25">
      <c r="R889" s="594"/>
      <c r="T889" s="592"/>
      <c r="U889" s="595"/>
      <c r="W889" s="568"/>
      <c r="X889" s="568"/>
      <c r="Y889" s="566"/>
    </row>
    <row r="890" spans="18:25" x14ac:dyDescent="0.25">
      <c r="R890" s="594"/>
      <c r="T890" s="592"/>
      <c r="U890" s="595"/>
      <c r="W890" s="568"/>
      <c r="X890" s="568"/>
      <c r="Y890" s="566"/>
    </row>
    <row r="891" spans="18:25" x14ac:dyDescent="0.25">
      <c r="R891" s="594"/>
      <c r="T891" s="592"/>
      <c r="U891" s="595"/>
      <c r="W891" s="568"/>
      <c r="X891" s="568"/>
      <c r="Y891" s="566"/>
    </row>
    <row r="892" spans="18:25" x14ac:dyDescent="0.25">
      <c r="R892" s="594"/>
      <c r="T892" s="592"/>
      <c r="U892" s="595"/>
      <c r="W892" s="568"/>
      <c r="X892" s="568"/>
      <c r="Y892" s="566"/>
    </row>
    <row r="893" spans="18:25" x14ac:dyDescent="0.25">
      <c r="R893" s="594"/>
      <c r="T893" s="592"/>
      <c r="U893" s="595"/>
      <c r="W893" s="568"/>
      <c r="X893" s="568"/>
      <c r="Y893" s="566"/>
    </row>
    <row r="894" spans="18:25" x14ac:dyDescent="0.25">
      <c r="R894" s="594"/>
      <c r="T894" s="592"/>
      <c r="U894" s="595"/>
      <c r="W894" s="568"/>
      <c r="X894" s="568"/>
      <c r="Y894" s="566"/>
    </row>
    <row r="895" spans="18:25" x14ac:dyDescent="0.25">
      <c r="R895" s="594"/>
      <c r="T895" s="592"/>
      <c r="U895" s="595"/>
      <c r="W895" s="568"/>
      <c r="X895" s="568"/>
      <c r="Y895" s="566"/>
    </row>
    <row r="896" spans="18:25" x14ac:dyDescent="0.25">
      <c r="R896" s="594"/>
      <c r="T896" s="592"/>
      <c r="U896" s="595"/>
      <c r="W896" s="568"/>
      <c r="X896" s="568"/>
      <c r="Y896" s="566"/>
    </row>
    <row r="897" spans="18:25" x14ac:dyDescent="0.25">
      <c r="R897" s="594"/>
      <c r="T897" s="592"/>
      <c r="U897" s="595"/>
      <c r="W897" s="568"/>
      <c r="X897" s="568"/>
      <c r="Y897" s="566"/>
    </row>
    <row r="898" spans="18:25" x14ac:dyDescent="0.25">
      <c r="R898" s="594"/>
      <c r="T898" s="592"/>
      <c r="U898" s="595"/>
      <c r="W898" s="568"/>
      <c r="X898" s="568"/>
      <c r="Y898" s="566"/>
    </row>
    <row r="899" spans="18:25" x14ac:dyDescent="0.25">
      <c r="R899" s="594"/>
      <c r="T899" s="592"/>
      <c r="U899" s="595"/>
      <c r="W899" s="568"/>
      <c r="X899" s="568"/>
      <c r="Y899" s="566"/>
    </row>
    <row r="900" spans="18:25" x14ac:dyDescent="0.25">
      <c r="R900" s="594"/>
      <c r="T900" s="592"/>
      <c r="U900" s="595"/>
      <c r="W900" s="568"/>
      <c r="X900" s="568"/>
      <c r="Y900" s="566"/>
    </row>
    <row r="901" spans="18:25" x14ac:dyDescent="0.25">
      <c r="R901" s="594"/>
      <c r="T901" s="592"/>
      <c r="U901" s="595"/>
      <c r="W901" s="568"/>
      <c r="X901" s="568"/>
      <c r="Y901" s="566"/>
    </row>
    <row r="902" spans="18:25" x14ac:dyDescent="0.25">
      <c r="R902" s="594"/>
      <c r="T902" s="592"/>
      <c r="U902" s="595"/>
      <c r="W902" s="568"/>
      <c r="X902" s="568"/>
      <c r="Y902" s="566"/>
    </row>
    <row r="903" spans="18:25" x14ac:dyDescent="0.25">
      <c r="R903" s="594"/>
      <c r="T903" s="592"/>
      <c r="U903" s="595"/>
      <c r="W903" s="568"/>
      <c r="X903" s="568"/>
      <c r="Y903" s="566"/>
    </row>
    <row r="904" spans="18:25" x14ac:dyDescent="0.25">
      <c r="R904" s="594"/>
      <c r="T904" s="592"/>
      <c r="U904" s="595"/>
      <c r="W904" s="568"/>
      <c r="X904" s="568"/>
      <c r="Y904" s="566"/>
    </row>
    <row r="905" spans="18:25" x14ac:dyDescent="0.25">
      <c r="R905" s="594"/>
      <c r="T905" s="592"/>
      <c r="U905" s="595"/>
      <c r="W905" s="568"/>
      <c r="X905" s="568"/>
      <c r="Y905" s="566"/>
    </row>
    <row r="906" spans="18:25" x14ac:dyDescent="0.25">
      <c r="R906" s="594"/>
      <c r="T906" s="592"/>
      <c r="U906" s="595"/>
      <c r="W906" s="568"/>
      <c r="X906" s="568"/>
      <c r="Y906" s="566"/>
    </row>
    <row r="907" spans="18:25" x14ac:dyDescent="0.25">
      <c r="R907" s="594"/>
      <c r="T907" s="592"/>
      <c r="U907" s="595"/>
      <c r="W907" s="568"/>
      <c r="X907" s="568"/>
      <c r="Y907" s="566"/>
    </row>
    <row r="908" spans="18:25" x14ac:dyDescent="0.25">
      <c r="R908" s="594"/>
      <c r="T908" s="592"/>
      <c r="U908" s="595"/>
      <c r="W908" s="568"/>
      <c r="X908" s="568"/>
      <c r="Y908" s="566"/>
    </row>
    <row r="909" spans="18:25" x14ac:dyDescent="0.25">
      <c r="R909" s="594"/>
      <c r="T909" s="592"/>
      <c r="U909" s="595"/>
      <c r="W909" s="568"/>
      <c r="X909" s="568"/>
      <c r="Y909" s="566"/>
    </row>
    <row r="910" spans="18:25" x14ac:dyDescent="0.25">
      <c r="R910" s="594"/>
      <c r="T910" s="592"/>
      <c r="U910" s="595"/>
      <c r="W910" s="568"/>
      <c r="X910" s="568"/>
      <c r="Y910" s="566"/>
    </row>
    <row r="911" spans="18:25" x14ac:dyDescent="0.25">
      <c r="R911" s="594"/>
      <c r="T911" s="592"/>
      <c r="U911" s="595"/>
      <c r="W911" s="568"/>
      <c r="X911" s="568"/>
      <c r="Y911" s="566"/>
    </row>
    <row r="912" spans="18:25" x14ac:dyDescent="0.25">
      <c r="R912" s="594"/>
      <c r="T912" s="592"/>
      <c r="U912" s="595"/>
      <c r="W912" s="568"/>
      <c r="X912" s="568"/>
      <c r="Y912" s="566"/>
    </row>
    <row r="913" spans="18:25" x14ac:dyDescent="0.25">
      <c r="R913" s="594"/>
      <c r="T913" s="592"/>
      <c r="U913" s="595"/>
      <c r="W913" s="568"/>
      <c r="X913" s="568"/>
      <c r="Y913" s="566"/>
    </row>
    <row r="914" spans="18:25" x14ac:dyDescent="0.25">
      <c r="R914" s="594"/>
      <c r="T914" s="592"/>
      <c r="U914" s="595"/>
      <c r="W914" s="568"/>
      <c r="X914" s="568"/>
      <c r="Y914" s="566"/>
    </row>
    <row r="915" spans="18:25" x14ac:dyDescent="0.25">
      <c r="R915" s="594"/>
      <c r="T915" s="592"/>
      <c r="U915" s="595"/>
      <c r="W915" s="568"/>
      <c r="X915" s="568"/>
      <c r="Y915" s="566"/>
    </row>
    <row r="916" spans="18:25" x14ac:dyDescent="0.25">
      <c r="R916" s="594"/>
      <c r="T916" s="592"/>
      <c r="U916" s="595"/>
      <c r="W916" s="568"/>
      <c r="X916" s="568"/>
      <c r="Y916" s="566"/>
    </row>
    <row r="917" spans="18:25" x14ac:dyDescent="0.25">
      <c r="R917" s="594"/>
      <c r="T917" s="592"/>
      <c r="U917" s="595"/>
      <c r="W917" s="568"/>
      <c r="X917" s="568"/>
      <c r="Y917" s="566"/>
    </row>
    <row r="918" spans="18:25" x14ac:dyDescent="0.25">
      <c r="R918" s="594"/>
      <c r="T918" s="592"/>
      <c r="U918" s="595"/>
      <c r="W918" s="568"/>
      <c r="X918" s="568"/>
      <c r="Y918" s="566"/>
    </row>
    <row r="919" spans="18:25" x14ac:dyDescent="0.25">
      <c r="R919" s="594"/>
      <c r="T919" s="592"/>
      <c r="U919" s="595"/>
      <c r="W919" s="568"/>
      <c r="X919" s="568"/>
      <c r="Y919" s="566"/>
    </row>
    <row r="920" spans="18:25" x14ac:dyDescent="0.25">
      <c r="R920" s="594"/>
      <c r="T920" s="592"/>
      <c r="U920" s="595"/>
      <c r="W920" s="568"/>
      <c r="X920" s="568"/>
      <c r="Y920" s="566"/>
    </row>
    <row r="921" spans="18:25" x14ac:dyDescent="0.25">
      <c r="R921" s="594"/>
      <c r="T921" s="592"/>
      <c r="U921" s="595"/>
      <c r="W921" s="568"/>
      <c r="X921" s="568"/>
      <c r="Y921" s="566"/>
    </row>
    <row r="922" spans="18:25" x14ac:dyDescent="0.25">
      <c r="R922" s="594"/>
      <c r="T922" s="592"/>
      <c r="U922" s="595"/>
      <c r="W922" s="568"/>
      <c r="X922" s="568"/>
      <c r="Y922" s="566"/>
    </row>
    <row r="923" spans="18:25" x14ac:dyDescent="0.25">
      <c r="R923" s="594"/>
      <c r="T923" s="592"/>
      <c r="U923" s="595"/>
      <c r="W923" s="568"/>
      <c r="X923" s="568"/>
      <c r="Y923" s="566"/>
    </row>
    <row r="924" spans="18:25" x14ac:dyDescent="0.25">
      <c r="R924" s="594"/>
      <c r="T924" s="592"/>
      <c r="U924" s="595"/>
      <c r="W924" s="568"/>
      <c r="X924" s="568"/>
      <c r="Y924" s="566"/>
    </row>
    <row r="925" spans="18:25" x14ac:dyDescent="0.25">
      <c r="R925" s="594"/>
      <c r="T925" s="592"/>
      <c r="U925" s="595"/>
      <c r="W925" s="568"/>
      <c r="X925" s="568"/>
      <c r="Y925" s="566"/>
    </row>
    <row r="926" spans="18:25" x14ac:dyDescent="0.25">
      <c r="R926" s="594"/>
      <c r="T926" s="592"/>
      <c r="U926" s="595"/>
      <c r="W926" s="568"/>
      <c r="X926" s="568"/>
      <c r="Y926" s="566"/>
    </row>
    <row r="927" spans="18:25" x14ac:dyDescent="0.25">
      <c r="R927" s="594"/>
      <c r="T927" s="592"/>
      <c r="U927" s="595"/>
      <c r="W927" s="568"/>
      <c r="X927" s="568"/>
      <c r="Y927" s="566"/>
    </row>
    <row r="928" spans="18:25" x14ac:dyDescent="0.25">
      <c r="R928" s="594"/>
      <c r="T928" s="592"/>
      <c r="U928" s="595"/>
      <c r="W928" s="568"/>
      <c r="X928" s="568"/>
      <c r="Y928" s="566"/>
    </row>
    <row r="929" spans="18:25" x14ac:dyDescent="0.25">
      <c r="R929" s="594"/>
      <c r="T929" s="592"/>
      <c r="U929" s="595"/>
      <c r="W929" s="568"/>
      <c r="X929" s="568"/>
      <c r="Y929" s="566"/>
    </row>
    <row r="930" spans="18:25" x14ac:dyDescent="0.25">
      <c r="R930" s="594"/>
      <c r="T930" s="592"/>
      <c r="U930" s="595"/>
      <c r="W930" s="568"/>
      <c r="X930" s="568"/>
      <c r="Y930" s="566"/>
    </row>
    <row r="931" spans="18:25" x14ac:dyDescent="0.25">
      <c r="R931" s="594"/>
      <c r="T931" s="592"/>
      <c r="U931" s="595"/>
      <c r="W931" s="568"/>
      <c r="X931" s="568"/>
      <c r="Y931" s="566"/>
    </row>
    <row r="932" spans="18:25" x14ac:dyDescent="0.25">
      <c r="R932" s="594"/>
      <c r="T932" s="592"/>
      <c r="U932" s="595"/>
      <c r="W932" s="568"/>
      <c r="X932" s="568"/>
      <c r="Y932" s="566"/>
    </row>
    <row r="933" spans="18:25" x14ac:dyDescent="0.25">
      <c r="R933" s="594"/>
      <c r="T933" s="592"/>
      <c r="U933" s="595"/>
      <c r="W933" s="568"/>
      <c r="X933" s="568"/>
      <c r="Y933" s="566"/>
    </row>
    <row r="934" spans="18:25" x14ac:dyDescent="0.25">
      <c r="R934" s="594"/>
      <c r="T934" s="592"/>
      <c r="U934" s="595"/>
      <c r="W934" s="568"/>
      <c r="X934" s="568"/>
      <c r="Y934" s="566"/>
    </row>
    <row r="935" spans="18:25" x14ac:dyDescent="0.25">
      <c r="R935" s="594"/>
      <c r="T935" s="592"/>
      <c r="U935" s="595"/>
      <c r="W935" s="568"/>
      <c r="X935" s="568"/>
      <c r="Y935" s="566"/>
    </row>
    <row r="936" spans="18:25" x14ac:dyDescent="0.25">
      <c r="R936" s="594"/>
      <c r="T936" s="592"/>
      <c r="U936" s="595"/>
      <c r="W936" s="568"/>
      <c r="X936" s="568"/>
      <c r="Y936" s="566"/>
    </row>
    <row r="937" spans="18:25" x14ac:dyDescent="0.25">
      <c r="R937" s="594"/>
      <c r="T937" s="592"/>
      <c r="U937" s="595"/>
      <c r="W937" s="568"/>
      <c r="X937" s="568"/>
      <c r="Y937" s="566"/>
    </row>
    <row r="938" spans="18:25" x14ac:dyDescent="0.25">
      <c r="R938" s="594"/>
      <c r="T938" s="592"/>
      <c r="U938" s="595"/>
      <c r="W938" s="568"/>
      <c r="X938" s="568"/>
      <c r="Y938" s="566"/>
    </row>
    <row r="939" spans="18:25" x14ac:dyDescent="0.25">
      <c r="R939" s="594"/>
      <c r="T939" s="592"/>
      <c r="U939" s="595"/>
      <c r="W939" s="568"/>
      <c r="X939" s="568"/>
      <c r="Y939" s="566"/>
    </row>
    <row r="940" spans="18:25" x14ac:dyDescent="0.25">
      <c r="R940" s="594"/>
      <c r="T940" s="592"/>
      <c r="U940" s="595"/>
      <c r="W940" s="568"/>
      <c r="X940" s="568"/>
      <c r="Y940" s="566"/>
    </row>
    <row r="941" spans="18:25" x14ac:dyDescent="0.25">
      <c r="R941" s="594"/>
      <c r="T941" s="592"/>
      <c r="U941" s="595"/>
      <c r="W941" s="568"/>
      <c r="X941" s="568"/>
      <c r="Y941" s="566"/>
    </row>
    <row r="942" spans="18:25" x14ac:dyDescent="0.25">
      <c r="R942" s="594"/>
      <c r="T942" s="592"/>
      <c r="U942" s="595"/>
      <c r="W942" s="568"/>
      <c r="X942" s="568"/>
      <c r="Y942" s="566"/>
    </row>
    <row r="943" spans="18:25" x14ac:dyDescent="0.25">
      <c r="R943" s="594"/>
      <c r="T943" s="592"/>
      <c r="U943" s="595"/>
      <c r="W943" s="568"/>
      <c r="X943" s="568"/>
      <c r="Y943" s="566"/>
    </row>
    <row r="944" spans="18:25" x14ac:dyDescent="0.25">
      <c r="R944" s="594"/>
      <c r="T944" s="592"/>
      <c r="U944" s="595"/>
      <c r="W944" s="568"/>
      <c r="X944" s="568"/>
      <c r="Y944" s="566"/>
    </row>
    <row r="945" spans="18:25" x14ac:dyDescent="0.25">
      <c r="R945" s="594"/>
      <c r="T945" s="592"/>
      <c r="U945" s="595"/>
      <c r="W945" s="568"/>
      <c r="X945" s="568"/>
      <c r="Y945" s="566"/>
    </row>
    <row r="946" spans="18:25" x14ac:dyDescent="0.25">
      <c r="R946" s="594"/>
      <c r="T946" s="592"/>
      <c r="U946" s="595"/>
      <c r="W946" s="568"/>
      <c r="X946" s="568"/>
      <c r="Y946" s="566"/>
    </row>
    <row r="947" spans="18:25" x14ac:dyDescent="0.25">
      <c r="R947" s="594"/>
      <c r="T947" s="592"/>
      <c r="U947" s="595"/>
      <c r="W947" s="568"/>
      <c r="X947" s="568"/>
      <c r="Y947" s="566"/>
    </row>
    <row r="948" spans="18:25" x14ac:dyDescent="0.25">
      <c r="R948" s="594"/>
      <c r="T948" s="592"/>
      <c r="U948" s="595"/>
      <c r="W948" s="568"/>
      <c r="X948" s="568"/>
      <c r="Y948" s="566"/>
    </row>
    <row r="949" spans="18:25" x14ac:dyDescent="0.25">
      <c r="R949" s="594"/>
      <c r="T949" s="592"/>
      <c r="U949" s="595"/>
      <c r="W949" s="568"/>
      <c r="X949" s="568"/>
      <c r="Y949" s="566"/>
    </row>
    <row r="950" spans="18:25" x14ac:dyDescent="0.25">
      <c r="R950" s="594"/>
      <c r="T950" s="592"/>
      <c r="U950" s="595"/>
      <c r="W950" s="568"/>
      <c r="X950" s="568"/>
      <c r="Y950" s="566"/>
    </row>
    <row r="951" spans="18:25" x14ac:dyDescent="0.25">
      <c r="R951" s="594"/>
      <c r="T951" s="592"/>
      <c r="U951" s="595"/>
      <c r="W951" s="568"/>
      <c r="X951" s="568"/>
      <c r="Y951" s="566"/>
    </row>
    <row r="952" spans="18:25" x14ac:dyDescent="0.25">
      <c r="R952" s="594"/>
      <c r="T952" s="592"/>
      <c r="U952" s="595"/>
      <c r="W952" s="568"/>
      <c r="X952" s="568"/>
      <c r="Y952" s="566"/>
    </row>
    <row r="953" spans="18:25" x14ac:dyDescent="0.25">
      <c r="R953" s="594"/>
      <c r="T953" s="592"/>
      <c r="U953" s="595"/>
      <c r="W953" s="568"/>
      <c r="X953" s="568"/>
      <c r="Y953" s="566"/>
    </row>
    <row r="954" spans="18:25" x14ac:dyDescent="0.25">
      <c r="R954" s="594"/>
      <c r="T954" s="592"/>
      <c r="U954" s="595"/>
      <c r="W954" s="568"/>
      <c r="X954" s="568"/>
      <c r="Y954" s="566"/>
    </row>
    <row r="955" spans="18:25" x14ac:dyDescent="0.25">
      <c r="R955" s="594"/>
      <c r="T955" s="592"/>
      <c r="U955" s="595"/>
      <c r="W955" s="568"/>
      <c r="X955" s="568"/>
      <c r="Y955" s="566"/>
    </row>
    <row r="956" spans="18:25" x14ac:dyDescent="0.25">
      <c r="R956" s="594"/>
      <c r="T956" s="592"/>
      <c r="U956" s="595"/>
      <c r="W956" s="568"/>
      <c r="X956" s="568"/>
      <c r="Y956" s="566"/>
    </row>
    <row r="957" spans="18:25" x14ac:dyDescent="0.25">
      <c r="R957" s="594"/>
      <c r="T957" s="592"/>
      <c r="U957" s="595"/>
      <c r="W957" s="568"/>
      <c r="X957" s="568"/>
      <c r="Y957" s="566"/>
    </row>
    <row r="958" spans="18:25" x14ac:dyDescent="0.25">
      <c r="R958" s="594"/>
      <c r="T958" s="592"/>
      <c r="U958" s="595"/>
      <c r="W958" s="568"/>
      <c r="X958" s="568"/>
      <c r="Y958" s="566"/>
    </row>
    <row r="959" spans="18:25" x14ac:dyDescent="0.25">
      <c r="R959" s="594"/>
      <c r="T959" s="592"/>
      <c r="U959" s="595"/>
      <c r="W959" s="568"/>
      <c r="X959" s="568"/>
      <c r="Y959" s="566"/>
    </row>
    <row r="960" spans="18:25" x14ac:dyDescent="0.25">
      <c r="R960" s="594"/>
      <c r="T960" s="592"/>
      <c r="U960" s="595"/>
      <c r="W960" s="568"/>
      <c r="X960" s="568"/>
      <c r="Y960" s="566"/>
    </row>
    <row r="961" spans="18:25" x14ac:dyDescent="0.25">
      <c r="R961" s="594"/>
      <c r="T961" s="592"/>
      <c r="U961" s="595"/>
      <c r="W961" s="568"/>
      <c r="X961" s="568"/>
      <c r="Y961" s="566"/>
    </row>
    <row r="962" spans="18:25" x14ac:dyDescent="0.25">
      <c r="R962" s="594"/>
      <c r="T962" s="592"/>
      <c r="U962" s="595"/>
      <c r="W962" s="568"/>
      <c r="X962" s="568"/>
      <c r="Y962" s="566"/>
    </row>
    <row r="963" spans="18:25" x14ac:dyDescent="0.25">
      <c r="R963" s="594"/>
      <c r="T963" s="592"/>
      <c r="U963" s="595"/>
      <c r="W963" s="568"/>
      <c r="X963" s="568"/>
      <c r="Y963" s="566"/>
    </row>
    <row r="964" spans="18:25" x14ac:dyDescent="0.25">
      <c r="R964" s="594"/>
      <c r="T964" s="592"/>
      <c r="U964" s="595"/>
      <c r="W964" s="568"/>
      <c r="X964" s="568"/>
      <c r="Y964" s="566"/>
    </row>
    <row r="965" spans="18:25" x14ac:dyDescent="0.25">
      <c r="R965" s="594"/>
      <c r="T965" s="592"/>
      <c r="U965" s="595"/>
      <c r="W965" s="568"/>
      <c r="X965" s="568"/>
      <c r="Y965" s="566"/>
    </row>
    <row r="966" spans="18:25" x14ac:dyDescent="0.25">
      <c r="R966" s="594"/>
      <c r="T966" s="592"/>
      <c r="U966" s="595"/>
      <c r="W966" s="568"/>
      <c r="X966" s="568"/>
      <c r="Y966" s="566"/>
    </row>
    <row r="967" spans="18:25" x14ac:dyDescent="0.25">
      <c r="R967" s="594"/>
      <c r="T967" s="592"/>
      <c r="U967" s="595"/>
      <c r="W967" s="568"/>
      <c r="X967" s="568"/>
      <c r="Y967" s="566"/>
    </row>
    <row r="968" spans="18:25" x14ac:dyDescent="0.25">
      <c r="R968" s="594"/>
      <c r="T968" s="592"/>
      <c r="U968" s="595"/>
      <c r="W968" s="568"/>
      <c r="X968" s="568"/>
      <c r="Y968" s="566"/>
    </row>
    <row r="969" spans="18:25" x14ac:dyDescent="0.25">
      <c r="R969" s="594"/>
      <c r="T969" s="592"/>
      <c r="U969" s="595"/>
      <c r="W969" s="568"/>
      <c r="X969" s="568"/>
      <c r="Y969" s="566"/>
    </row>
    <row r="970" spans="18:25" x14ac:dyDescent="0.25">
      <c r="R970" s="594"/>
      <c r="T970" s="592"/>
      <c r="U970" s="595"/>
      <c r="W970" s="568"/>
      <c r="X970" s="568"/>
      <c r="Y970" s="566"/>
    </row>
    <row r="971" spans="18:25" x14ac:dyDescent="0.25">
      <c r="R971" s="594"/>
      <c r="T971" s="592"/>
      <c r="U971" s="595"/>
      <c r="W971" s="568"/>
      <c r="X971" s="568"/>
      <c r="Y971" s="566"/>
    </row>
    <row r="972" spans="18:25" x14ac:dyDescent="0.25">
      <c r="R972" s="594"/>
      <c r="T972" s="592"/>
      <c r="U972" s="595"/>
      <c r="W972" s="568"/>
      <c r="X972" s="568"/>
      <c r="Y972" s="566"/>
    </row>
    <row r="973" spans="18:25" x14ac:dyDescent="0.25">
      <c r="R973" s="594"/>
      <c r="T973" s="592"/>
      <c r="U973" s="595"/>
      <c r="W973" s="568"/>
      <c r="X973" s="568"/>
      <c r="Y973" s="566"/>
    </row>
    <row r="974" spans="18:25" x14ac:dyDescent="0.25">
      <c r="R974" s="594"/>
      <c r="T974" s="592"/>
      <c r="U974" s="595"/>
      <c r="W974" s="568"/>
      <c r="X974" s="568"/>
      <c r="Y974" s="566"/>
    </row>
    <row r="975" spans="18:25" x14ac:dyDescent="0.25">
      <c r="R975" s="594"/>
      <c r="T975" s="592"/>
      <c r="U975" s="595"/>
      <c r="W975" s="568"/>
      <c r="X975" s="568"/>
      <c r="Y975" s="566"/>
    </row>
    <row r="976" spans="18:25" x14ac:dyDescent="0.25">
      <c r="R976" s="594"/>
      <c r="T976" s="592"/>
      <c r="U976" s="595"/>
      <c r="W976" s="568"/>
      <c r="X976" s="568"/>
      <c r="Y976" s="566"/>
    </row>
    <row r="977" spans="18:25" x14ac:dyDescent="0.25">
      <c r="R977" s="594"/>
      <c r="T977" s="592"/>
      <c r="U977" s="595"/>
      <c r="W977" s="568"/>
      <c r="X977" s="568"/>
      <c r="Y977" s="566"/>
    </row>
    <row r="978" spans="18:25" x14ac:dyDescent="0.25">
      <c r="R978" s="594"/>
      <c r="T978" s="592"/>
      <c r="U978" s="595"/>
      <c r="W978" s="568"/>
      <c r="X978" s="568"/>
      <c r="Y978" s="566"/>
    </row>
    <row r="979" spans="18:25" x14ac:dyDescent="0.25">
      <c r="R979" s="594"/>
      <c r="T979" s="592"/>
      <c r="U979" s="595"/>
      <c r="W979" s="568"/>
      <c r="X979" s="568"/>
      <c r="Y979" s="566"/>
    </row>
    <row r="980" spans="18:25" x14ac:dyDescent="0.25">
      <c r="R980" s="594"/>
      <c r="T980" s="592"/>
      <c r="U980" s="595"/>
      <c r="W980" s="568"/>
      <c r="X980" s="568"/>
      <c r="Y980" s="566"/>
    </row>
    <row r="981" spans="18:25" x14ac:dyDescent="0.25">
      <c r="R981" s="594"/>
      <c r="T981" s="592"/>
      <c r="U981" s="595"/>
      <c r="W981" s="568"/>
      <c r="X981" s="568"/>
      <c r="Y981" s="566"/>
    </row>
    <row r="982" spans="18:25" x14ac:dyDescent="0.25">
      <c r="R982" s="594"/>
      <c r="T982" s="592"/>
      <c r="U982" s="595"/>
      <c r="W982" s="568"/>
      <c r="X982" s="568"/>
      <c r="Y982" s="566"/>
    </row>
    <row r="983" spans="18:25" x14ac:dyDescent="0.25">
      <c r="R983" s="594"/>
      <c r="T983" s="592"/>
      <c r="U983" s="595"/>
      <c r="W983" s="568"/>
      <c r="X983" s="568"/>
      <c r="Y983" s="566"/>
    </row>
    <row r="984" spans="18:25" x14ac:dyDescent="0.25">
      <c r="R984" s="594"/>
      <c r="T984" s="592"/>
      <c r="U984" s="595"/>
      <c r="W984" s="568"/>
      <c r="X984" s="568"/>
      <c r="Y984" s="566"/>
    </row>
    <row r="985" spans="18:25" x14ac:dyDescent="0.25">
      <c r="R985" s="594"/>
      <c r="T985" s="592"/>
      <c r="U985" s="595"/>
      <c r="W985" s="568"/>
      <c r="X985" s="568"/>
      <c r="Y985" s="566"/>
    </row>
    <row r="986" spans="18:25" x14ac:dyDescent="0.25">
      <c r="R986" s="594"/>
      <c r="T986" s="592"/>
      <c r="U986" s="595"/>
      <c r="W986" s="568"/>
      <c r="X986" s="568"/>
      <c r="Y986" s="566"/>
    </row>
    <row r="987" spans="18:25" x14ac:dyDescent="0.25">
      <c r="R987" s="594"/>
      <c r="T987" s="592"/>
      <c r="U987" s="595"/>
      <c r="W987" s="568"/>
      <c r="X987" s="568"/>
      <c r="Y987" s="566"/>
    </row>
    <row r="988" spans="18:25" x14ac:dyDescent="0.25">
      <c r="R988" s="594"/>
      <c r="T988" s="592"/>
      <c r="U988" s="595"/>
      <c r="W988" s="568"/>
      <c r="X988" s="568"/>
      <c r="Y988" s="566"/>
    </row>
    <row r="989" spans="18:25" x14ac:dyDescent="0.25">
      <c r="R989" s="594"/>
      <c r="T989" s="592"/>
      <c r="U989" s="595"/>
      <c r="W989" s="568"/>
      <c r="X989" s="568"/>
      <c r="Y989" s="566"/>
    </row>
    <row r="990" spans="18:25" x14ac:dyDescent="0.25">
      <c r="R990" s="594"/>
      <c r="T990" s="592"/>
      <c r="U990" s="595"/>
      <c r="W990" s="568"/>
      <c r="X990" s="568"/>
      <c r="Y990" s="566"/>
    </row>
    <row r="991" spans="18:25" x14ac:dyDescent="0.25">
      <c r="R991" s="594"/>
      <c r="T991" s="592"/>
      <c r="U991" s="595"/>
      <c r="W991" s="568"/>
      <c r="X991" s="568"/>
      <c r="Y991" s="566"/>
    </row>
    <row r="992" spans="18:25" x14ac:dyDescent="0.25">
      <c r="R992" s="594"/>
      <c r="T992" s="592"/>
      <c r="U992" s="595"/>
      <c r="W992" s="568"/>
      <c r="X992" s="568"/>
      <c r="Y992" s="566"/>
    </row>
    <row r="993" spans="18:25" x14ac:dyDescent="0.25">
      <c r="R993" s="594"/>
      <c r="T993" s="592"/>
      <c r="U993" s="595"/>
      <c r="W993" s="568"/>
      <c r="X993" s="568"/>
      <c r="Y993" s="566"/>
    </row>
    <row r="994" spans="18:25" x14ac:dyDescent="0.25">
      <c r="R994" s="594"/>
      <c r="T994" s="592"/>
      <c r="U994" s="595"/>
      <c r="W994" s="568"/>
      <c r="X994" s="568"/>
      <c r="Y994" s="566"/>
    </row>
    <row r="995" spans="18:25" x14ac:dyDescent="0.25">
      <c r="R995" s="594"/>
      <c r="T995" s="592"/>
      <c r="U995" s="595"/>
      <c r="W995" s="568"/>
      <c r="X995" s="568"/>
      <c r="Y995" s="566"/>
    </row>
    <row r="996" spans="18:25" x14ac:dyDescent="0.25">
      <c r="R996" s="594"/>
      <c r="T996" s="592"/>
      <c r="U996" s="595"/>
      <c r="W996" s="568"/>
      <c r="X996" s="568"/>
      <c r="Y996" s="566"/>
    </row>
    <row r="997" spans="18:25" x14ac:dyDescent="0.25">
      <c r="R997" s="594"/>
      <c r="T997" s="592"/>
      <c r="U997" s="595"/>
      <c r="W997" s="568"/>
      <c r="X997" s="568"/>
      <c r="Y997" s="566"/>
    </row>
    <row r="998" spans="18:25" x14ac:dyDescent="0.25">
      <c r="R998" s="594"/>
      <c r="T998" s="592"/>
      <c r="U998" s="595"/>
      <c r="W998" s="568"/>
      <c r="X998" s="568"/>
      <c r="Y998" s="566"/>
    </row>
    <row r="999" spans="18:25" x14ac:dyDescent="0.25">
      <c r="R999" s="594"/>
      <c r="T999" s="592"/>
      <c r="U999" s="595"/>
      <c r="W999" s="568"/>
      <c r="X999" s="568"/>
      <c r="Y999" s="566"/>
    </row>
    <row r="1000" spans="18:25" x14ac:dyDescent="0.25">
      <c r="R1000" s="594"/>
      <c r="T1000" s="592"/>
      <c r="U1000" s="595"/>
      <c r="W1000" s="568"/>
      <c r="X1000" s="568"/>
      <c r="Y1000" s="566"/>
    </row>
    <row r="1001" spans="18:25" x14ac:dyDescent="0.25">
      <c r="R1001" s="594"/>
      <c r="T1001" s="592"/>
      <c r="U1001" s="595"/>
      <c r="W1001" s="568"/>
      <c r="X1001" s="568"/>
      <c r="Y1001" s="566"/>
    </row>
    <row r="1002" spans="18:25" x14ac:dyDescent="0.25">
      <c r="R1002" s="594"/>
      <c r="T1002" s="592"/>
      <c r="U1002" s="595"/>
      <c r="W1002" s="568"/>
      <c r="X1002" s="568"/>
      <c r="Y1002" s="566"/>
    </row>
    <row r="1003" spans="18:25" x14ac:dyDescent="0.25">
      <c r="R1003" s="594"/>
      <c r="T1003" s="592"/>
      <c r="U1003" s="595"/>
      <c r="W1003" s="568"/>
      <c r="X1003" s="568"/>
      <c r="Y1003" s="566"/>
    </row>
    <row r="1004" spans="18:25" x14ac:dyDescent="0.25">
      <c r="R1004" s="594"/>
      <c r="T1004" s="592"/>
      <c r="U1004" s="595"/>
      <c r="W1004" s="568"/>
      <c r="X1004" s="568"/>
      <c r="Y1004" s="566"/>
    </row>
    <row r="1005" spans="18:25" x14ac:dyDescent="0.25">
      <c r="R1005" s="594"/>
      <c r="T1005" s="592"/>
      <c r="U1005" s="595"/>
      <c r="W1005" s="568"/>
      <c r="X1005" s="568"/>
      <c r="Y1005" s="566"/>
    </row>
    <row r="1006" spans="18:25" x14ac:dyDescent="0.25">
      <c r="R1006" s="594"/>
      <c r="T1006" s="592"/>
      <c r="U1006" s="595"/>
      <c r="W1006" s="568"/>
      <c r="X1006" s="568"/>
      <c r="Y1006" s="566"/>
    </row>
    <row r="1007" spans="18:25" x14ac:dyDescent="0.25">
      <c r="R1007" s="594"/>
      <c r="T1007" s="592"/>
      <c r="U1007" s="595"/>
      <c r="W1007" s="568"/>
      <c r="X1007" s="568"/>
      <c r="Y1007" s="566"/>
    </row>
    <row r="1008" spans="18:25" x14ac:dyDescent="0.25">
      <c r="R1008" s="594"/>
      <c r="T1008" s="592"/>
      <c r="U1008" s="595"/>
      <c r="W1008" s="568"/>
      <c r="X1008" s="568"/>
      <c r="Y1008" s="566"/>
    </row>
    <row r="1009" spans="18:25" x14ac:dyDescent="0.25">
      <c r="R1009" s="594"/>
      <c r="T1009" s="592"/>
      <c r="U1009" s="595"/>
      <c r="W1009" s="568"/>
      <c r="X1009" s="568"/>
      <c r="Y1009" s="566"/>
    </row>
    <row r="1010" spans="18:25" x14ac:dyDescent="0.25">
      <c r="R1010" s="594"/>
      <c r="T1010" s="592"/>
      <c r="U1010" s="595"/>
      <c r="W1010" s="568"/>
      <c r="X1010" s="568"/>
      <c r="Y1010" s="566"/>
    </row>
    <row r="1011" spans="18:25" x14ac:dyDescent="0.25">
      <c r="R1011" s="594"/>
      <c r="T1011" s="592"/>
      <c r="U1011" s="595"/>
      <c r="W1011" s="568"/>
      <c r="X1011" s="568"/>
      <c r="Y1011" s="566"/>
    </row>
    <row r="1012" spans="18:25" x14ac:dyDescent="0.25">
      <c r="R1012" s="594"/>
      <c r="T1012" s="592"/>
      <c r="U1012" s="595"/>
      <c r="W1012" s="568"/>
      <c r="X1012" s="568"/>
      <c r="Y1012" s="566"/>
    </row>
    <row r="1013" spans="18:25" x14ac:dyDescent="0.25">
      <c r="R1013" s="594"/>
      <c r="T1013" s="592"/>
      <c r="U1013" s="595"/>
      <c r="W1013" s="568"/>
      <c r="X1013" s="568"/>
      <c r="Y1013" s="566"/>
    </row>
    <row r="1014" spans="18:25" x14ac:dyDescent="0.25">
      <c r="R1014" s="594"/>
      <c r="T1014" s="592"/>
      <c r="U1014" s="595"/>
      <c r="W1014" s="568"/>
      <c r="X1014" s="568"/>
      <c r="Y1014" s="566"/>
    </row>
    <row r="1015" spans="18:25" x14ac:dyDescent="0.25">
      <c r="R1015" s="594"/>
      <c r="T1015" s="592"/>
      <c r="U1015" s="595"/>
      <c r="W1015" s="568"/>
      <c r="X1015" s="568"/>
      <c r="Y1015" s="566"/>
    </row>
    <row r="1016" spans="18:25" x14ac:dyDescent="0.25">
      <c r="R1016" s="594"/>
      <c r="T1016" s="592"/>
      <c r="U1016" s="595"/>
      <c r="W1016" s="568"/>
      <c r="X1016" s="568"/>
      <c r="Y1016" s="566"/>
    </row>
    <row r="1017" spans="18:25" x14ac:dyDescent="0.25">
      <c r="R1017" s="594"/>
      <c r="T1017" s="592"/>
      <c r="U1017" s="595"/>
      <c r="W1017" s="568"/>
      <c r="X1017" s="568"/>
      <c r="Y1017" s="566"/>
    </row>
    <row r="1018" spans="18:25" x14ac:dyDescent="0.25">
      <c r="R1018" s="594"/>
      <c r="T1018" s="592"/>
      <c r="U1018" s="595"/>
      <c r="W1018" s="568"/>
      <c r="X1018" s="568"/>
      <c r="Y1018" s="566"/>
    </row>
    <row r="1019" spans="18:25" x14ac:dyDescent="0.25">
      <c r="R1019" s="594"/>
      <c r="T1019" s="592"/>
      <c r="U1019" s="595"/>
      <c r="W1019" s="568"/>
      <c r="X1019" s="568"/>
      <c r="Y1019" s="566"/>
    </row>
    <row r="1020" spans="18:25" x14ac:dyDescent="0.25">
      <c r="R1020" s="594"/>
      <c r="T1020" s="592"/>
      <c r="U1020" s="595"/>
      <c r="W1020" s="568"/>
      <c r="X1020" s="568"/>
      <c r="Y1020" s="566"/>
    </row>
    <row r="1021" spans="18:25" x14ac:dyDescent="0.25">
      <c r="R1021" s="594"/>
      <c r="T1021" s="592"/>
      <c r="U1021" s="595"/>
      <c r="W1021" s="568"/>
      <c r="X1021" s="568"/>
      <c r="Y1021" s="566"/>
    </row>
    <row r="1022" spans="18:25" x14ac:dyDescent="0.25">
      <c r="R1022" s="594"/>
      <c r="T1022" s="592"/>
      <c r="U1022" s="595"/>
      <c r="W1022" s="568"/>
      <c r="X1022" s="568"/>
      <c r="Y1022" s="566"/>
    </row>
    <row r="1023" spans="18:25" x14ac:dyDescent="0.25">
      <c r="R1023" s="594"/>
      <c r="T1023" s="592"/>
      <c r="U1023" s="595"/>
      <c r="W1023" s="568"/>
      <c r="X1023" s="568"/>
      <c r="Y1023" s="566"/>
    </row>
    <row r="1024" spans="18:25" x14ac:dyDescent="0.25">
      <c r="R1024" s="594"/>
      <c r="T1024" s="592"/>
      <c r="U1024" s="595"/>
      <c r="W1024" s="568"/>
      <c r="X1024" s="568"/>
      <c r="Y1024" s="566"/>
    </row>
    <row r="1025" spans="18:25" x14ac:dyDescent="0.25">
      <c r="R1025" s="594"/>
      <c r="T1025" s="592"/>
      <c r="U1025" s="595"/>
      <c r="W1025" s="568"/>
      <c r="X1025" s="568"/>
      <c r="Y1025" s="566"/>
    </row>
    <row r="1026" spans="18:25" x14ac:dyDescent="0.25">
      <c r="R1026" s="594"/>
      <c r="T1026" s="592"/>
      <c r="U1026" s="595"/>
      <c r="W1026" s="568"/>
      <c r="X1026" s="568"/>
      <c r="Y1026" s="566"/>
    </row>
    <row r="1027" spans="18:25" x14ac:dyDescent="0.25">
      <c r="R1027" s="594"/>
      <c r="T1027" s="592"/>
      <c r="U1027" s="595"/>
      <c r="W1027" s="568"/>
      <c r="X1027" s="568"/>
      <c r="Y1027" s="566"/>
    </row>
    <row r="1028" spans="18:25" x14ac:dyDescent="0.25">
      <c r="R1028" s="594"/>
      <c r="T1028" s="592"/>
      <c r="U1028" s="595"/>
      <c r="W1028" s="568"/>
      <c r="X1028" s="568"/>
      <c r="Y1028" s="566"/>
    </row>
    <row r="1029" spans="18:25" x14ac:dyDescent="0.25">
      <c r="R1029" s="594"/>
      <c r="T1029" s="592"/>
      <c r="U1029" s="595"/>
      <c r="W1029" s="568"/>
      <c r="X1029" s="568"/>
      <c r="Y1029" s="566"/>
    </row>
    <row r="1030" spans="18:25" x14ac:dyDescent="0.25">
      <c r="R1030" s="594"/>
      <c r="T1030" s="592"/>
      <c r="U1030" s="595"/>
      <c r="W1030" s="568"/>
      <c r="X1030" s="568"/>
      <c r="Y1030" s="566"/>
    </row>
    <row r="1031" spans="18:25" x14ac:dyDescent="0.25">
      <c r="R1031" s="594"/>
      <c r="T1031" s="592"/>
      <c r="U1031" s="595"/>
      <c r="W1031" s="568"/>
      <c r="X1031" s="568"/>
      <c r="Y1031" s="566"/>
    </row>
    <row r="1032" spans="18:25" x14ac:dyDescent="0.25">
      <c r="R1032" s="594"/>
      <c r="T1032" s="592"/>
      <c r="U1032" s="595"/>
      <c r="W1032" s="568"/>
      <c r="X1032" s="568"/>
      <c r="Y1032" s="566"/>
    </row>
    <row r="1033" spans="18:25" x14ac:dyDescent="0.25">
      <c r="R1033" s="594"/>
      <c r="T1033" s="592"/>
      <c r="U1033" s="595"/>
      <c r="W1033" s="568"/>
      <c r="X1033" s="568"/>
      <c r="Y1033" s="566"/>
    </row>
    <row r="1034" spans="18:25" x14ac:dyDescent="0.25">
      <c r="R1034" s="594"/>
      <c r="T1034" s="592"/>
      <c r="U1034" s="595"/>
      <c r="W1034" s="568"/>
      <c r="X1034" s="568"/>
      <c r="Y1034" s="566"/>
    </row>
    <row r="1035" spans="18:25" x14ac:dyDescent="0.25">
      <c r="R1035" s="594"/>
      <c r="T1035" s="592"/>
      <c r="U1035" s="595"/>
      <c r="W1035" s="568"/>
      <c r="X1035" s="568"/>
      <c r="Y1035" s="566"/>
    </row>
    <row r="1036" spans="18:25" x14ac:dyDescent="0.25">
      <c r="R1036" s="594"/>
      <c r="T1036" s="592"/>
      <c r="U1036" s="595"/>
      <c r="W1036" s="568"/>
      <c r="X1036" s="568"/>
      <c r="Y1036" s="566"/>
    </row>
    <row r="1037" spans="18:25" x14ac:dyDescent="0.25">
      <c r="R1037" s="594"/>
      <c r="T1037" s="592"/>
      <c r="U1037" s="595"/>
      <c r="W1037" s="568"/>
      <c r="X1037" s="568"/>
      <c r="Y1037" s="566"/>
    </row>
    <row r="1038" spans="18:25" x14ac:dyDescent="0.25">
      <c r="R1038" s="594"/>
      <c r="T1038" s="592"/>
      <c r="U1038" s="595"/>
      <c r="W1038" s="568"/>
      <c r="X1038" s="568"/>
      <c r="Y1038" s="566"/>
    </row>
    <row r="1039" spans="18:25" x14ac:dyDescent="0.25">
      <c r="R1039" s="594"/>
      <c r="T1039" s="592"/>
      <c r="U1039" s="595"/>
      <c r="W1039" s="568"/>
      <c r="X1039" s="568"/>
      <c r="Y1039" s="566"/>
    </row>
    <row r="1040" spans="18:25" x14ac:dyDescent="0.25">
      <c r="R1040" s="594"/>
      <c r="T1040" s="592"/>
      <c r="U1040" s="595"/>
      <c r="W1040" s="568"/>
      <c r="X1040" s="568"/>
      <c r="Y1040" s="566"/>
    </row>
    <row r="1041" spans="18:25" x14ac:dyDescent="0.25">
      <c r="R1041" s="594"/>
      <c r="T1041" s="592"/>
      <c r="U1041" s="595"/>
      <c r="W1041" s="568"/>
      <c r="X1041" s="568"/>
      <c r="Y1041" s="566"/>
    </row>
    <row r="1042" spans="18:25" x14ac:dyDescent="0.25">
      <c r="R1042" s="594"/>
      <c r="T1042" s="592"/>
      <c r="U1042" s="595"/>
      <c r="W1042" s="568"/>
      <c r="X1042" s="568"/>
      <c r="Y1042" s="566"/>
    </row>
    <row r="1043" spans="18:25" x14ac:dyDescent="0.25">
      <c r="R1043" s="594"/>
      <c r="T1043" s="592"/>
      <c r="U1043" s="595"/>
      <c r="W1043" s="568"/>
      <c r="X1043" s="568"/>
      <c r="Y1043" s="566"/>
    </row>
    <row r="1044" spans="18:25" x14ac:dyDescent="0.25">
      <c r="R1044" s="594"/>
      <c r="T1044" s="592"/>
      <c r="U1044" s="595"/>
      <c r="W1044" s="568"/>
      <c r="X1044" s="568"/>
      <c r="Y1044" s="566"/>
    </row>
    <row r="1045" spans="18:25" x14ac:dyDescent="0.25">
      <c r="R1045" s="594"/>
      <c r="T1045" s="592"/>
      <c r="U1045" s="595"/>
      <c r="W1045" s="568"/>
      <c r="X1045" s="568"/>
      <c r="Y1045" s="566"/>
    </row>
    <row r="1046" spans="18:25" x14ac:dyDescent="0.25">
      <c r="R1046" s="594"/>
      <c r="T1046" s="592"/>
      <c r="U1046" s="595"/>
      <c r="W1046" s="568"/>
      <c r="X1046" s="568"/>
      <c r="Y1046" s="566"/>
    </row>
    <row r="1047" spans="18:25" x14ac:dyDescent="0.25">
      <c r="R1047" s="594"/>
      <c r="T1047" s="592"/>
      <c r="U1047" s="595"/>
      <c r="W1047" s="568"/>
      <c r="X1047" s="568"/>
      <c r="Y1047" s="566"/>
    </row>
    <row r="1048" spans="18:25" x14ac:dyDescent="0.25">
      <c r="R1048" s="594"/>
      <c r="T1048" s="592"/>
      <c r="U1048" s="595"/>
      <c r="W1048" s="568"/>
      <c r="X1048" s="568"/>
      <c r="Y1048" s="566"/>
    </row>
    <row r="1049" spans="18:25" x14ac:dyDescent="0.25">
      <c r="R1049" s="594"/>
      <c r="T1049" s="592"/>
      <c r="U1049" s="595"/>
      <c r="W1049" s="568"/>
      <c r="X1049" s="568"/>
      <c r="Y1049" s="566"/>
    </row>
    <row r="1050" spans="18:25" x14ac:dyDescent="0.25">
      <c r="R1050" s="594"/>
      <c r="T1050" s="592"/>
      <c r="U1050" s="595"/>
      <c r="W1050" s="568"/>
      <c r="X1050" s="568"/>
      <c r="Y1050" s="566"/>
    </row>
    <row r="1051" spans="18:25" x14ac:dyDescent="0.25">
      <c r="R1051" s="594"/>
      <c r="T1051" s="592"/>
      <c r="U1051" s="595"/>
      <c r="W1051" s="568"/>
      <c r="X1051" s="568"/>
      <c r="Y1051" s="566"/>
    </row>
    <row r="1052" spans="18:25" x14ac:dyDescent="0.25">
      <c r="R1052" s="594"/>
      <c r="T1052" s="592"/>
      <c r="U1052" s="595"/>
      <c r="W1052" s="568"/>
      <c r="X1052" s="568"/>
      <c r="Y1052" s="566"/>
    </row>
    <row r="1053" spans="18:25" x14ac:dyDescent="0.25">
      <c r="R1053" s="594"/>
      <c r="T1053" s="592"/>
      <c r="U1053" s="595"/>
      <c r="W1053" s="568"/>
      <c r="X1053" s="568"/>
      <c r="Y1053" s="566"/>
    </row>
    <row r="1054" spans="18:25" x14ac:dyDescent="0.25">
      <c r="R1054" s="594"/>
      <c r="T1054" s="592"/>
      <c r="U1054" s="595"/>
      <c r="W1054" s="568"/>
      <c r="X1054" s="568"/>
      <c r="Y1054" s="566"/>
    </row>
    <row r="1055" spans="18:25" x14ac:dyDescent="0.25">
      <c r="R1055" s="594"/>
      <c r="T1055" s="592"/>
      <c r="U1055" s="595"/>
      <c r="W1055" s="568"/>
      <c r="X1055" s="568"/>
      <c r="Y1055" s="566"/>
    </row>
    <row r="1056" spans="18:25" x14ac:dyDescent="0.25">
      <c r="R1056" s="594"/>
      <c r="T1056" s="592"/>
      <c r="U1056" s="595"/>
      <c r="W1056" s="568"/>
      <c r="X1056" s="568"/>
      <c r="Y1056" s="566"/>
    </row>
    <row r="1057" spans="18:25" x14ac:dyDescent="0.25">
      <c r="R1057" s="594"/>
      <c r="T1057" s="592"/>
      <c r="U1057" s="595"/>
      <c r="W1057" s="568"/>
      <c r="X1057" s="568"/>
      <c r="Y1057" s="566"/>
    </row>
    <row r="1058" spans="18:25" x14ac:dyDescent="0.25">
      <c r="R1058" s="594"/>
      <c r="T1058" s="592"/>
      <c r="U1058" s="595"/>
      <c r="W1058" s="568"/>
      <c r="X1058" s="568"/>
      <c r="Y1058" s="566"/>
    </row>
    <row r="1059" spans="18:25" x14ac:dyDescent="0.25">
      <c r="R1059" s="594"/>
      <c r="T1059" s="592"/>
      <c r="U1059" s="595"/>
      <c r="W1059" s="568"/>
      <c r="X1059" s="568"/>
      <c r="Y1059" s="566"/>
    </row>
    <row r="1060" spans="18:25" x14ac:dyDescent="0.25">
      <c r="R1060" s="594"/>
      <c r="T1060" s="592"/>
      <c r="U1060" s="595"/>
      <c r="W1060" s="568"/>
      <c r="X1060" s="568"/>
      <c r="Y1060" s="566"/>
    </row>
    <row r="1061" spans="18:25" x14ac:dyDescent="0.25">
      <c r="R1061" s="594"/>
      <c r="T1061" s="592"/>
      <c r="U1061" s="595"/>
      <c r="W1061" s="568"/>
      <c r="X1061" s="568"/>
      <c r="Y1061" s="566"/>
    </row>
    <row r="1062" spans="18:25" x14ac:dyDescent="0.25">
      <c r="R1062" s="594"/>
      <c r="T1062" s="592"/>
      <c r="U1062" s="595"/>
      <c r="W1062" s="568"/>
      <c r="X1062" s="568"/>
      <c r="Y1062" s="566"/>
    </row>
    <row r="1063" spans="18:25" x14ac:dyDescent="0.25">
      <c r="R1063" s="594"/>
      <c r="T1063" s="592"/>
      <c r="U1063" s="595"/>
      <c r="W1063" s="568"/>
      <c r="X1063" s="568"/>
      <c r="Y1063" s="566"/>
    </row>
    <row r="1064" spans="18:25" x14ac:dyDescent="0.25">
      <c r="R1064" s="594"/>
      <c r="T1064" s="592"/>
      <c r="U1064" s="595"/>
      <c r="W1064" s="568"/>
      <c r="X1064" s="568"/>
      <c r="Y1064" s="566"/>
    </row>
    <row r="1065" spans="18:25" x14ac:dyDescent="0.25">
      <c r="R1065" s="594"/>
      <c r="T1065" s="592"/>
      <c r="U1065" s="595"/>
      <c r="W1065" s="568"/>
      <c r="X1065" s="568"/>
      <c r="Y1065" s="566"/>
    </row>
    <row r="1066" spans="18:25" x14ac:dyDescent="0.25">
      <c r="R1066" s="594"/>
      <c r="T1066" s="592"/>
      <c r="U1066" s="595"/>
      <c r="W1066" s="568"/>
      <c r="X1066" s="568"/>
      <c r="Y1066" s="566"/>
    </row>
    <row r="1067" spans="18:25" x14ac:dyDescent="0.25">
      <c r="R1067" s="594"/>
      <c r="T1067" s="592"/>
      <c r="U1067" s="595"/>
      <c r="W1067" s="568"/>
      <c r="X1067" s="568"/>
      <c r="Y1067" s="566"/>
    </row>
    <row r="1068" spans="18:25" x14ac:dyDescent="0.25">
      <c r="R1068" s="594"/>
      <c r="T1068" s="592"/>
      <c r="U1068" s="595"/>
      <c r="W1068" s="568"/>
      <c r="X1068" s="568"/>
      <c r="Y1068" s="566"/>
    </row>
    <row r="1069" spans="18:25" x14ac:dyDescent="0.25">
      <c r="R1069" s="594"/>
      <c r="T1069" s="592"/>
      <c r="U1069" s="595"/>
      <c r="W1069" s="568"/>
      <c r="X1069" s="568"/>
      <c r="Y1069" s="566"/>
    </row>
    <row r="1070" spans="18:25" x14ac:dyDescent="0.25">
      <c r="R1070" s="594"/>
      <c r="T1070" s="592"/>
      <c r="U1070" s="595"/>
      <c r="W1070" s="568"/>
      <c r="X1070" s="568"/>
      <c r="Y1070" s="566"/>
    </row>
    <row r="1071" spans="18:25" x14ac:dyDescent="0.25">
      <c r="R1071" s="594"/>
      <c r="T1071" s="592"/>
      <c r="U1071" s="595"/>
      <c r="W1071" s="568"/>
      <c r="X1071" s="568"/>
      <c r="Y1071" s="566"/>
    </row>
    <row r="1072" spans="18:25" x14ac:dyDescent="0.25">
      <c r="R1072" s="594"/>
      <c r="T1072" s="592"/>
      <c r="U1072" s="595"/>
      <c r="W1072" s="568"/>
      <c r="X1072" s="568"/>
      <c r="Y1072" s="566"/>
    </row>
    <row r="1073" spans="18:25" x14ac:dyDescent="0.25">
      <c r="R1073" s="594"/>
      <c r="T1073" s="592"/>
      <c r="U1073" s="595"/>
      <c r="W1073" s="568"/>
      <c r="X1073" s="568"/>
      <c r="Y1073" s="566"/>
    </row>
    <row r="1074" spans="18:25" x14ac:dyDescent="0.25">
      <c r="R1074" s="594"/>
      <c r="T1074" s="592"/>
      <c r="U1074" s="595"/>
      <c r="W1074" s="568"/>
      <c r="X1074" s="568"/>
      <c r="Y1074" s="566"/>
    </row>
    <row r="1075" spans="18:25" x14ac:dyDescent="0.25">
      <c r="R1075" s="594"/>
      <c r="T1075" s="592"/>
      <c r="U1075" s="595"/>
      <c r="W1075" s="568"/>
      <c r="X1075" s="568"/>
      <c r="Y1075" s="566"/>
    </row>
    <row r="1076" spans="18:25" x14ac:dyDescent="0.25">
      <c r="R1076" s="594"/>
      <c r="T1076" s="592"/>
      <c r="U1076" s="595"/>
      <c r="W1076" s="568"/>
      <c r="X1076" s="568"/>
      <c r="Y1076" s="566"/>
    </row>
    <row r="1077" spans="18:25" x14ac:dyDescent="0.25">
      <c r="R1077" s="594"/>
      <c r="T1077" s="592"/>
      <c r="U1077" s="595"/>
      <c r="W1077" s="568"/>
      <c r="X1077" s="568"/>
      <c r="Y1077" s="566"/>
    </row>
    <row r="1078" spans="18:25" x14ac:dyDescent="0.25">
      <c r="R1078" s="594"/>
      <c r="T1078" s="592"/>
      <c r="U1078" s="595"/>
      <c r="W1078" s="568"/>
      <c r="X1078" s="568"/>
      <c r="Y1078" s="566"/>
    </row>
    <row r="1079" spans="18:25" x14ac:dyDescent="0.25">
      <c r="R1079" s="594"/>
      <c r="T1079" s="592"/>
      <c r="U1079" s="595"/>
      <c r="W1079" s="568"/>
      <c r="X1079" s="568"/>
      <c r="Y1079" s="566"/>
    </row>
    <row r="1080" spans="18:25" x14ac:dyDescent="0.25">
      <c r="R1080" s="594"/>
      <c r="T1080" s="592"/>
      <c r="U1080" s="595"/>
      <c r="W1080" s="568"/>
      <c r="X1080" s="568"/>
      <c r="Y1080" s="566"/>
    </row>
    <row r="1081" spans="18:25" x14ac:dyDescent="0.25">
      <c r="R1081" s="594"/>
      <c r="T1081" s="592"/>
      <c r="U1081" s="595"/>
      <c r="W1081" s="568"/>
      <c r="X1081" s="568"/>
      <c r="Y1081" s="566"/>
    </row>
    <row r="1082" spans="18:25" x14ac:dyDescent="0.25">
      <c r="R1082" s="594"/>
      <c r="T1082" s="592"/>
      <c r="U1082" s="595"/>
      <c r="W1082" s="568"/>
      <c r="X1082" s="568"/>
      <c r="Y1082" s="566"/>
    </row>
    <row r="1083" spans="18:25" x14ac:dyDescent="0.25">
      <c r="R1083" s="594"/>
      <c r="T1083" s="592"/>
      <c r="U1083" s="595"/>
      <c r="W1083" s="568"/>
      <c r="X1083" s="568"/>
      <c r="Y1083" s="566"/>
    </row>
    <row r="1084" spans="18:25" x14ac:dyDescent="0.25">
      <c r="R1084" s="594"/>
      <c r="T1084" s="592"/>
      <c r="U1084" s="595"/>
      <c r="W1084" s="568"/>
      <c r="X1084" s="568"/>
      <c r="Y1084" s="566"/>
    </row>
    <row r="1085" spans="18:25" x14ac:dyDescent="0.25">
      <c r="R1085" s="594"/>
      <c r="T1085" s="592"/>
      <c r="U1085" s="595"/>
      <c r="W1085" s="568"/>
      <c r="X1085" s="568"/>
      <c r="Y1085" s="566"/>
    </row>
    <row r="1086" spans="18:25" x14ac:dyDescent="0.25">
      <c r="R1086" s="594"/>
      <c r="T1086" s="592"/>
      <c r="U1086" s="595"/>
      <c r="W1086" s="568"/>
      <c r="X1086" s="568"/>
      <c r="Y1086" s="566"/>
    </row>
    <row r="1087" spans="18:25" x14ac:dyDescent="0.25">
      <c r="R1087" s="594"/>
      <c r="T1087" s="592"/>
      <c r="U1087" s="595"/>
      <c r="W1087" s="568"/>
      <c r="X1087" s="568"/>
      <c r="Y1087" s="566"/>
    </row>
    <row r="1088" spans="18:25" x14ac:dyDescent="0.25">
      <c r="R1088" s="594"/>
      <c r="T1088" s="592"/>
      <c r="U1088" s="595"/>
      <c r="W1088" s="568"/>
      <c r="X1088" s="568"/>
      <c r="Y1088" s="566"/>
    </row>
    <row r="1089" spans="18:25" x14ac:dyDescent="0.25">
      <c r="R1089" s="594"/>
      <c r="T1089" s="592"/>
      <c r="U1089" s="595"/>
      <c r="W1089" s="568"/>
      <c r="X1089" s="568"/>
      <c r="Y1089" s="566"/>
    </row>
    <row r="1090" spans="18:25" x14ac:dyDescent="0.25">
      <c r="R1090" s="594"/>
      <c r="T1090" s="592"/>
      <c r="U1090" s="595"/>
      <c r="W1090" s="568"/>
      <c r="X1090" s="568"/>
      <c r="Y1090" s="566"/>
    </row>
    <row r="1091" spans="18:25" x14ac:dyDescent="0.25">
      <c r="R1091" s="594"/>
      <c r="T1091" s="592"/>
      <c r="U1091" s="595"/>
      <c r="W1091" s="568"/>
      <c r="X1091" s="568"/>
      <c r="Y1091" s="566"/>
    </row>
    <row r="1092" spans="18:25" x14ac:dyDescent="0.25">
      <c r="R1092" s="594"/>
      <c r="T1092" s="592"/>
      <c r="U1092" s="595"/>
      <c r="W1092" s="568"/>
      <c r="X1092" s="568"/>
      <c r="Y1092" s="566"/>
    </row>
    <row r="1093" spans="18:25" x14ac:dyDescent="0.25">
      <c r="R1093" s="594"/>
      <c r="T1093" s="592"/>
      <c r="U1093" s="595"/>
      <c r="W1093" s="568"/>
      <c r="X1093" s="568"/>
      <c r="Y1093" s="566"/>
    </row>
    <row r="1094" spans="18:25" x14ac:dyDescent="0.25">
      <c r="R1094" s="594"/>
      <c r="T1094" s="592"/>
      <c r="U1094" s="595"/>
      <c r="W1094" s="568"/>
      <c r="X1094" s="568"/>
      <c r="Y1094" s="566"/>
    </row>
    <row r="1095" spans="18:25" x14ac:dyDescent="0.25">
      <c r="R1095" s="594"/>
      <c r="T1095" s="592"/>
      <c r="U1095" s="595"/>
      <c r="W1095" s="568"/>
      <c r="X1095" s="568"/>
      <c r="Y1095" s="566"/>
    </row>
    <row r="1096" spans="18:25" x14ac:dyDescent="0.25">
      <c r="R1096" s="594"/>
      <c r="T1096" s="592"/>
      <c r="U1096" s="595"/>
      <c r="W1096" s="568"/>
      <c r="X1096" s="568"/>
      <c r="Y1096" s="566"/>
    </row>
    <row r="1097" spans="18:25" x14ac:dyDescent="0.25">
      <c r="R1097" s="594"/>
      <c r="T1097" s="592"/>
      <c r="U1097" s="595"/>
      <c r="W1097" s="568"/>
      <c r="X1097" s="568"/>
      <c r="Y1097" s="566"/>
    </row>
    <row r="1098" spans="18:25" x14ac:dyDescent="0.25">
      <c r="R1098" s="594"/>
      <c r="T1098" s="592"/>
      <c r="U1098" s="595"/>
      <c r="W1098" s="568"/>
      <c r="X1098" s="568"/>
      <c r="Y1098" s="566"/>
    </row>
    <row r="1099" spans="18:25" x14ac:dyDescent="0.25">
      <c r="R1099" s="594"/>
      <c r="T1099" s="592"/>
      <c r="U1099" s="595"/>
      <c r="W1099" s="568"/>
      <c r="X1099" s="568"/>
      <c r="Y1099" s="566"/>
    </row>
    <row r="1100" spans="18:25" x14ac:dyDescent="0.25">
      <c r="R1100" s="594"/>
      <c r="T1100" s="592"/>
      <c r="U1100" s="595"/>
      <c r="W1100" s="568"/>
      <c r="X1100" s="568"/>
      <c r="Y1100" s="566"/>
    </row>
    <row r="1101" spans="18:25" x14ac:dyDescent="0.25">
      <c r="R1101" s="594"/>
      <c r="T1101" s="592"/>
      <c r="U1101" s="595"/>
      <c r="W1101" s="568"/>
      <c r="X1101" s="568"/>
      <c r="Y1101" s="566"/>
    </row>
    <row r="1102" spans="18:25" x14ac:dyDescent="0.25">
      <c r="R1102" s="594"/>
      <c r="T1102" s="592"/>
      <c r="U1102" s="595"/>
      <c r="W1102" s="568"/>
      <c r="X1102" s="568"/>
      <c r="Y1102" s="566"/>
    </row>
    <row r="1103" spans="18:25" x14ac:dyDescent="0.25">
      <c r="R1103" s="594"/>
      <c r="T1103" s="592"/>
      <c r="U1103" s="595"/>
      <c r="W1103" s="568"/>
      <c r="X1103" s="568"/>
      <c r="Y1103" s="566"/>
    </row>
    <row r="1104" spans="18:25" x14ac:dyDescent="0.25">
      <c r="R1104" s="594"/>
      <c r="T1104" s="592"/>
      <c r="U1104" s="595"/>
      <c r="W1104" s="568"/>
      <c r="X1104" s="568"/>
      <c r="Y1104" s="566"/>
    </row>
    <row r="1105" spans="18:25" x14ac:dyDescent="0.25">
      <c r="R1105" s="594"/>
      <c r="T1105" s="592"/>
      <c r="U1105" s="595"/>
      <c r="W1105" s="568"/>
      <c r="X1105" s="568"/>
      <c r="Y1105" s="566"/>
    </row>
    <row r="1106" spans="18:25" x14ac:dyDescent="0.25">
      <c r="R1106" s="594"/>
      <c r="T1106" s="592"/>
      <c r="U1106" s="595"/>
      <c r="W1106" s="568"/>
      <c r="X1106" s="568"/>
      <c r="Y1106" s="566"/>
    </row>
    <row r="1107" spans="18:25" x14ac:dyDescent="0.25">
      <c r="R1107" s="594"/>
      <c r="T1107" s="592"/>
      <c r="U1107" s="595"/>
      <c r="W1107" s="568"/>
      <c r="X1107" s="568"/>
      <c r="Y1107" s="566"/>
    </row>
    <row r="1108" spans="18:25" x14ac:dyDescent="0.25">
      <c r="R1108" s="594"/>
      <c r="T1108" s="592"/>
      <c r="U1108" s="595"/>
      <c r="W1108" s="568"/>
      <c r="X1108" s="568"/>
      <c r="Y1108" s="566"/>
    </row>
    <row r="1109" spans="18:25" x14ac:dyDescent="0.25">
      <c r="R1109" s="594"/>
      <c r="T1109" s="592"/>
      <c r="U1109" s="595"/>
      <c r="W1109" s="568"/>
      <c r="X1109" s="568"/>
      <c r="Y1109" s="566"/>
    </row>
    <row r="1110" spans="18:25" x14ac:dyDescent="0.25">
      <c r="R1110" s="594"/>
      <c r="T1110" s="592"/>
      <c r="U1110" s="595"/>
      <c r="W1110" s="568"/>
      <c r="X1110" s="568"/>
      <c r="Y1110" s="566"/>
    </row>
    <row r="1111" spans="18:25" x14ac:dyDescent="0.25">
      <c r="R1111" s="594"/>
      <c r="T1111" s="592"/>
      <c r="U1111" s="595"/>
      <c r="W1111" s="568"/>
      <c r="X1111" s="568"/>
      <c r="Y1111" s="566"/>
    </row>
    <row r="1112" spans="18:25" x14ac:dyDescent="0.25">
      <c r="R1112" s="594"/>
      <c r="T1112" s="592"/>
      <c r="U1112" s="595"/>
      <c r="W1112" s="568"/>
      <c r="X1112" s="568"/>
      <c r="Y1112" s="566"/>
    </row>
    <row r="1113" spans="18:25" x14ac:dyDescent="0.25">
      <c r="R1113" s="594"/>
      <c r="T1113" s="592"/>
      <c r="U1113" s="595"/>
      <c r="W1113" s="568"/>
      <c r="X1113" s="568"/>
      <c r="Y1113" s="566"/>
    </row>
    <row r="1114" spans="18:25" x14ac:dyDescent="0.25">
      <c r="R1114" s="594"/>
      <c r="T1114" s="592"/>
      <c r="U1114" s="595"/>
      <c r="W1114" s="568"/>
      <c r="X1114" s="568"/>
      <c r="Y1114" s="566"/>
    </row>
    <row r="1115" spans="18:25" x14ac:dyDescent="0.25">
      <c r="R1115" s="594"/>
      <c r="T1115" s="592"/>
      <c r="U1115" s="595"/>
      <c r="W1115" s="568"/>
      <c r="X1115" s="568"/>
      <c r="Y1115" s="566"/>
    </row>
    <row r="1116" spans="18:25" x14ac:dyDescent="0.25">
      <c r="R1116" s="594"/>
      <c r="T1116" s="592"/>
      <c r="U1116" s="595"/>
      <c r="W1116" s="568"/>
      <c r="X1116" s="568"/>
      <c r="Y1116" s="566"/>
    </row>
    <row r="1117" spans="18:25" x14ac:dyDescent="0.25">
      <c r="R1117" s="594"/>
      <c r="T1117" s="592"/>
      <c r="U1117" s="595"/>
      <c r="W1117" s="568"/>
      <c r="X1117" s="568"/>
      <c r="Y1117" s="566"/>
    </row>
    <row r="1118" spans="18:25" x14ac:dyDescent="0.25">
      <c r="R1118" s="594"/>
      <c r="T1118" s="592"/>
      <c r="U1118" s="595"/>
      <c r="W1118" s="568"/>
      <c r="X1118" s="568"/>
      <c r="Y1118" s="566"/>
    </row>
    <row r="1119" spans="18:25" x14ac:dyDescent="0.25">
      <c r="R1119" s="594"/>
      <c r="T1119" s="592"/>
      <c r="U1119" s="595"/>
      <c r="W1119" s="568"/>
      <c r="X1119" s="568"/>
      <c r="Y1119" s="566"/>
    </row>
    <row r="1120" spans="18:25" x14ac:dyDescent="0.25">
      <c r="R1120" s="594"/>
      <c r="T1120" s="592"/>
      <c r="U1120" s="595"/>
      <c r="W1120" s="568"/>
      <c r="X1120" s="568"/>
      <c r="Y1120" s="566"/>
    </row>
    <row r="1121" spans="18:25" x14ac:dyDescent="0.25">
      <c r="R1121" s="594"/>
      <c r="T1121" s="592"/>
      <c r="U1121" s="595"/>
      <c r="W1121" s="568"/>
      <c r="X1121" s="568"/>
      <c r="Y1121" s="566"/>
    </row>
    <row r="1122" spans="18:25" x14ac:dyDescent="0.25">
      <c r="R1122" s="594"/>
      <c r="T1122" s="592"/>
      <c r="U1122" s="595"/>
      <c r="W1122" s="568"/>
      <c r="X1122" s="568"/>
      <c r="Y1122" s="566"/>
    </row>
    <row r="1123" spans="18:25" x14ac:dyDescent="0.25">
      <c r="R1123" s="594"/>
      <c r="T1123" s="592"/>
      <c r="U1123" s="595"/>
      <c r="W1123" s="568"/>
      <c r="X1123" s="568"/>
      <c r="Y1123" s="566"/>
    </row>
    <row r="1124" spans="18:25" x14ac:dyDescent="0.25">
      <c r="R1124" s="594"/>
      <c r="T1124" s="592"/>
      <c r="U1124" s="595"/>
      <c r="W1124" s="568"/>
      <c r="X1124" s="568"/>
      <c r="Y1124" s="566"/>
    </row>
    <row r="1125" spans="18:25" x14ac:dyDescent="0.25">
      <c r="R1125" s="594"/>
      <c r="T1125" s="592"/>
      <c r="U1125" s="595"/>
      <c r="W1125" s="568"/>
      <c r="X1125" s="568"/>
      <c r="Y1125" s="566"/>
    </row>
    <row r="1126" spans="18:25" x14ac:dyDescent="0.25">
      <c r="R1126" s="594"/>
      <c r="T1126" s="592"/>
      <c r="U1126" s="595"/>
      <c r="W1126" s="568"/>
      <c r="X1126" s="568"/>
      <c r="Y1126" s="566"/>
    </row>
    <row r="1127" spans="18:25" x14ac:dyDescent="0.25">
      <c r="R1127" s="594"/>
      <c r="T1127" s="592"/>
      <c r="U1127" s="595"/>
      <c r="W1127" s="568"/>
      <c r="X1127" s="568"/>
      <c r="Y1127" s="566"/>
    </row>
    <row r="1128" spans="18:25" x14ac:dyDescent="0.25">
      <c r="R1128" s="594"/>
      <c r="T1128" s="592"/>
      <c r="U1128" s="595"/>
      <c r="W1128" s="568"/>
      <c r="X1128" s="568"/>
      <c r="Y1128" s="566"/>
    </row>
    <row r="1129" spans="18:25" x14ac:dyDescent="0.25">
      <c r="R1129" s="594"/>
      <c r="T1129" s="592"/>
      <c r="U1129" s="595"/>
      <c r="W1129" s="568"/>
      <c r="X1129" s="568"/>
      <c r="Y1129" s="566"/>
    </row>
    <row r="1130" spans="18:25" x14ac:dyDescent="0.25">
      <c r="R1130" s="594"/>
      <c r="T1130" s="592"/>
      <c r="U1130" s="595"/>
      <c r="W1130" s="568"/>
      <c r="X1130" s="568"/>
      <c r="Y1130" s="566"/>
    </row>
    <row r="1131" spans="18:25" x14ac:dyDescent="0.25">
      <c r="R1131" s="594"/>
      <c r="T1131" s="592"/>
      <c r="U1131" s="595"/>
      <c r="W1131" s="568"/>
      <c r="X1131" s="568"/>
      <c r="Y1131" s="566"/>
    </row>
    <row r="1132" spans="18:25" x14ac:dyDescent="0.25">
      <c r="R1132" s="594"/>
      <c r="T1132" s="592"/>
      <c r="U1132" s="595"/>
      <c r="W1132" s="568"/>
      <c r="X1132" s="568"/>
      <c r="Y1132" s="566"/>
    </row>
    <row r="1133" spans="18:25" x14ac:dyDescent="0.25">
      <c r="R1133" s="594"/>
      <c r="T1133" s="592"/>
      <c r="U1133" s="595"/>
      <c r="W1133" s="568"/>
      <c r="X1133" s="568"/>
      <c r="Y1133" s="566"/>
    </row>
    <row r="1134" spans="18:25" x14ac:dyDescent="0.25">
      <c r="R1134" s="594"/>
      <c r="T1134" s="592"/>
      <c r="U1134" s="595"/>
      <c r="W1134" s="568"/>
      <c r="X1134" s="568"/>
      <c r="Y1134" s="566"/>
    </row>
    <row r="1135" spans="18:25" x14ac:dyDescent="0.25">
      <c r="R1135" s="594"/>
      <c r="T1135" s="592"/>
      <c r="U1135" s="595"/>
      <c r="W1135" s="568"/>
      <c r="X1135" s="568"/>
      <c r="Y1135" s="566"/>
    </row>
    <row r="1136" spans="18:25" x14ac:dyDescent="0.25">
      <c r="R1136" s="594"/>
      <c r="T1136" s="592"/>
      <c r="U1136" s="595"/>
      <c r="W1136" s="568"/>
      <c r="X1136" s="568"/>
      <c r="Y1136" s="566"/>
    </row>
    <row r="1137" spans="18:25" x14ac:dyDescent="0.25">
      <c r="R1137" s="594"/>
      <c r="T1137" s="592"/>
      <c r="U1137" s="595"/>
      <c r="W1137" s="568"/>
      <c r="X1137" s="568"/>
      <c r="Y1137" s="566"/>
    </row>
    <row r="1138" spans="18:25" x14ac:dyDescent="0.25">
      <c r="R1138" s="594"/>
      <c r="T1138" s="592"/>
      <c r="U1138" s="595"/>
      <c r="W1138" s="568"/>
      <c r="X1138" s="568"/>
      <c r="Y1138" s="566"/>
    </row>
    <row r="1139" spans="18:25" x14ac:dyDescent="0.25">
      <c r="R1139" s="594"/>
      <c r="T1139" s="592"/>
      <c r="U1139" s="595"/>
      <c r="W1139" s="568"/>
      <c r="X1139" s="568"/>
      <c r="Y1139" s="566"/>
    </row>
    <row r="1140" spans="18:25" x14ac:dyDescent="0.25">
      <c r="R1140" s="594"/>
      <c r="T1140" s="592"/>
      <c r="U1140" s="595"/>
      <c r="W1140" s="568"/>
      <c r="X1140" s="568"/>
      <c r="Y1140" s="566"/>
    </row>
    <row r="1141" spans="18:25" x14ac:dyDescent="0.25">
      <c r="R1141" s="594"/>
      <c r="T1141" s="592"/>
      <c r="U1141" s="595"/>
      <c r="W1141" s="568"/>
      <c r="X1141" s="568"/>
      <c r="Y1141" s="566"/>
    </row>
    <row r="1142" spans="18:25" x14ac:dyDescent="0.25">
      <c r="R1142" s="594"/>
      <c r="T1142" s="592"/>
      <c r="U1142" s="595"/>
      <c r="W1142" s="568"/>
      <c r="X1142" s="568"/>
      <c r="Y1142" s="566"/>
    </row>
    <row r="1143" spans="18:25" x14ac:dyDescent="0.25">
      <c r="R1143" s="594"/>
      <c r="T1143" s="592"/>
      <c r="U1143" s="595"/>
      <c r="W1143" s="568"/>
      <c r="X1143" s="568"/>
      <c r="Y1143" s="566"/>
    </row>
    <row r="1144" spans="18:25" x14ac:dyDescent="0.25">
      <c r="R1144" s="594"/>
      <c r="T1144" s="592"/>
      <c r="U1144" s="595"/>
      <c r="W1144" s="568"/>
      <c r="X1144" s="568"/>
      <c r="Y1144" s="566"/>
    </row>
    <row r="1145" spans="18:25" x14ac:dyDescent="0.25">
      <c r="R1145" s="594"/>
      <c r="T1145" s="592"/>
      <c r="U1145" s="595"/>
      <c r="W1145" s="568"/>
      <c r="X1145" s="568"/>
      <c r="Y1145" s="566"/>
    </row>
    <row r="1146" spans="18:25" x14ac:dyDescent="0.25">
      <c r="R1146" s="594"/>
      <c r="T1146" s="592"/>
      <c r="U1146" s="595"/>
      <c r="W1146" s="568"/>
      <c r="X1146" s="568"/>
      <c r="Y1146" s="566"/>
    </row>
    <row r="1147" spans="18:25" x14ac:dyDescent="0.25">
      <c r="R1147" s="594"/>
      <c r="T1147" s="592"/>
      <c r="U1147" s="595"/>
      <c r="W1147" s="568"/>
      <c r="X1147" s="568"/>
      <c r="Y1147" s="566"/>
    </row>
    <row r="1148" spans="18:25" x14ac:dyDescent="0.25">
      <c r="R1148" s="594"/>
      <c r="T1148" s="592"/>
      <c r="U1148" s="595"/>
      <c r="W1148" s="568"/>
      <c r="X1148" s="568"/>
      <c r="Y1148" s="566"/>
    </row>
    <row r="1149" spans="18:25" x14ac:dyDescent="0.25">
      <c r="R1149" s="594"/>
      <c r="T1149" s="592"/>
      <c r="U1149" s="595"/>
      <c r="W1149" s="568"/>
      <c r="X1149" s="568"/>
      <c r="Y1149" s="566"/>
    </row>
    <row r="1150" spans="18:25" x14ac:dyDescent="0.25">
      <c r="R1150" s="594"/>
      <c r="T1150" s="592"/>
      <c r="U1150" s="595"/>
      <c r="W1150" s="568"/>
      <c r="X1150" s="568"/>
      <c r="Y1150" s="566"/>
    </row>
    <row r="1151" spans="18:25" x14ac:dyDescent="0.25">
      <c r="R1151" s="594"/>
      <c r="T1151" s="592"/>
      <c r="U1151" s="595"/>
      <c r="W1151" s="568"/>
      <c r="X1151" s="568"/>
      <c r="Y1151" s="566"/>
    </row>
    <row r="1152" spans="18:25" x14ac:dyDescent="0.25">
      <c r="R1152" s="594"/>
      <c r="T1152" s="592"/>
      <c r="U1152" s="595"/>
      <c r="W1152" s="568"/>
      <c r="X1152" s="568"/>
      <c r="Y1152" s="566"/>
    </row>
    <row r="1153" spans="18:25" x14ac:dyDescent="0.25">
      <c r="R1153" s="594"/>
      <c r="T1153" s="592"/>
      <c r="U1153" s="595"/>
      <c r="W1153" s="568"/>
      <c r="X1153" s="568"/>
      <c r="Y1153" s="566"/>
    </row>
    <row r="1154" spans="18:25" x14ac:dyDescent="0.25">
      <c r="R1154" s="594"/>
      <c r="T1154" s="592"/>
      <c r="U1154" s="595"/>
      <c r="W1154" s="568"/>
      <c r="X1154" s="568"/>
      <c r="Y1154" s="566"/>
    </row>
    <row r="1155" spans="18:25" x14ac:dyDescent="0.25">
      <c r="R1155" s="594"/>
      <c r="T1155" s="592"/>
      <c r="U1155" s="595"/>
      <c r="W1155" s="568"/>
      <c r="X1155" s="568"/>
      <c r="Y1155" s="566"/>
    </row>
    <row r="1156" spans="18:25" x14ac:dyDescent="0.25">
      <c r="R1156" s="594"/>
      <c r="T1156" s="592"/>
      <c r="U1156" s="595"/>
      <c r="W1156" s="568"/>
      <c r="X1156" s="568"/>
      <c r="Y1156" s="566"/>
    </row>
    <row r="1157" spans="18:25" x14ac:dyDescent="0.25">
      <c r="R1157" s="594"/>
      <c r="T1157" s="592"/>
      <c r="U1157" s="595"/>
      <c r="W1157" s="568"/>
      <c r="X1157" s="568"/>
      <c r="Y1157" s="566"/>
    </row>
    <row r="1158" spans="18:25" x14ac:dyDescent="0.25">
      <c r="R1158" s="594"/>
      <c r="T1158" s="592"/>
      <c r="U1158" s="595"/>
      <c r="W1158" s="568"/>
      <c r="X1158" s="568"/>
      <c r="Y1158" s="566"/>
    </row>
    <row r="1159" spans="18:25" x14ac:dyDescent="0.25">
      <c r="R1159" s="594"/>
      <c r="T1159" s="592"/>
      <c r="U1159" s="595"/>
      <c r="W1159" s="568"/>
      <c r="X1159" s="568"/>
      <c r="Y1159" s="566"/>
    </row>
    <row r="1160" spans="18:25" x14ac:dyDescent="0.25">
      <c r="R1160" s="594"/>
      <c r="T1160" s="592"/>
      <c r="U1160" s="595"/>
      <c r="W1160" s="568"/>
      <c r="X1160" s="568"/>
      <c r="Y1160" s="566"/>
    </row>
    <row r="1161" spans="18:25" x14ac:dyDescent="0.25">
      <c r="R1161" s="594"/>
      <c r="T1161" s="592"/>
      <c r="U1161" s="595"/>
      <c r="W1161" s="568"/>
      <c r="X1161" s="568"/>
      <c r="Y1161" s="566"/>
    </row>
    <row r="1162" spans="18:25" x14ac:dyDescent="0.25">
      <c r="R1162" s="594"/>
      <c r="T1162" s="592"/>
      <c r="U1162" s="595"/>
      <c r="W1162" s="568"/>
      <c r="X1162" s="568"/>
      <c r="Y1162" s="566"/>
    </row>
    <row r="1163" spans="18:25" x14ac:dyDescent="0.25">
      <c r="R1163" s="594"/>
      <c r="T1163" s="592"/>
      <c r="U1163" s="595"/>
      <c r="W1163" s="568"/>
      <c r="X1163" s="568"/>
      <c r="Y1163" s="566"/>
    </row>
    <row r="1164" spans="18:25" x14ac:dyDescent="0.25">
      <c r="R1164" s="594"/>
      <c r="T1164" s="592"/>
      <c r="U1164" s="595"/>
      <c r="W1164" s="568"/>
      <c r="X1164" s="568"/>
      <c r="Y1164" s="566"/>
    </row>
    <row r="1165" spans="18:25" x14ac:dyDescent="0.25">
      <c r="R1165" s="594"/>
      <c r="T1165" s="592"/>
      <c r="U1165" s="595"/>
      <c r="W1165" s="568"/>
      <c r="X1165" s="568"/>
      <c r="Y1165" s="566"/>
    </row>
    <row r="1166" spans="18:25" x14ac:dyDescent="0.25">
      <c r="R1166" s="594"/>
      <c r="T1166" s="592"/>
      <c r="U1166" s="595"/>
      <c r="W1166" s="568"/>
      <c r="X1166" s="568"/>
      <c r="Y1166" s="566"/>
    </row>
    <row r="1167" spans="18:25" x14ac:dyDescent="0.25">
      <c r="R1167" s="594"/>
      <c r="T1167" s="592"/>
      <c r="U1167" s="595"/>
      <c r="W1167" s="568"/>
      <c r="X1167" s="568"/>
      <c r="Y1167" s="566"/>
    </row>
    <row r="1168" spans="18:25" x14ac:dyDescent="0.25">
      <c r="R1168" s="594"/>
      <c r="T1168" s="592"/>
      <c r="U1168" s="595"/>
      <c r="W1168" s="568"/>
      <c r="X1168" s="568"/>
      <c r="Y1168" s="566"/>
    </row>
    <row r="1169" spans="18:25" x14ac:dyDescent="0.25">
      <c r="R1169" s="594"/>
      <c r="T1169" s="592"/>
      <c r="U1169" s="595"/>
      <c r="W1169" s="568"/>
      <c r="X1169" s="568"/>
      <c r="Y1169" s="566"/>
    </row>
    <row r="1170" spans="18:25" x14ac:dyDescent="0.25">
      <c r="R1170" s="594"/>
      <c r="T1170" s="592"/>
      <c r="U1170" s="595"/>
      <c r="W1170" s="568"/>
      <c r="X1170" s="568"/>
      <c r="Y1170" s="566"/>
    </row>
    <row r="1171" spans="18:25" x14ac:dyDescent="0.25">
      <c r="R1171" s="594"/>
      <c r="T1171" s="592"/>
      <c r="U1171" s="595"/>
      <c r="W1171" s="568"/>
      <c r="X1171" s="568"/>
      <c r="Y1171" s="566"/>
    </row>
    <row r="1172" spans="18:25" x14ac:dyDescent="0.25">
      <c r="R1172" s="594"/>
      <c r="T1172" s="592"/>
      <c r="U1172" s="595"/>
      <c r="W1172" s="568"/>
      <c r="X1172" s="568"/>
      <c r="Y1172" s="566"/>
    </row>
    <row r="1173" spans="18:25" x14ac:dyDescent="0.25">
      <c r="R1173" s="594"/>
      <c r="T1173" s="592"/>
      <c r="U1173" s="595"/>
      <c r="W1173" s="568"/>
      <c r="X1173" s="568"/>
      <c r="Y1173" s="566"/>
    </row>
    <row r="1174" spans="18:25" x14ac:dyDescent="0.25">
      <c r="R1174" s="594"/>
      <c r="T1174" s="592"/>
      <c r="U1174" s="595"/>
      <c r="W1174" s="568"/>
      <c r="X1174" s="568"/>
      <c r="Y1174" s="566"/>
    </row>
    <row r="1175" spans="18:25" x14ac:dyDescent="0.25">
      <c r="R1175" s="594"/>
      <c r="T1175" s="592"/>
      <c r="U1175" s="595"/>
      <c r="W1175" s="568"/>
      <c r="X1175" s="568"/>
      <c r="Y1175" s="566"/>
    </row>
    <row r="1176" spans="18:25" x14ac:dyDescent="0.25">
      <c r="R1176" s="594"/>
      <c r="T1176" s="592"/>
      <c r="U1176" s="595"/>
      <c r="W1176" s="568"/>
      <c r="X1176" s="568"/>
      <c r="Y1176" s="566"/>
    </row>
    <row r="1177" spans="18:25" x14ac:dyDescent="0.25">
      <c r="R1177" s="594"/>
      <c r="T1177" s="592"/>
      <c r="U1177" s="595"/>
      <c r="W1177" s="568"/>
      <c r="X1177" s="568"/>
      <c r="Y1177" s="566"/>
    </row>
    <row r="1178" spans="18:25" x14ac:dyDescent="0.25">
      <c r="R1178" s="594"/>
      <c r="T1178" s="592"/>
      <c r="U1178" s="595"/>
      <c r="W1178" s="568"/>
      <c r="X1178" s="568"/>
      <c r="Y1178" s="566"/>
    </row>
    <row r="1179" spans="18:25" x14ac:dyDescent="0.25">
      <c r="R1179" s="594"/>
      <c r="T1179" s="592"/>
      <c r="U1179" s="595"/>
      <c r="W1179" s="568"/>
      <c r="X1179" s="568"/>
      <c r="Y1179" s="566"/>
    </row>
    <row r="1180" spans="18:25" x14ac:dyDescent="0.25">
      <c r="R1180" s="594"/>
      <c r="T1180" s="592"/>
      <c r="U1180" s="595"/>
      <c r="W1180" s="568"/>
      <c r="X1180" s="568"/>
      <c r="Y1180" s="566"/>
    </row>
    <row r="1181" spans="18:25" x14ac:dyDescent="0.25">
      <c r="R1181" s="594"/>
      <c r="T1181" s="592"/>
      <c r="U1181" s="595"/>
      <c r="W1181" s="568"/>
      <c r="X1181" s="568"/>
      <c r="Y1181" s="566"/>
    </row>
    <row r="1182" spans="18:25" x14ac:dyDescent="0.25">
      <c r="R1182" s="594"/>
      <c r="T1182" s="592"/>
      <c r="U1182" s="595"/>
      <c r="W1182" s="568"/>
      <c r="X1182" s="568"/>
      <c r="Y1182" s="566"/>
    </row>
    <row r="1183" spans="18:25" x14ac:dyDescent="0.25">
      <c r="R1183" s="594"/>
      <c r="T1183" s="592"/>
      <c r="U1183" s="595"/>
      <c r="W1183" s="568"/>
      <c r="X1183" s="568"/>
      <c r="Y1183" s="566"/>
    </row>
    <row r="1184" spans="18:25" x14ac:dyDescent="0.25">
      <c r="R1184" s="594"/>
      <c r="T1184" s="592"/>
      <c r="U1184" s="595"/>
      <c r="W1184" s="568"/>
      <c r="X1184" s="568"/>
      <c r="Y1184" s="566"/>
    </row>
    <row r="1185" spans="18:25" x14ac:dyDescent="0.25">
      <c r="R1185" s="594"/>
      <c r="T1185" s="592"/>
      <c r="U1185" s="595"/>
      <c r="W1185" s="568"/>
      <c r="X1185" s="568"/>
      <c r="Y1185" s="566"/>
    </row>
    <row r="1186" spans="18:25" x14ac:dyDescent="0.25">
      <c r="R1186" s="594"/>
      <c r="T1186" s="592"/>
      <c r="U1186" s="595"/>
      <c r="W1186" s="568"/>
      <c r="X1186" s="568"/>
      <c r="Y1186" s="566"/>
    </row>
    <row r="1187" spans="18:25" x14ac:dyDescent="0.25">
      <c r="R1187" s="594"/>
      <c r="T1187" s="592"/>
      <c r="U1187" s="595"/>
      <c r="W1187" s="568"/>
      <c r="X1187" s="568"/>
      <c r="Y1187" s="566"/>
    </row>
    <row r="1188" spans="18:25" x14ac:dyDescent="0.25">
      <c r="R1188" s="594"/>
      <c r="T1188" s="592"/>
      <c r="U1188" s="595"/>
      <c r="W1188" s="568"/>
      <c r="X1188" s="568"/>
      <c r="Y1188" s="566"/>
    </row>
    <row r="1189" spans="18:25" x14ac:dyDescent="0.25">
      <c r="R1189" s="594"/>
      <c r="T1189" s="592"/>
      <c r="U1189" s="595"/>
      <c r="W1189" s="568"/>
      <c r="X1189" s="568"/>
      <c r="Y1189" s="566"/>
    </row>
    <row r="1190" spans="18:25" x14ac:dyDescent="0.25">
      <c r="R1190" s="594"/>
      <c r="T1190" s="592"/>
      <c r="U1190" s="595"/>
      <c r="W1190" s="568"/>
      <c r="X1190" s="568"/>
      <c r="Y1190" s="566"/>
    </row>
    <row r="1191" spans="18:25" x14ac:dyDescent="0.25">
      <c r="R1191" s="594"/>
      <c r="T1191" s="592"/>
      <c r="U1191" s="595"/>
      <c r="W1191" s="568"/>
      <c r="X1191" s="568"/>
      <c r="Y1191" s="566"/>
    </row>
    <row r="1192" spans="18:25" x14ac:dyDescent="0.25">
      <c r="R1192" s="594"/>
      <c r="T1192" s="592"/>
      <c r="U1192" s="595"/>
      <c r="W1192" s="568"/>
      <c r="X1192" s="568"/>
      <c r="Y1192" s="566"/>
    </row>
    <row r="1193" spans="18:25" x14ac:dyDescent="0.25">
      <c r="R1193" s="594"/>
      <c r="T1193" s="592"/>
      <c r="U1193" s="595"/>
      <c r="W1193" s="568"/>
      <c r="X1193" s="568"/>
      <c r="Y1193" s="566"/>
    </row>
    <row r="1194" spans="18:25" x14ac:dyDescent="0.25">
      <c r="R1194" s="594"/>
      <c r="T1194" s="592"/>
      <c r="U1194" s="595"/>
      <c r="W1194" s="568"/>
      <c r="X1194" s="568"/>
      <c r="Y1194" s="566"/>
    </row>
    <row r="1195" spans="18:25" x14ac:dyDescent="0.25">
      <c r="R1195" s="594"/>
      <c r="T1195" s="592"/>
      <c r="U1195" s="595"/>
      <c r="W1195" s="568"/>
      <c r="X1195" s="568"/>
      <c r="Y1195" s="566"/>
    </row>
    <row r="1196" spans="18:25" x14ac:dyDescent="0.25">
      <c r="R1196" s="594"/>
      <c r="T1196" s="592"/>
      <c r="U1196" s="595"/>
      <c r="W1196" s="568"/>
      <c r="X1196" s="568"/>
      <c r="Y1196" s="566"/>
    </row>
    <row r="1197" spans="18:25" x14ac:dyDescent="0.25">
      <c r="R1197" s="594"/>
      <c r="T1197" s="592"/>
      <c r="U1197" s="595"/>
      <c r="W1197" s="568"/>
      <c r="X1197" s="568"/>
      <c r="Y1197" s="566"/>
    </row>
    <row r="1198" spans="18:25" x14ac:dyDescent="0.25">
      <c r="R1198" s="594"/>
      <c r="T1198" s="592"/>
      <c r="U1198" s="595"/>
      <c r="W1198" s="568"/>
      <c r="X1198" s="568"/>
      <c r="Y1198" s="566"/>
    </row>
    <row r="1199" spans="18:25" x14ac:dyDescent="0.25">
      <c r="R1199" s="594"/>
      <c r="T1199" s="592"/>
      <c r="U1199" s="595"/>
      <c r="W1199" s="568"/>
      <c r="X1199" s="568"/>
      <c r="Y1199" s="566"/>
    </row>
    <row r="1200" spans="18:25" x14ac:dyDescent="0.25">
      <c r="R1200" s="594"/>
      <c r="T1200" s="592"/>
      <c r="U1200" s="595"/>
      <c r="W1200" s="568"/>
      <c r="X1200" s="568"/>
      <c r="Y1200" s="566"/>
    </row>
    <row r="1201" spans="18:25" x14ac:dyDescent="0.25">
      <c r="R1201" s="594"/>
      <c r="T1201" s="592"/>
      <c r="U1201" s="595"/>
      <c r="W1201" s="568"/>
      <c r="X1201" s="568"/>
      <c r="Y1201" s="566"/>
    </row>
    <row r="1202" spans="18:25" x14ac:dyDescent="0.25">
      <c r="R1202" s="594"/>
      <c r="T1202" s="592"/>
      <c r="U1202" s="595"/>
      <c r="W1202" s="568"/>
      <c r="X1202" s="568"/>
      <c r="Y1202" s="566"/>
    </row>
    <row r="1203" spans="18:25" x14ac:dyDescent="0.25">
      <c r="R1203" s="594"/>
      <c r="T1203" s="592"/>
      <c r="U1203" s="595"/>
      <c r="W1203" s="568"/>
      <c r="X1203" s="568"/>
      <c r="Y1203" s="566"/>
    </row>
    <row r="1204" spans="18:25" x14ac:dyDescent="0.25">
      <c r="R1204" s="594"/>
      <c r="T1204" s="592"/>
      <c r="U1204" s="595"/>
      <c r="W1204" s="568"/>
      <c r="X1204" s="568"/>
      <c r="Y1204" s="566"/>
    </row>
    <row r="1205" spans="18:25" x14ac:dyDescent="0.25">
      <c r="R1205" s="594"/>
      <c r="T1205" s="592"/>
      <c r="U1205" s="595"/>
      <c r="W1205" s="568"/>
      <c r="X1205" s="568"/>
      <c r="Y1205" s="566"/>
    </row>
    <row r="1206" spans="18:25" x14ac:dyDescent="0.25">
      <c r="R1206" s="594"/>
      <c r="T1206" s="592"/>
      <c r="U1206" s="595"/>
      <c r="W1206" s="568"/>
      <c r="X1206" s="568"/>
      <c r="Y1206" s="566"/>
    </row>
  </sheetData>
  <phoneticPr fontId="64" type="noConversion"/>
  <conditionalFormatting sqref="H1">
    <cfRule type="containsText" dxfId="2476" priority="2" operator="containsText" text=" ">
      <formula>NOT(ISERROR(SEARCH(" ",H1)))</formula>
    </cfRule>
  </conditionalFormatting>
  <conditionalFormatting sqref="H2">
    <cfRule type="containsText" dxfId="2475" priority="1" operator="containsText" text=" ">
      <formula>NOT(ISERROR(SEARCH(" ",H2)))</formula>
    </cfRule>
  </conditionalFormatting>
  <conditionalFormatting sqref="G4:H4">
    <cfRule type="containsText" dxfId="2474" priority="4" operator="containsText" text=" ">
      <formula>NOT(ISERROR(SEARCH(" ",G4)))</formula>
    </cfRule>
  </conditionalFormatting>
  <conditionalFormatting sqref="I1:I4">
    <cfRule type="containsText" dxfId="2473" priority="3" operator="containsText" text=" ">
      <formula>NOT(ISERROR(SEARCH(" ",I1)))</formula>
    </cfRule>
  </conditionalFormatting>
  <conditionalFormatting sqref="A1:F4 G3:H3 G1:G2">
    <cfRule type="containsText" dxfId="2472" priority="6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CB32"/>
  <sheetViews>
    <sheetView zoomScale="80" zoomScaleNormal="80" workbookViewId="0">
      <pane xSplit="2" ySplit="4" topLeftCell="AP5" activePane="bottomRight" state="frozen"/>
      <selection pane="topRight"/>
      <selection pane="bottomLeft"/>
      <selection pane="bottomRight" activeCell="BA16" sqref="BA16"/>
    </sheetView>
  </sheetViews>
  <sheetFormatPr defaultColWidth="9" defaultRowHeight="15.6" x14ac:dyDescent="0.25"/>
  <cols>
    <col min="1" max="1" width="8" style="1" customWidth="1"/>
    <col min="2" max="2" width="12.21875" style="1" customWidth="1"/>
    <col min="3" max="3" width="24.6640625" style="1" customWidth="1"/>
    <col min="4" max="4" width="12.21875" style="1" customWidth="1"/>
    <col min="5" max="5" width="16.77734375" style="1" customWidth="1"/>
    <col min="6" max="6" width="20" style="1" customWidth="1"/>
    <col min="7" max="8" width="15.77734375" style="1" customWidth="1"/>
    <col min="9" max="9" width="40.109375" style="1" customWidth="1"/>
    <col min="10" max="10" width="53.109375" style="1" customWidth="1"/>
    <col min="11" max="13" width="16.88671875" style="1" customWidth="1"/>
    <col min="14" max="14" width="12.21875" style="1" customWidth="1"/>
    <col min="15" max="15" width="16.33203125" style="1" customWidth="1"/>
    <col min="16" max="16" width="18.6640625" style="1" customWidth="1"/>
    <col min="17" max="17" width="20.33203125" style="1" customWidth="1"/>
    <col min="18" max="18" width="9.77734375" style="1" customWidth="1"/>
    <col min="19" max="19" width="11.21875" style="1" customWidth="1"/>
    <col min="20" max="20" width="16.77734375" style="1" customWidth="1"/>
    <col min="21" max="21" width="11.21875" style="1" customWidth="1"/>
    <col min="22" max="22" width="32.88671875" style="1" customWidth="1"/>
    <col min="23" max="28" width="14.44140625" style="1" customWidth="1"/>
    <col min="29" max="29" width="12.33203125" style="1" customWidth="1"/>
    <col min="30" max="30" width="9.44140625" style="1" customWidth="1"/>
    <col min="31" max="31" width="13.109375" style="1" customWidth="1"/>
    <col min="32" max="32" width="10.44140625" style="1" customWidth="1"/>
    <col min="33" max="33" width="12.6640625" style="1" customWidth="1"/>
    <col min="34" max="34" width="10.44140625" style="1" customWidth="1"/>
    <col min="35" max="35" width="12.6640625" style="1" customWidth="1"/>
    <col min="36" max="36" width="10.44140625" style="1" customWidth="1"/>
    <col min="37" max="37" width="12.6640625" style="1" customWidth="1"/>
    <col min="38" max="38" width="10.44140625" style="1" customWidth="1"/>
    <col min="39" max="42" width="12.6640625" style="1" customWidth="1"/>
    <col min="43" max="43" width="16.21875" style="1" customWidth="1"/>
    <col min="44" max="44" width="15.6640625" style="1" customWidth="1"/>
    <col min="45" max="45" width="24" style="1" customWidth="1"/>
    <col min="46" max="46" width="31.109375" style="1" customWidth="1"/>
    <col min="47" max="47" width="22.33203125" style="1" bestFit="1" customWidth="1"/>
    <col min="48" max="52" width="22.33203125" style="1" customWidth="1"/>
    <col min="53" max="53" width="14.5546875" style="1" bestFit="1" customWidth="1"/>
    <col min="54" max="54" width="24" style="1" customWidth="1"/>
    <col min="55" max="55" width="12.6640625" style="1" customWidth="1"/>
    <col min="56" max="58" width="9" style="1"/>
    <col min="65" max="16384" width="9" style="1"/>
  </cols>
  <sheetData>
    <row r="1" spans="1:80" x14ac:dyDescent="0.35">
      <c r="A1" s="2" t="s">
        <v>0</v>
      </c>
      <c r="B1" s="2" t="s">
        <v>0</v>
      </c>
      <c r="C1" s="2" t="s">
        <v>976</v>
      </c>
      <c r="D1" s="51" t="s">
        <v>976</v>
      </c>
      <c r="E1" s="2" t="s">
        <v>976</v>
      </c>
      <c r="F1" s="2" t="s">
        <v>976</v>
      </c>
      <c r="G1" s="2" t="s">
        <v>1</v>
      </c>
      <c r="H1" s="2" t="s">
        <v>0</v>
      </c>
      <c r="I1" s="2" t="s">
        <v>0</v>
      </c>
      <c r="J1" s="2" t="s">
        <v>1</v>
      </c>
      <c r="K1" s="2" t="s">
        <v>1</v>
      </c>
      <c r="L1" s="2" t="s">
        <v>0</v>
      </c>
      <c r="M1" s="2" t="s">
        <v>0</v>
      </c>
      <c r="N1" s="521" t="s">
        <v>0</v>
      </c>
      <c r="O1" s="522" t="s">
        <v>0</v>
      </c>
      <c r="P1" s="521" t="s">
        <v>0</v>
      </c>
      <c r="Q1" s="521" t="s">
        <v>0</v>
      </c>
      <c r="R1" s="522" t="s">
        <v>0</v>
      </c>
      <c r="S1" s="521" t="s">
        <v>0</v>
      </c>
      <c r="T1" s="522" t="s">
        <v>0</v>
      </c>
      <c r="U1" s="521" t="s">
        <v>0</v>
      </c>
      <c r="V1" s="522" t="s">
        <v>1</v>
      </c>
      <c r="W1" s="522" t="s">
        <v>0</v>
      </c>
      <c r="X1" s="522" t="s">
        <v>0</v>
      </c>
      <c r="Y1" s="275" t="s">
        <v>0</v>
      </c>
      <c r="Z1" s="522" t="s">
        <v>0</v>
      </c>
      <c r="AA1" s="522" t="s">
        <v>0</v>
      </c>
      <c r="AB1" s="522" t="s">
        <v>0</v>
      </c>
      <c r="AC1" s="529" t="s">
        <v>0</v>
      </c>
      <c r="AD1" s="529" t="s">
        <v>0</v>
      </c>
      <c r="AE1" s="530" t="s">
        <v>0</v>
      </c>
      <c r="AF1" s="529" t="s">
        <v>0</v>
      </c>
      <c r="AG1" s="530" t="s">
        <v>0</v>
      </c>
      <c r="AH1" s="529" t="s">
        <v>0</v>
      </c>
      <c r="AI1" s="530" t="s">
        <v>0</v>
      </c>
      <c r="AJ1" s="529" t="s">
        <v>0</v>
      </c>
      <c r="AK1" s="530" t="s">
        <v>0</v>
      </c>
      <c r="AL1" s="529" t="s">
        <v>0</v>
      </c>
      <c r="AM1" s="530" t="s">
        <v>0</v>
      </c>
      <c r="AN1" s="60" t="s">
        <v>0</v>
      </c>
      <c r="AO1" s="275" t="s">
        <v>1</v>
      </c>
      <c r="AP1" s="275" t="s">
        <v>1</v>
      </c>
      <c r="AQ1" s="275" t="s">
        <v>1</v>
      </c>
      <c r="AR1" s="275" t="s">
        <v>1</v>
      </c>
      <c r="AS1" s="275" t="s">
        <v>1</v>
      </c>
      <c r="AT1" s="275" t="s">
        <v>1</v>
      </c>
      <c r="AU1" s="275" t="s">
        <v>2464</v>
      </c>
      <c r="AV1" s="275" t="s">
        <v>1</v>
      </c>
      <c r="AW1" s="275" t="s">
        <v>1</v>
      </c>
      <c r="AX1" s="275" t="s">
        <v>1</v>
      </c>
      <c r="AY1" s="275" t="s">
        <v>1</v>
      </c>
      <c r="AZ1" s="275" t="s">
        <v>1</v>
      </c>
      <c r="BA1" s="275" t="s">
        <v>1</v>
      </c>
      <c r="BB1" s="404"/>
      <c r="BC1" s="404"/>
      <c r="BD1"/>
    </row>
    <row r="2" spans="1:80" x14ac:dyDescent="0.35">
      <c r="A2" s="2" t="s">
        <v>11</v>
      </c>
      <c r="B2" s="2" t="s">
        <v>11</v>
      </c>
      <c r="C2" s="2" t="s">
        <v>1014</v>
      </c>
      <c r="D2" s="51" t="s">
        <v>1014</v>
      </c>
      <c r="E2" s="2" t="s">
        <v>11</v>
      </c>
      <c r="F2" s="2" t="s">
        <v>14</v>
      </c>
      <c r="G2" s="2" t="s">
        <v>11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11</v>
      </c>
      <c r="M2" s="2" t="s">
        <v>11</v>
      </c>
      <c r="N2" s="521" t="s">
        <v>11</v>
      </c>
      <c r="O2" s="522" t="s">
        <v>11</v>
      </c>
      <c r="P2" s="521" t="s">
        <v>11</v>
      </c>
      <c r="Q2" s="521" t="s">
        <v>11</v>
      </c>
      <c r="R2" s="522" t="s">
        <v>11</v>
      </c>
      <c r="S2" s="521" t="s">
        <v>11</v>
      </c>
      <c r="T2" s="522" t="s">
        <v>11</v>
      </c>
      <c r="U2" s="521" t="s">
        <v>11</v>
      </c>
      <c r="V2" s="522" t="s">
        <v>14</v>
      </c>
      <c r="W2" s="522" t="s">
        <v>11</v>
      </c>
      <c r="X2" s="522" t="s">
        <v>11</v>
      </c>
      <c r="Y2" s="275" t="s">
        <v>11</v>
      </c>
      <c r="Z2" s="522" t="s">
        <v>11</v>
      </c>
      <c r="AA2" s="522" t="s">
        <v>11</v>
      </c>
      <c r="AB2" s="522" t="s">
        <v>11</v>
      </c>
      <c r="AC2" s="529" t="s">
        <v>11</v>
      </c>
      <c r="AD2" s="529" t="s">
        <v>14</v>
      </c>
      <c r="AE2" s="530" t="s">
        <v>14</v>
      </c>
      <c r="AF2" s="529" t="s">
        <v>14</v>
      </c>
      <c r="AG2" s="530" t="s">
        <v>14</v>
      </c>
      <c r="AH2" s="529" t="s">
        <v>14</v>
      </c>
      <c r="AI2" s="530" t="s">
        <v>14</v>
      </c>
      <c r="AJ2" s="529" t="s">
        <v>14</v>
      </c>
      <c r="AK2" s="530" t="s">
        <v>14</v>
      </c>
      <c r="AL2" s="529" t="s">
        <v>14</v>
      </c>
      <c r="AM2" s="530" t="s">
        <v>14</v>
      </c>
      <c r="AN2" s="60" t="s">
        <v>11</v>
      </c>
      <c r="AO2" s="275" t="s">
        <v>11</v>
      </c>
      <c r="AP2" s="275" t="s">
        <v>13</v>
      </c>
      <c r="AQ2" s="275" t="s">
        <v>13</v>
      </c>
      <c r="AR2" s="275" t="s">
        <v>11</v>
      </c>
      <c r="AS2" s="275" t="s">
        <v>14</v>
      </c>
      <c r="AT2" s="275" t="s">
        <v>14</v>
      </c>
      <c r="AU2" s="275" t="s">
        <v>14</v>
      </c>
      <c r="AV2" s="275" t="s">
        <v>13</v>
      </c>
      <c r="AW2" s="275" t="s">
        <v>14</v>
      </c>
      <c r="AX2" s="275" t="s">
        <v>14</v>
      </c>
      <c r="AY2" s="275" t="s">
        <v>14</v>
      </c>
      <c r="AZ2" s="275" t="s">
        <v>14</v>
      </c>
      <c r="BA2" s="275" t="s">
        <v>13</v>
      </c>
      <c r="BB2" s="404"/>
      <c r="BC2" s="404"/>
      <c r="BD2"/>
      <c r="BH2" s="545" t="s">
        <v>1015</v>
      </c>
    </row>
    <row r="3" spans="1:80" x14ac:dyDescent="0.35">
      <c r="A3" s="2" t="s">
        <v>1016</v>
      </c>
      <c r="B3" s="2" t="s">
        <v>1017</v>
      </c>
      <c r="C3" s="2" t="s">
        <v>1018</v>
      </c>
      <c r="D3" s="51" t="s">
        <v>1019</v>
      </c>
      <c r="E3" s="2" t="s">
        <v>1020</v>
      </c>
      <c r="F3" s="2" t="s">
        <v>1021</v>
      </c>
      <c r="G3" s="2" t="s">
        <v>1022</v>
      </c>
      <c r="H3" s="2" t="s">
        <v>1023</v>
      </c>
      <c r="I3" s="2" t="s">
        <v>1024</v>
      </c>
      <c r="J3" s="2" t="s">
        <v>1025</v>
      </c>
      <c r="K3" s="2" t="s">
        <v>1026</v>
      </c>
      <c r="L3" s="2" t="s">
        <v>1027</v>
      </c>
      <c r="M3" s="2" t="s">
        <v>1028</v>
      </c>
      <c r="N3" s="521" t="s">
        <v>1029</v>
      </c>
      <c r="O3" s="522" t="s">
        <v>1030</v>
      </c>
      <c r="P3" s="521" t="s">
        <v>1031</v>
      </c>
      <c r="Q3" s="521" t="s">
        <v>1032</v>
      </c>
      <c r="R3" s="522" t="s">
        <v>1033</v>
      </c>
      <c r="S3" s="521" t="s">
        <v>1034</v>
      </c>
      <c r="T3" s="522" t="s">
        <v>1035</v>
      </c>
      <c r="U3" s="521" t="s">
        <v>1036</v>
      </c>
      <c r="V3" s="522" t="s">
        <v>1037</v>
      </c>
      <c r="W3" s="522" t="s">
        <v>1038</v>
      </c>
      <c r="X3" s="522" t="s">
        <v>1039</v>
      </c>
      <c r="Y3" s="275" t="s">
        <v>1040</v>
      </c>
      <c r="Z3" s="522" t="s">
        <v>1041</v>
      </c>
      <c r="AA3" s="522" t="s">
        <v>1042</v>
      </c>
      <c r="AB3" s="522" t="s">
        <v>1043</v>
      </c>
      <c r="AC3" s="529" t="s">
        <v>1044</v>
      </c>
      <c r="AD3" s="529" t="s">
        <v>1045</v>
      </c>
      <c r="AE3" s="530" t="s">
        <v>1046</v>
      </c>
      <c r="AF3" s="529" t="s">
        <v>1047</v>
      </c>
      <c r="AG3" s="530" t="s">
        <v>1048</v>
      </c>
      <c r="AH3" s="529" t="s">
        <v>1049</v>
      </c>
      <c r="AI3" s="530" t="s">
        <v>1050</v>
      </c>
      <c r="AJ3" s="529" t="s">
        <v>1051</v>
      </c>
      <c r="AK3" s="530" t="s">
        <v>1052</v>
      </c>
      <c r="AL3" s="529" t="s">
        <v>1053</v>
      </c>
      <c r="AM3" s="530" t="s">
        <v>1054</v>
      </c>
      <c r="AN3" s="60" t="s">
        <v>1055</v>
      </c>
      <c r="AO3" s="275" t="s">
        <v>1056</v>
      </c>
      <c r="AP3" s="275" t="s">
        <v>1057</v>
      </c>
      <c r="AQ3" s="275" t="s">
        <v>1058</v>
      </c>
      <c r="AR3" s="275" t="s">
        <v>1059</v>
      </c>
      <c r="AS3" s="275" t="s">
        <v>1060</v>
      </c>
      <c r="AT3" s="275" t="s">
        <v>1061</v>
      </c>
      <c r="AU3" s="275" t="s">
        <v>2465</v>
      </c>
      <c r="AV3" s="275" t="s">
        <v>2476</v>
      </c>
      <c r="AW3" s="275" t="s">
        <v>2477</v>
      </c>
      <c r="AX3" s="275" t="s">
        <v>2478</v>
      </c>
      <c r="AY3" s="275" t="s">
        <v>2479</v>
      </c>
      <c r="AZ3" s="275" t="s">
        <v>2480</v>
      </c>
      <c r="BA3" s="275" t="s">
        <v>2587</v>
      </c>
      <c r="BB3" s="404"/>
      <c r="BC3" s="404"/>
      <c r="BD3"/>
      <c r="BH3" s="748" t="s">
        <v>1062</v>
      </c>
      <c r="BI3" s="748"/>
      <c r="BJ3" s="748"/>
      <c r="BK3" s="546"/>
      <c r="BL3" s="546"/>
      <c r="BM3" s="749" t="s">
        <v>1063</v>
      </c>
      <c r="BN3" s="749"/>
      <c r="BO3" s="749"/>
      <c r="BP3" s="554"/>
      <c r="BQ3" s="554"/>
    </row>
    <row r="4" spans="1:80" ht="66" x14ac:dyDescent="0.35">
      <c r="A4" s="60" t="s">
        <v>1064</v>
      </c>
      <c r="B4" s="60" t="s">
        <v>1065</v>
      </c>
      <c r="C4" s="60" t="s">
        <v>1066</v>
      </c>
      <c r="D4" s="518" t="s">
        <v>1067</v>
      </c>
      <c r="E4" s="60" t="s">
        <v>1068</v>
      </c>
      <c r="F4" s="60" t="s">
        <v>1069</v>
      </c>
      <c r="G4" s="60" t="s">
        <v>1070</v>
      </c>
      <c r="H4" s="60" t="s">
        <v>1071</v>
      </c>
      <c r="I4" s="60" t="s">
        <v>1072</v>
      </c>
      <c r="J4" s="60" t="s">
        <v>1073</v>
      </c>
      <c r="K4" s="60" t="s">
        <v>1074</v>
      </c>
      <c r="L4" s="60" t="s">
        <v>1075</v>
      </c>
      <c r="M4" s="60" t="s">
        <v>1076</v>
      </c>
      <c r="N4" s="460" t="s">
        <v>1077</v>
      </c>
      <c r="O4" s="452" t="s">
        <v>1078</v>
      </c>
      <c r="P4" s="460" t="s">
        <v>1079</v>
      </c>
      <c r="Q4" s="460" t="s">
        <v>1080</v>
      </c>
      <c r="R4" s="452" t="s">
        <v>1081</v>
      </c>
      <c r="S4" s="460" t="s">
        <v>1082</v>
      </c>
      <c r="T4" s="452" t="s">
        <v>1083</v>
      </c>
      <c r="U4" s="460" t="s">
        <v>1084</v>
      </c>
      <c r="V4" s="452" t="s">
        <v>1085</v>
      </c>
      <c r="W4" s="452" t="s">
        <v>1086</v>
      </c>
      <c r="X4" s="452" t="s">
        <v>1087</v>
      </c>
      <c r="Y4" s="531" t="s">
        <v>1088</v>
      </c>
      <c r="Z4" s="452" t="s">
        <v>1089</v>
      </c>
      <c r="AA4" s="452" t="s">
        <v>1089</v>
      </c>
      <c r="AB4" s="452" t="s">
        <v>1089</v>
      </c>
      <c r="AC4" s="532" t="s">
        <v>1090</v>
      </c>
      <c r="AD4" s="533" t="s">
        <v>1091</v>
      </c>
      <c r="AE4" s="534" t="s">
        <v>1092</v>
      </c>
      <c r="AF4" s="533" t="s">
        <v>1093</v>
      </c>
      <c r="AG4" s="534" t="s">
        <v>1094</v>
      </c>
      <c r="AH4" s="533" t="s">
        <v>1095</v>
      </c>
      <c r="AI4" s="534" t="s">
        <v>1096</v>
      </c>
      <c r="AJ4" s="533" t="s">
        <v>1097</v>
      </c>
      <c r="AK4" s="534" t="s">
        <v>1098</v>
      </c>
      <c r="AL4" s="533" t="s">
        <v>1099</v>
      </c>
      <c r="AM4" s="534" t="s">
        <v>1100</v>
      </c>
      <c r="AN4" s="60" t="s">
        <v>1101</v>
      </c>
      <c r="AO4" s="536" t="s">
        <v>1102</v>
      </c>
      <c r="AP4" s="536" t="s">
        <v>1103</v>
      </c>
      <c r="AQ4" s="536" t="s">
        <v>1104</v>
      </c>
      <c r="AR4" s="537" t="s">
        <v>1105</v>
      </c>
      <c r="AS4" s="537" t="s">
        <v>1106</v>
      </c>
      <c r="AT4" s="538" t="s">
        <v>1107</v>
      </c>
      <c r="AU4" s="538" t="s">
        <v>2466</v>
      </c>
      <c r="AV4" s="726" t="s">
        <v>2481</v>
      </c>
      <c r="AW4" s="726" t="s">
        <v>2482</v>
      </c>
      <c r="AX4" s="726" t="s">
        <v>2483</v>
      </c>
      <c r="AY4" s="750" t="s">
        <v>2484</v>
      </c>
      <c r="AZ4" s="750"/>
      <c r="BA4" s="538" t="s">
        <v>2588</v>
      </c>
      <c r="BB4" s="539"/>
      <c r="BC4" s="540"/>
      <c r="BD4" s="547" t="s">
        <v>1083</v>
      </c>
      <c r="BH4" s="548" t="s">
        <v>806</v>
      </c>
      <c r="BI4" s="549" t="s">
        <v>807</v>
      </c>
      <c r="BJ4" s="549" t="s">
        <v>1108</v>
      </c>
      <c r="BK4" s="549" t="s">
        <v>1109</v>
      </c>
      <c r="BL4" s="555" t="s">
        <v>1110</v>
      </c>
      <c r="BM4" s="548" t="s">
        <v>806</v>
      </c>
      <c r="BN4" s="549" t="s">
        <v>807</v>
      </c>
      <c r="BO4" s="549" t="s">
        <v>1108</v>
      </c>
      <c r="BP4" s="549" t="s">
        <v>1109</v>
      </c>
      <c r="BQ4" s="555" t="s">
        <v>1110</v>
      </c>
      <c r="BV4" s="561" t="s">
        <v>1111</v>
      </c>
      <c r="BW4" s="562" t="s">
        <v>1112</v>
      </c>
      <c r="BX4" s="562" t="s">
        <v>1113</v>
      </c>
      <c r="BY4" s="562" t="s">
        <v>115</v>
      </c>
      <c r="BZ4" s="562" t="s">
        <v>808</v>
      </c>
      <c r="CA4" s="562"/>
      <c r="CB4" s="562"/>
    </row>
    <row r="5" spans="1:80" ht="16.2" x14ac:dyDescent="0.35">
      <c r="A5" s="1">
        <v>0</v>
      </c>
      <c r="B5" s="1">
        <v>0</v>
      </c>
      <c r="C5" s="58"/>
      <c r="D5" s="58"/>
      <c r="E5" s="58" t="s">
        <v>158</v>
      </c>
      <c r="G5" s="1">
        <v>1</v>
      </c>
      <c r="J5" s="99" t="s">
        <v>1114</v>
      </c>
      <c r="K5" s="99" t="s">
        <v>1115</v>
      </c>
      <c r="L5" s="523">
        <v>999</v>
      </c>
      <c r="M5" s="523">
        <v>999</v>
      </c>
      <c r="N5" s="1">
        <v>0</v>
      </c>
      <c r="O5" s="524">
        <v>3</v>
      </c>
      <c r="P5" s="525">
        <f>'全局参数|GlobalPar'!L15</f>
        <v>0</v>
      </c>
      <c r="Q5" s="524">
        <v>1</v>
      </c>
      <c r="R5" s="1">
        <v>0</v>
      </c>
      <c r="S5" s="1">
        <v>1</v>
      </c>
      <c r="T5" s="1">
        <v>0</v>
      </c>
      <c r="U5" s="527">
        <v>100</v>
      </c>
      <c r="V5" s="6" t="s">
        <v>1116</v>
      </c>
      <c r="W5" s="6">
        <f>'鱼属性|FishAttribute'!JO5</f>
        <v>99999</v>
      </c>
      <c r="X5" s="6">
        <v>0</v>
      </c>
      <c r="Y5" s="6">
        <v>10</v>
      </c>
      <c r="Z5" s="6">
        <v>2</v>
      </c>
      <c r="AA5" s="6">
        <v>2</v>
      </c>
      <c r="AB5" s="6">
        <v>2</v>
      </c>
      <c r="AC5" s="1">
        <v>0</v>
      </c>
      <c r="AE5" s="39"/>
      <c r="AN5" s="95">
        <v>500000</v>
      </c>
      <c r="AO5" s="1">
        <v>0</v>
      </c>
      <c r="AP5" s="153">
        <f>AQ5*1.5</f>
        <v>1.44</v>
      </c>
      <c r="AQ5" s="541">
        <v>0.96</v>
      </c>
      <c r="AR5" s="542">
        <v>999999999</v>
      </c>
      <c r="AS5" s="1" t="s">
        <v>1117</v>
      </c>
      <c r="AT5" s="543" t="str">
        <f>"[["&amp;BY5&amp;",["&amp;BW5&amp;","&amp;BX5&amp;"]],["&amp;BY6&amp;",["&amp;BW6&amp;","&amp;BX6&amp;"]],["&amp;BY7&amp;",["&amp;BW7&amp;","&amp;BX7&amp;"]],["&amp;BY8&amp;",["&amp;BW8&amp;","&amp;BX8&amp;"]],["&amp;BY9&amp;",["&amp;BW9&amp;","&amp;BX9&amp;"]],["&amp;BY10&amp;",["&amp;BW10&amp;","&amp;BX10&amp;"]],["&amp;BY11&amp;",["&amp;BW11&amp;","&amp;BX11&amp;"]],["&amp;BY12&amp;",["&amp;BW12&amp;","&amp;BX12&amp;"]]]"</f>
        <v>[[2,[0.2,0.8]],[4,[0.65,0.95]],[10,[0.75,0.95]],[34,[0.9,1]],[34,[1,1.1]],[10,[1.05,1.25]],[4,[1.05,1.35]],[2,[1.2,1.8]]]</v>
      </c>
      <c r="AU5" s="1" t="s">
        <v>2467</v>
      </c>
      <c r="AV5" s="1">
        <v>0</v>
      </c>
      <c r="AW5" s="727" t="s">
        <v>2485</v>
      </c>
      <c r="AX5" s="1" t="s">
        <v>2486</v>
      </c>
      <c r="AY5" s="58" t="s">
        <v>2487</v>
      </c>
      <c r="AZ5" s="58" t="s">
        <v>2488</v>
      </c>
      <c r="BA5" s="58">
        <v>0</v>
      </c>
      <c r="BC5" s="1">
        <v>6.4999999999999997E-3</v>
      </c>
      <c r="BD5" s="1">
        <v>0</v>
      </c>
      <c r="BE5" s="1" t="s">
        <v>1118</v>
      </c>
      <c r="BH5" s="550">
        <v>10000</v>
      </c>
      <c r="BI5" s="551">
        <v>20000</v>
      </c>
      <c r="BJ5" s="551">
        <f>(BH5+BI5)/2</f>
        <v>15000</v>
      </c>
      <c r="BK5" s="551">
        <v>12</v>
      </c>
      <c r="BL5" s="556">
        <f>24/BK5*BJ5</f>
        <v>30000</v>
      </c>
      <c r="BM5" s="24">
        <v>1</v>
      </c>
      <c r="BN5" s="557">
        <v>1</v>
      </c>
      <c r="BO5" s="247">
        <f>(BM5+BN5)/2</f>
        <v>1</v>
      </c>
      <c r="BP5" s="551">
        <v>12</v>
      </c>
      <c r="BQ5" s="556">
        <f>24/BP5*BO5</f>
        <v>2</v>
      </c>
      <c r="BV5" s="562">
        <v>0</v>
      </c>
      <c r="BW5" s="562">
        <v>0.2</v>
      </c>
      <c r="BX5" s="562">
        <v>0.8</v>
      </c>
      <c r="BY5" s="562">
        <v>2</v>
      </c>
      <c r="BZ5" s="562">
        <f t="shared" ref="BZ5:BZ12" si="0">(BW5+BX5)/2*BY5/100</f>
        <v>0.01</v>
      </c>
      <c r="CA5" s="562" t="s">
        <v>1119</v>
      </c>
      <c r="CB5" s="562">
        <f>SUM(BZ5:BZ12)</f>
        <v>1</v>
      </c>
    </row>
    <row r="6" spans="1:80" ht="16.2" x14ac:dyDescent="0.35">
      <c r="A6" s="1">
        <v>1</v>
      </c>
      <c r="B6" s="1">
        <v>6</v>
      </c>
      <c r="C6" s="519" t="s">
        <v>1120</v>
      </c>
      <c r="D6" s="58" t="s">
        <v>1121</v>
      </c>
      <c r="E6" s="58" t="s">
        <v>1122</v>
      </c>
      <c r="F6" s="58"/>
      <c r="G6" s="58" t="s">
        <v>280</v>
      </c>
      <c r="H6" s="1">
        <v>1401</v>
      </c>
      <c r="I6" s="58" t="s">
        <v>1123</v>
      </c>
      <c r="J6" s="99" t="s">
        <v>1124</v>
      </c>
      <c r="K6" s="99" t="s">
        <v>1125</v>
      </c>
      <c r="L6" s="523">
        <v>999</v>
      </c>
      <c r="M6" s="523">
        <v>999</v>
      </c>
      <c r="N6" s="1">
        <v>0</v>
      </c>
      <c r="O6" s="526">
        <v>3</v>
      </c>
      <c r="P6" s="525">
        <f>'全局参数|GlobalPar'!L16</f>
        <v>0</v>
      </c>
      <c r="Q6" s="524">
        <v>1</v>
      </c>
      <c r="R6" s="1">
        <v>0</v>
      </c>
      <c r="S6" s="1">
        <v>1</v>
      </c>
      <c r="T6" s="1">
        <v>0</v>
      </c>
      <c r="U6" s="527">
        <v>100</v>
      </c>
      <c r="V6" s="6" t="s">
        <v>1116</v>
      </c>
      <c r="W6" s="6">
        <f>'鱼属性|FishAttribute'!JO6</f>
        <v>99999</v>
      </c>
      <c r="X6" s="6">
        <v>1</v>
      </c>
      <c r="Y6" s="6">
        <v>15</v>
      </c>
      <c r="Z6" s="6">
        <v>2</v>
      </c>
      <c r="AA6" s="6">
        <v>2</v>
      </c>
      <c r="AB6" s="6">
        <v>2</v>
      </c>
      <c r="AC6" s="1">
        <v>0</v>
      </c>
      <c r="AE6" s="39"/>
      <c r="AN6" s="95">
        <v>1000000</v>
      </c>
      <c r="AO6" s="1">
        <v>0</v>
      </c>
      <c r="AP6" s="153">
        <f>AQ6*1.5</f>
        <v>1.44</v>
      </c>
      <c r="AQ6" s="541">
        <f>AQ5</f>
        <v>0.96</v>
      </c>
      <c r="AR6" s="542">
        <v>999999999</v>
      </c>
      <c r="AS6" s="1" t="s">
        <v>1117</v>
      </c>
      <c r="AT6" s="543" t="str">
        <f>AT5</f>
        <v>[[2,[0.2,0.8]],[4,[0.65,0.95]],[10,[0.75,0.95]],[34,[0.9,1]],[34,[1,1.1]],[10,[1.05,1.25]],[4,[1.05,1.35]],[2,[1.2,1.8]]]</v>
      </c>
      <c r="AU6" s="1" t="s">
        <v>2468</v>
      </c>
      <c r="AV6" s="1">
        <v>0.02</v>
      </c>
      <c r="AW6" s="727" t="s">
        <v>2489</v>
      </c>
      <c r="AX6" s="1" t="s">
        <v>2490</v>
      </c>
      <c r="AY6" s="58" t="s">
        <v>2487</v>
      </c>
      <c r="AZ6" s="58" t="s">
        <v>2488</v>
      </c>
      <c r="BA6" s="58">
        <v>0</v>
      </c>
      <c r="BC6" s="1">
        <v>6.0000000000000001E-3</v>
      </c>
      <c r="BD6" s="1">
        <v>0</v>
      </c>
      <c r="BE6" s="1" t="s">
        <v>1126</v>
      </c>
      <c r="BH6" s="550">
        <v>20000</v>
      </c>
      <c r="BI6" s="551">
        <v>40000</v>
      </c>
      <c r="BJ6" s="551">
        <f t="shared" ref="BJ6:BJ15" si="1">(BH6+BI6)/2</f>
        <v>30000</v>
      </c>
      <c r="BK6" s="551">
        <v>12</v>
      </c>
      <c r="BL6" s="556">
        <f t="shared" ref="BL6:BL15" si="2">24/BK6*BJ6</f>
        <v>60000</v>
      </c>
      <c r="BM6" s="24">
        <v>1</v>
      </c>
      <c r="BN6" s="557">
        <v>2</v>
      </c>
      <c r="BO6" s="247">
        <f t="shared" ref="BO6:BO15" si="3">(BM6+BN6)/2</f>
        <v>1.5</v>
      </c>
      <c r="BP6" s="551">
        <v>12</v>
      </c>
      <c r="BQ6" s="556">
        <f t="shared" ref="BQ6:BQ15" si="4">24/BP6*BO6</f>
        <v>3</v>
      </c>
      <c r="BV6" s="562">
        <v>3</v>
      </c>
      <c r="BW6" s="562">
        <v>0.65</v>
      </c>
      <c r="BX6" s="562">
        <v>0.95</v>
      </c>
      <c r="BY6" s="562">
        <v>4</v>
      </c>
      <c r="BZ6" s="562">
        <f t="shared" si="0"/>
        <v>3.2000000000000001E-2</v>
      </c>
      <c r="CA6" s="562"/>
      <c r="CB6" s="562"/>
    </row>
    <row r="7" spans="1:80" ht="16.2" x14ac:dyDescent="0.35">
      <c r="A7" s="1">
        <v>2</v>
      </c>
      <c r="B7" s="1">
        <v>200</v>
      </c>
      <c r="C7" s="519" t="s">
        <v>1127</v>
      </c>
      <c r="D7" s="58" t="s">
        <v>1128</v>
      </c>
      <c r="E7" s="58" t="s">
        <v>399</v>
      </c>
      <c r="F7" s="58"/>
      <c r="G7" s="58" t="s">
        <v>425</v>
      </c>
      <c r="H7" s="1">
        <v>1402</v>
      </c>
      <c r="I7" s="58" t="s">
        <v>1129</v>
      </c>
      <c r="J7" s="99" t="s">
        <v>1124</v>
      </c>
      <c r="K7" s="99" t="s">
        <v>1125</v>
      </c>
      <c r="L7" s="523">
        <v>999</v>
      </c>
      <c r="M7" s="523">
        <v>999</v>
      </c>
      <c r="N7" s="1">
        <v>0</v>
      </c>
      <c r="O7" s="524">
        <v>4</v>
      </c>
      <c r="P7" s="525">
        <f>'全局参数|GlobalPar'!L17</f>
        <v>0</v>
      </c>
      <c r="Q7" s="524">
        <v>1</v>
      </c>
      <c r="R7" s="1">
        <v>1</v>
      </c>
      <c r="S7" s="1">
        <v>1</v>
      </c>
      <c r="T7" s="1">
        <v>0</v>
      </c>
      <c r="U7" s="527">
        <v>100</v>
      </c>
      <c r="V7" s="6" t="s">
        <v>1130</v>
      </c>
      <c r="W7" s="6">
        <f>'鱼属性|FishAttribute'!JO7</f>
        <v>99999</v>
      </c>
      <c r="X7" s="6">
        <v>2</v>
      </c>
      <c r="Y7" s="6">
        <v>20</v>
      </c>
      <c r="Z7" s="6">
        <v>2</v>
      </c>
      <c r="AA7" s="6">
        <v>2</v>
      </c>
      <c r="AB7" s="6">
        <v>2</v>
      </c>
      <c r="AC7" s="1">
        <v>0</v>
      </c>
      <c r="AE7" s="39"/>
      <c r="AN7" s="95">
        <v>2000000</v>
      </c>
      <c r="AO7" s="1">
        <v>0</v>
      </c>
      <c r="AP7" s="153">
        <f t="shared" ref="AP7:AP15" si="5">AQ7*1.5</f>
        <v>1.44</v>
      </c>
      <c r="AQ7" s="541">
        <f t="shared" ref="AQ7:AQ15" si="6">AQ6</f>
        <v>0.96</v>
      </c>
      <c r="AR7" s="542">
        <v>999999999</v>
      </c>
      <c r="AS7" s="1" t="s">
        <v>1117</v>
      </c>
      <c r="AT7" s="543" t="str">
        <f t="shared" ref="AT7:AT8" si="7">AT6</f>
        <v>[[2,[0.2,0.8]],[4,[0.65,0.95]],[10,[0.75,0.95]],[34,[0.9,1]],[34,[1,1.1]],[10,[1.05,1.25]],[4,[1.05,1.35]],[2,[1.2,1.8]]]</v>
      </c>
      <c r="AU7" s="1" t="s">
        <v>2469</v>
      </c>
      <c r="AV7" s="1">
        <v>0.04</v>
      </c>
      <c r="AW7" s="727" t="s">
        <v>2491</v>
      </c>
      <c r="AX7" s="1" t="s">
        <v>2492</v>
      </c>
      <c r="AY7" s="58" t="s">
        <v>2487</v>
      </c>
      <c r="AZ7" s="58" t="s">
        <v>2488</v>
      </c>
      <c r="BA7" s="58">
        <v>0</v>
      </c>
      <c r="BC7" s="1">
        <v>5.4999999999999997E-3</v>
      </c>
      <c r="BD7" s="1">
        <v>0</v>
      </c>
      <c r="BE7" s="1" t="s">
        <v>1131</v>
      </c>
      <c r="BH7" s="550">
        <v>20000</v>
      </c>
      <c r="BI7" s="551">
        <v>40000</v>
      </c>
      <c r="BJ7" s="551">
        <f t="shared" si="1"/>
        <v>30000</v>
      </c>
      <c r="BK7" s="551">
        <v>12</v>
      </c>
      <c r="BL7" s="556">
        <f t="shared" si="2"/>
        <v>60000</v>
      </c>
      <c r="BM7" s="24">
        <v>1</v>
      </c>
      <c r="BN7" s="557">
        <v>2</v>
      </c>
      <c r="BO7" s="247">
        <f t="shared" si="3"/>
        <v>1.5</v>
      </c>
      <c r="BP7" s="551">
        <v>12</v>
      </c>
      <c r="BQ7" s="556">
        <f t="shared" si="4"/>
        <v>3</v>
      </c>
      <c r="BV7" s="562"/>
      <c r="BW7" s="562">
        <v>0.75</v>
      </c>
      <c r="BX7" s="562">
        <v>0.95</v>
      </c>
      <c r="BY7" s="562">
        <v>10</v>
      </c>
      <c r="BZ7" s="562">
        <f t="shared" si="0"/>
        <v>8.5000000000000006E-2</v>
      </c>
      <c r="CA7" s="562"/>
      <c r="CB7" s="562"/>
    </row>
    <row r="8" spans="1:80" ht="16.2" x14ac:dyDescent="0.35">
      <c r="A8" s="1">
        <v>3</v>
      </c>
      <c r="B8" s="1">
        <v>500</v>
      </c>
      <c r="C8" s="520" t="s">
        <v>1132</v>
      </c>
      <c r="D8" s="58" t="s">
        <v>1133</v>
      </c>
      <c r="E8" s="58" t="s">
        <v>548</v>
      </c>
      <c r="F8" s="58"/>
      <c r="G8" s="58" t="s">
        <v>425</v>
      </c>
      <c r="H8" s="1">
        <v>1403</v>
      </c>
      <c r="I8" s="58" t="s">
        <v>1134</v>
      </c>
      <c r="J8" s="99" t="s">
        <v>1124</v>
      </c>
      <c r="K8" s="99" t="s">
        <v>1125</v>
      </c>
      <c r="L8" s="523">
        <v>999</v>
      </c>
      <c r="M8" s="523">
        <v>999</v>
      </c>
      <c r="N8" s="1">
        <v>0</v>
      </c>
      <c r="O8" s="524">
        <v>4</v>
      </c>
      <c r="P8" s="525">
        <f>'全局参数|GlobalPar'!L18</f>
        <v>4000</v>
      </c>
      <c r="Q8" s="528">
        <v>3</v>
      </c>
      <c r="R8" s="1">
        <v>1</v>
      </c>
      <c r="S8" s="1">
        <v>1</v>
      </c>
      <c r="T8" s="527">
        <v>10</v>
      </c>
      <c r="U8" s="527">
        <v>100</v>
      </c>
      <c r="V8" s="6" t="s">
        <v>1130</v>
      </c>
      <c r="W8" s="6">
        <f>'鱼属性|FishAttribute'!JO8</f>
        <v>99999</v>
      </c>
      <c r="X8" s="6">
        <v>3</v>
      </c>
      <c r="Y8" s="6">
        <v>25</v>
      </c>
      <c r="Z8" s="6">
        <v>2</v>
      </c>
      <c r="AA8" s="6">
        <v>2</v>
      </c>
      <c r="AB8" s="6">
        <v>2</v>
      </c>
      <c r="AC8" s="527">
        <v>2</v>
      </c>
      <c r="AD8" s="1" t="s">
        <v>582</v>
      </c>
      <c r="AE8" s="535" t="s">
        <v>1123</v>
      </c>
      <c r="AF8" s="1" t="s">
        <v>1135</v>
      </c>
      <c r="AG8" s="535" t="s">
        <v>1136</v>
      </c>
      <c r="AN8" s="95">
        <v>3000000</v>
      </c>
      <c r="AO8" s="1">
        <v>0</v>
      </c>
      <c r="AP8" s="153">
        <f t="shared" si="5"/>
        <v>1.44</v>
      </c>
      <c r="AQ8" s="541">
        <f t="shared" si="6"/>
        <v>0.96</v>
      </c>
      <c r="AR8" s="542">
        <v>999999999</v>
      </c>
      <c r="AS8" s="1" t="s">
        <v>1117</v>
      </c>
      <c r="AT8" s="543" t="str">
        <f t="shared" si="7"/>
        <v>[[2,[0.2,0.8]],[4,[0.65,0.95]],[10,[0.75,0.95]],[34,[0.9,1]],[34,[1,1.1]],[10,[1.05,1.25]],[4,[1.05,1.35]],[2,[1.2,1.8]]]</v>
      </c>
      <c r="AU8" s="1" t="s">
        <v>2470</v>
      </c>
      <c r="AV8" s="1">
        <v>0.06</v>
      </c>
      <c r="AW8" s="727" t="s">
        <v>2493</v>
      </c>
      <c r="AX8" s="1" t="s">
        <v>2494</v>
      </c>
      <c r="AY8" s="58" t="s">
        <v>2487</v>
      </c>
      <c r="AZ8" s="58" t="s">
        <v>2488</v>
      </c>
      <c r="BA8" s="58">
        <v>0</v>
      </c>
      <c r="BC8" s="1">
        <v>5.0000000000000001E-3</v>
      </c>
      <c r="BD8" s="1">
        <v>0</v>
      </c>
      <c r="BE8" s="1" t="s">
        <v>1137</v>
      </c>
      <c r="BH8" s="550">
        <v>20000</v>
      </c>
      <c r="BI8" s="551">
        <v>40000</v>
      </c>
      <c r="BJ8" s="551">
        <f t="shared" si="1"/>
        <v>30000</v>
      </c>
      <c r="BK8" s="551">
        <v>12</v>
      </c>
      <c r="BL8" s="556">
        <f t="shared" si="2"/>
        <v>60000</v>
      </c>
      <c r="BM8" s="24">
        <v>1</v>
      </c>
      <c r="BN8" s="557">
        <v>2</v>
      </c>
      <c r="BO8" s="247">
        <f t="shared" si="3"/>
        <v>1.5</v>
      </c>
      <c r="BP8" s="551">
        <v>12</v>
      </c>
      <c r="BQ8" s="556">
        <f t="shared" si="4"/>
        <v>3</v>
      </c>
      <c r="BV8" s="562"/>
      <c r="BW8" s="562">
        <v>0.9</v>
      </c>
      <c r="BX8" s="562">
        <v>1</v>
      </c>
      <c r="BY8" s="562">
        <v>34</v>
      </c>
      <c r="BZ8" s="562">
        <f t="shared" si="0"/>
        <v>0.32299999999999995</v>
      </c>
      <c r="CA8" s="562"/>
      <c r="CB8" s="562"/>
    </row>
    <row r="9" spans="1:80" ht="16.2" x14ac:dyDescent="0.35">
      <c r="A9" s="1">
        <v>4</v>
      </c>
      <c r="B9" s="1">
        <v>1000</v>
      </c>
      <c r="C9" s="520" t="s">
        <v>1138</v>
      </c>
      <c r="D9" s="58" t="s">
        <v>1128</v>
      </c>
      <c r="E9" s="58" t="s">
        <v>368</v>
      </c>
      <c r="F9" s="58"/>
      <c r="G9" s="58" t="s">
        <v>266</v>
      </c>
      <c r="H9" s="1">
        <v>1404</v>
      </c>
      <c r="I9" s="58" t="s">
        <v>1139</v>
      </c>
      <c r="J9" s="99" t="s">
        <v>1124</v>
      </c>
      <c r="K9" s="99" t="s">
        <v>1125</v>
      </c>
      <c r="L9" s="523">
        <v>999</v>
      </c>
      <c r="M9" s="523">
        <v>999</v>
      </c>
      <c r="N9" s="1">
        <v>0</v>
      </c>
      <c r="O9" s="524">
        <v>4</v>
      </c>
      <c r="P9" s="525">
        <f>'全局参数|GlobalPar'!L19</f>
        <v>4000</v>
      </c>
      <c r="Q9" s="524">
        <f t="shared" ref="Q9:Q14" si="8">Q8</f>
        <v>3</v>
      </c>
      <c r="R9" s="1">
        <v>1</v>
      </c>
      <c r="S9" s="1">
        <v>1</v>
      </c>
      <c r="T9" s="527">
        <v>10</v>
      </c>
      <c r="U9" s="527">
        <v>100</v>
      </c>
      <c r="V9" s="6" t="s">
        <v>1140</v>
      </c>
      <c r="W9" s="6">
        <f>'鱼属性|FishAttribute'!JO9</f>
        <v>99999</v>
      </c>
      <c r="X9" s="6">
        <v>4</v>
      </c>
      <c r="Y9" s="6">
        <v>30</v>
      </c>
      <c r="Z9" s="6">
        <v>2</v>
      </c>
      <c r="AA9" s="6">
        <v>2</v>
      </c>
      <c r="AB9" s="6">
        <v>2</v>
      </c>
      <c r="AC9" s="527">
        <v>4</v>
      </c>
      <c r="AD9" s="1" t="s">
        <v>582</v>
      </c>
      <c r="AE9" s="535" t="s">
        <v>1141</v>
      </c>
      <c r="AF9" s="1" t="s">
        <v>1135</v>
      </c>
      <c r="AG9" s="535" t="s">
        <v>1142</v>
      </c>
      <c r="AN9" s="95">
        <v>5000000</v>
      </c>
      <c r="AO9" s="1">
        <v>0</v>
      </c>
      <c r="AP9" s="153">
        <f t="shared" si="5"/>
        <v>1.44</v>
      </c>
      <c r="AQ9" s="541">
        <f t="shared" si="6"/>
        <v>0.96</v>
      </c>
      <c r="AR9" s="542">
        <v>999999999</v>
      </c>
      <c r="AS9" s="1" t="s">
        <v>1117</v>
      </c>
      <c r="AT9" s="115" t="str">
        <f>"[["&amp;BY15&amp;",["&amp;BW15&amp;","&amp;BX15&amp;"]],["&amp;BY16&amp;",["&amp;BW16&amp;","&amp;BX16&amp;"]],["&amp;BY17&amp;",["&amp;BW17&amp;","&amp;BX17&amp;"]],["&amp;BY18&amp;",["&amp;BW18&amp;","&amp;BX18&amp;"]],["&amp;BY19&amp;",["&amp;BW19&amp;","&amp;BX19&amp;"]],["&amp;BY20&amp;",["&amp;BW20&amp;","&amp;BX20&amp;"]],["&amp;BY21&amp;",["&amp;BW21&amp;","&amp;BX21&amp;"]],["&amp;BY22&amp;",["&amp;BW22&amp;","&amp;BX22&amp;"]]]"</f>
        <v>[[2,[0.1,0.7]],[7,[0.7,0.95]],[9,[0.8,0.95]],[32,[0.9,1]],[32,[1,1.1]],[9,[1.05,1.2]],[7,[1.05,1.3]],[2,[1.3,1.9]]]</v>
      </c>
      <c r="AU9" s="1" t="s">
        <v>2471</v>
      </c>
      <c r="AV9" s="1">
        <v>0.08</v>
      </c>
      <c r="AW9" s="727" t="s">
        <v>2495</v>
      </c>
      <c r="AX9" s="1" t="s">
        <v>2496</v>
      </c>
      <c r="AY9" s="58" t="s">
        <v>2487</v>
      </c>
      <c r="AZ9" s="58" t="s">
        <v>2488</v>
      </c>
      <c r="BA9" s="58">
        <v>20</v>
      </c>
      <c r="BC9" s="1">
        <v>4.4999999999999997E-3</v>
      </c>
      <c r="BD9" s="1">
        <v>5</v>
      </c>
      <c r="BE9" s="1" t="s">
        <v>1143</v>
      </c>
      <c r="BH9" s="550">
        <v>20000</v>
      </c>
      <c r="BI9" s="551">
        <v>40000</v>
      </c>
      <c r="BJ9" s="551">
        <f t="shared" si="1"/>
        <v>30000</v>
      </c>
      <c r="BK9" s="551">
        <v>12</v>
      </c>
      <c r="BL9" s="556">
        <f t="shared" si="2"/>
        <v>60000</v>
      </c>
      <c r="BM9" s="24">
        <v>1</v>
      </c>
      <c r="BN9" s="557">
        <v>2</v>
      </c>
      <c r="BO9" s="247">
        <f t="shared" si="3"/>
        <v>1.5</v>
      </c>
      <c r="BP9" s="551">
        <v>12</v>
      </c>
      <c r="BQ9" s="556">
        <f t="shared" si="4"/>
        <v>3</v>
      </c>
      <c r="BV9" s="562"/>
      <c r="BW9" s="562">
        <v>1</v>
      </c>
      <c r="BX9" s="562">
        <v>1.1000000000000001</v>
      </c>
      <c r="BY9" s="562">
        <v>34</v>
      </c>
      <c r="BZ9" s="562">
        <f t="shared" si="0"/>
        <v>0.35700000000000004</v>
      </c>
      <c r="CA9" s="562"/>
      <c r="CB9" s="562"/>
    </row>
    <row r="10" spans="1:80" ht="16.2" x14ac:dyDescent="0.35">
      <c r="A10" s="1">
        <v>5</v>
      </c>
      <c r="B10" s="1">
        <v>2000</v>
      </c>
      <c r="C10" s="520" t="s">
        <v>1144</v>
      </c>
      <c r="D10" s="58" t="s">
        <v>1133</v>
      </c>
      <c r="E10" s="58" t="s">
        <v>541</v>
      </c>
      <c r="F10" s="58"/>
      <c r="G10" s="58" t="s">
        <v>266</v>
      </c>
      <c r="H10" s="1">
        <v>1405</v>
      </c>
      <c r="I10" s="58" t="s">
        <v>1145</v>
      </c>
      <c r="J10" s="99" t="s">
        <v>1146</v>
      </c>
      <c r="K10" s="99" t="s">
        <v>1147</v>
      </c>
      <c r="L10" s="523">
        <v>999</v>
      </c>
      <c r="M10" s="523">
        <v>999</v>
      </c>
      <c r="N10" s="527">
        <v>1000000</v>
      </c>
      <c r="O10" s="526">
        <v>4</v>
      </c>
      <c r="P10" s="525">
        <f>'全局参数|GlobalPar'!L20</f>
        <v>6000</v>
      </c>
      <c r="Q10" s="528">
        <v>4</v>
      </c>
      <c r="R10" s="1">
        <v>1</v>
      </c>
      <c r="S10" s="1">
        <v>2</v>
      </c>
      <c r="T10" s="527">
        <v>15</v>
      </c>
      <c r="U10" s="527">
        <v>100</v>
      </c>
      <c r="V10" s="6" t="s">
        <v>1140</v>
      </c>
      <c r="W10" s="6">
        <f>'鱼属性|FishAttribute'!JO10</f>
        <v>99999</v>
      </c>
      <c r="X10" s="6">
        <v>5</v>
      </c>
      <c r="Y10" s="6">
        <v>35</v>
      </c>
      <c r="Z10" s="6">
        <v>2</v>
      </c>
      <c r="AA10" s="6">
        <v>2</v>
      </c>
      <c r="AB10" s="6">
        <v>2</v>
      </c>
      <c r="AC10" s="527">
        <v>6</v>
      </c>
      <c r="AD10" s="1" t="s">
        <v>582</v>
      </c>
      <c r="AE10" s="535" t="s">
        <v>1148</v>
      </c>
      <c r="AF10" s="1" t="s">
        <v>1135</v>
      </c>
      <c r="AG10" s="535" t="s">
        <v>1141</v>
      </c>
      <c r="AN10" s="95">
        <v>8000000</v>
      </c>
      <c r="AO10" s="1">
        <v>0</v>
      </c>
      <c r="AP10" s="153">
        <f t="shared" si="5"/>
        <v>1.44</v>
      </c>
      <c r="AQ10" s="541">
        <f t="shared" si="6"/>
        <v>0.96</v>
      </c>
      <c r="AR10" s="542">
        <v>999999999</v>
      </c>
      <c r="AS10" s="1" t="s">
        <v>1117</v>
      </c>
      <c r="AT10" s="115" t="str">
        <f>AT9</f>
        <v>[[2,[0.1,0.7]],[7,[0.7,0.95]],[9,[0.8,0.95]],[32,[0.9,1]],[32,[1,1.1]],[9,[1.05,1.2]],[7,[1.05,1.3]],[2,[1.3,1.9]]]</v>
      </c>
      <c r="AU10" s="1" t="s">
        <v>2471</v>
      </c>
      <c r="AV10" s="1">
        <v>0.1</v>
      </c>
      <c r="AW10" s="727" t="s">
        <v>2497</v>
      </c>
      <c r="AX10" s="1" t="s">
        <v>2498</v>
      </c>
      <c r="AY10" s="58" t="s">
        <v>2487</v>
      </c>
      <c r="AZ10" s="58" t="s">
        <v>2499</v>
      </c>
      <c r="BA10" s="58">
        <v>30</v>
      </c>
      <c r="BC10" s="1">
        <v>4.0000000000000001E-3</v>
      </c>
      <c r="BD10" s="1">
        <v>5</v>
      </c>
      <c r="BE10" s="1" t="s">
        <v>1149</v>
      </c>
      <c r="BH10" s="550">
        <v>40000</v>
      </c>
      <c r="BI10" s="551">
        <v>80000</v>
      </c>
      <c r="BJ10" s="551">
        <f t="shared" si="1"/>
        <v>60000</v>
      </c>
      <c r="BK10" s="551">
        <v>12</v>
      </c>
      <c r="BL10" s="556">
        <f t="shared" si="2"/>
        <v>120000</v>
      </c>
      <c r="BM10" s="24">
        <v>2</v>
      </c>
      <c r="BN10" s="557">
        <v>4</v>
      </c>
      <c r="BO10" s="247">
        <f t="shared" si="3"/>
        <v>3</v>
      </c>
      <c r="BP10" s="551">
        <v>12</v>
      </c>
      <c r="BQ10" s="556">
        <f t="shared" si="4"/>
        <v>6</v>
      </c>
      <c r="BV10" s="562"/>
      <c r="BW10" s="562">
        <v>1.05</v>
      </c>
      <c r="BX10" s="562">
        <v>1.25</v>
      </c>
      <c r="BY10" s="562">
        <v>10</v>
      </c>
      <c r="BZ10" s="562">
        <f t="shared" si="0"/>
        <v>0.115</v>
      </c>
      <c r="CA10" s="562"/>
      <c r="CB10" s="562"/>
    </row>
    <row r="11" spans="1:80" ht="16.2" x14ac:dyDescent="0.35">
      <c r="A11" s="1">
        <v>6</v>
      </c>
      <c r="B11" s="1">
        <v>5000</v>
      </c>
      <c r="C11" s="520" t="s">
        <v>1150</v>
      </c>
      <c r="D11" s="58" t="s">
        <v>1151</v>
      </c>
      <c r="E11" s="58" t="s">
        <v>266</v>
      </c>
      <c r="F11" s="58"/>
      <c r="G11" s="58" t="s">
        <v>541</v>
      </c>
      <c r="H11" s="1">
        <v>1406</v>
      </c>
      <c r="I11" s="58" t="s">
        <v>1152</v>
      </c>
      <c r="J11" s="99" t="s">
        <v>1146</v>
      </c>
      <c r="K11" s="99" t="s">
        <v>1147</v>
      </c>
      <c r="L11" s="523">
        <v>999</v>
      </c>
      <c r="M11" s="523">
        <v>999</v>
      </c>
      <c r="N11" s="527">
        <v>2000000</v>
      </c>
      <c r="O11" s="524">
        <v>5</v>
      </c>
      <c r="P11" s="525">
        <f>'全局参数|GlobalPar'!L21</f>
        <v>6000</v>
      </c>
      <c r="Q11" s="524">
        <f t="shared" si="8"/>
        <v>4</v>
      </c>
      <c r="R11" s="1">
        <v>1</v>
      </c>
      <c r="S11" s="1">
        <v>2</v>
      </c>
      <c r="T11" s="527">
        <v>20</v>
      </c>
      <c r="U11" s="527">
        <v>100</v>
      </c>
      <c r="V11" s="6" t="s">
        <v>1153</v>
      </c>
      <c r="W11" s="6">
        <f>'鱼属性|FishAttribute'!JO11</f>
        <v>99999</v>
      </c>
      <c r="X11" s="6">
        <v>6</v>
      </c>
      <c r="Y11" s="6">
        <v>40</v>
      </c>
      <c r="Z11" s="6">
        <v>2</v>
      </c>
      <c r="AA11" s="6">
        <v>2</v>
      </c>
      <c r="AB11" s="6">
        <v>2</v>
      </c>
      <c r="AC11" s="527">
        <v>8</v>
      </c>
      <c r="AD11" s="1" t="s">
        <v>582</v>
      </c>
      <c r="AE11" s="535" t="s">
        <v>1154</v>
      </c>
      <c r="AF11" s="1" t="s">
        <v>1135</v>
      </c>
      <c r="AG11" s="535" t="s">
        <v>1129</v>
      </c>
      <c r="AN11" s="95">
        <v>10000000</v>
      </c>
      <c r="AO11" s="1">
        <v>0</v>
      </c>
      <c r="AP11" s="153">
        <f t="shared" si="5"/>
        <v>1.44</v>
      </c>
      <c r="AQ11" s="541">
        <f t="shared" si="6"/>
        <v>0.96</v>
      </c>
      <c r="AR11" s="542">
        <v>999999999</v>
      </c>
      <c r="AS11" s="1" t="s">
        <v>1117</v>
      </c>
      <c r="AT11" s="115" t="str">
        <f t="shared" ref="AT11:AT12" si="9">AT10</f>
        <v>[[2,[0.1,0.7]],[7,[0.7,0.95]],[9,[0.8,0.95]],[32,[0.9,1]],[32,[1,1.1]],[9,[1.05,1.2]],[7,[1.05,1.3]],[2,[1.3,1.9]]]</v>
      </c>
      <c r="AU11" s="1" t="s">
        <v>2473</v>
      </c>
      <c r="AV11" s="1">
        <v>0.12</v>
      </c>
      <c r="AW11" s="727" t="s">
        <v>2500</v>
      </c>
      <c r="AX11" s="1" t="s">
        <v>2501</v>
      </c>
      <c r="AY11" s="58" t="s">
        <v>2487</v>
      </c>
      <c r="AZ11" s="58" t="s">
        <v>2502</v>
      </c>
      <c r="BA11" s="58">
        <v>40</v>
      </c>
      <c r="BC11" s="1">
        <v>3.5000000000000001E-3</v>
      </c>
      <c r="BD11" s="1">
        <v>10</v>
      </c>
      <c r="BE11" s="1" t="s">
        <v>1155</v>
      </c>
      <c r="BH11" s="550">
        <v>40000</v>
      </c>
      <c r="BI11" s="551">
        <v>80000</v>
      </c>
      <c r="BJ11" s="551">
        <f t="shared" si="1"/>
        <v>60000</v>
      </c>
      <c r="BK11" s="551">
        <v>12</v>
      </c>
      <c r="BL11" s="556">
        <f t="shared" si="2"/>
        <v>120000</v>
      </c>
      <c r="BM11" s="24">
        <v>2</v>
      </c>
      <c r="BN11" s="557">
        <v>4</v>
      </c>
      <c r="BO11" s="247">
        <f t="shared" si="3"/>
        <v>3</v>
      </c>
      <c r="BP11" s="551">
        <v>12</v>
      </c>
      <c r="BQ11" s="556">
        <f t="shared" si="4"/>
        <v>6</v>
      </c>
      <c r="BV11" s="562"/>
      <c r="BW11" s="562">
        <v>1.05</v>
      </c>
      <c r="BX11" s="562">
        <v>1.35</v>
      </c>
      <c r="BY11" s="562">
        <v>4</v>
      </c>
      <c r="BZ11" s="562">
        <f t="shared" si="0"/>
        <v>4.8000000000000008E-2</v>
      </c>
      <c r="CA11" s="562"/>
      <c r="CB11" s="562"/>
    </row>
    <row r="12" spans="1:80" ht="16.2" x14ac:dyDescent="0.35">
      <c r="A12" s="1">
        <v>7</v>
      </c>
      <c r="B12" s="1">
        <v>10000</v>
      </c>
      <c r="C12" s="520" t="s">
        <v>1144</v>
      </c>
      <c r="D12" s="58" t="s">
        <v>1156</v>
      </c>
      <c r="E12" s="58" t="s">
        <v>425</v>
      </c>
      <c r="F12" s="58"/>
      <c r="G12" s="58" t="s">
        <v>541</v>
      </c>
      <c r="H12" s="1">
        <v>1407</v>
      </c>
      <c r="I12" s="58" t="s">
        <v>1157</v>
      </c>
      <c r="J12" s="99" t="s">
        <v>1146</v>
      </c>
      <c r="K12" s="99" t="s">
        <v>1147</v>
      </c>
      <c r="L12" s="523">
        <v>999</v>
      </c>
      <c r="M12" s="523">
        <v>999</v>
      </c>
      <c r="N12" s="526">
        <v>10000000</v>
      </c>
      <c r="O12" s="524">
        <v>5</v>
      </c>
      <c r="P12" s="525">
        <f>'全局参数|GlobalPar'!L22</f>
        <v>8000</v>
      </c>
      <c r="Q12" s="528">
        <v>5</v>
      </c>
      <c r="R12" s="1">
        <v>1</v>
      </c>
      <c r="S12" s="1">
        <v>3</v>
      </c>
      <c r="T12" s="527">
        <v>20</v>
      </c>
      <c r="U12" s="527">
        <v>100</v>
      </c>
      <c r="V12" s="6" t="s">
        <v>1158</v>
      </c>
      <c r="W12" s="6">
        <f>'鱼属性|FishAttribute'!JO12</f>
        <v>99999</v>
      </c>
      <c r="X12" s="6">
        <v>7</v>
      </c>
      <c r="Y12" s="6">
        <v>45</v>
      </c>
      <c r="Z12" s="6">
        <v>2</v>
      </c>
      <c r="AA12" s="6">
        <v>2</v>
      </c>
      <c r="AB12" s="6">
        <v>2</v>
      </c>
      <c r="AC12" s="527">
        <v>10</v>
      </c>
      <c r="AD12" s="1" t="s">
        <v>1159</v>
      </c>
      <c r="AE12" s="535" t="s">
        <v>1142</v>
      </c>
      <c r="AF12" s="1" t="s">
        <v>1160</v>
      </c>
      <c r="AG12" s="535" t="s">
        <v>1134</v>
      </c>
      <c r="AH12" s="1" t="s">
        <v>1161</v>
      </c>
      <c r="AI12" s="535" t="s">
        <v>1154</v>
      </c>
      <c r="AN12" s="95">
        <v>12000000</v>
      </c>
      <c r="AO12" s="1">
        <v>0</v>
      </c>
      <c r="AP12" s="153">
        <f t="shared" si="5"/>
        <v>1.44</v>
      </c>
      <c r="AQ12" s="541">
        <f t="shared" si="6"/>
        <v>0.96</v>
      </c>
      <c r="AR12" s="542">
        <v>999999999</v>
      </c>
      <c r="AS12" s="1" t="s">
        <v>1117</v>
      </c>
      <c r="AT12" s="115" t="str">
        <f t="shared" si="9"/>
        <v>[[2,[0.1,0.7]],[7,[0.7,0.95]],[9,[0.8,0.95]],[32,[0.9,1]],[32,[1,1.1]],[9,[1.05,1.2]],[7,[1.05,1.3]],[2,[1.3,1.9]]]</v>
      </c>
      <c r="AU12" s="1" t="s">
        <v>2472</v>
      </c>
      <c r="AV12" s="1">
        <v>0.14000000000000001</v>
      </c>
      <c r="AW12" s="727" t="s">
        <v>2500</v>
      </c>
      <c r="AX12" s="1" t="s">
        <v>2503</v>
      </c>
      <c r="AY12" s="58" t="s">
        <v>2487</v>
      </c>
      <c r="AZ12" s="58" t="s">
        <v>2504</v>
      </c>
      <c r="BA12" s="58">
        <v>50</v>
      </c>
      <c r="BC12" s="1">
        <v>3.0000000000000001E-3</v>
      </c>
      <c r="BD12" s="1">
        <v>10</v>
      </c>
      <c r="BE12" s="1" t="s">
        <v>1162</v>
      </c>
      <c r="BH12" s="550">
        <v>40000</v>
      </c>
      <c r="BI12" s="551">
        <v>80000</v>
      </c>
      <c r="BJ12" s="551">
        <f t="shared" si="1"/>
        <v>60000</v>
      </c>
      <c r="BK12" s="551">
        <v>12</v>
      </c>
      <c r="BL12" s="556">
        <f t="shared" si="2"/>
        <v>120000</v>
      </c>
      <c r="BM12" s="24">
        <v>2</v>
      </c>
      <c r="BN12" s="557">
        <v>4</v>
      </c>
      <c r="BO12" s="247">
        <f t="shared" si="3"/>
        <v>3</v>
      </c>
      <c r="BP12" s="551">
        <v>12</v>
      </c>
      <c r="BQ12" s="556">
        <f t="shared" si="4"/>
        <v>6</v>
      </c>
      <c r="BV12" s="562"/>
      <c r="BW12" s="562">
        <v>1.2</v>
      </c>
      <c r="BX12" s="562">
        <v>1.8</v>
      </c>
      <c r="BY12" s="562">
        <v>2</v>
      </c>
      <c r="BZ12" s="562">
        <f t="shared" si="0"/>
        <v>0.03</v>
      </c>
      <c r="CA12" s="562"/>
      <c r="CB12" s="562"/>
    </row>
    <row r="13" spans="1:80" ht="16.2" x14ac:dyDescent="0.35">
      <c r="A13" s="1">
        <v>8</v>
      </c>
      <c r="B13" s="42">
        <v>20000</v>
      </c>
      <c r="C13" s="520" t="s">
        <v>1163</v>
      </c>
      <c r="D13" s="58" t="s">
        <v>1164</v>
      </c>
      <c r="E13" s="58" t="s">
        <v>280</v>
      </c>
      <c r="F13" s="58"/>
      <c r="G13" s="58" t="s">
        <v>368</v>
      </c>
      <c r="H13" s="1">
        <v>1408</v>
      </c>
      <c r="I13" s="58" t="s">
        <v>1165</v>
      </c>
      <c r="J13" s="99" t="s">
        <v>1146</v>
      </c>
      <c r="K13" s="99" t="s">
        <v>1147</v>
      </c>
      <c r="L13" s="523">
        <v>999</v>
      </c>
      <c r="M13" s="523">
        <v>999</v>
      </c>
      <c r="N13" s="526">
        <v>20000000</v>
      </c>
      <c r="O13" s="524">
        <v>5</v>
      </c>
      <c r="P13" s="525">
        <f>'全局参数|GlobalPar'!L23</f>
        <v>8000</v>
      </c>
      <c r="Q13" s="524">
        <f t="shared" si="8"/>
        <v>5</v>
      </c>
      <c r="R13" s="1">
        <v>1</v>
      </c>
      <c r="S13" s="1">
        <v>3</v>
      </c>
      <c r="T13" s="527">
        <v>20</v>
      </c>
      <c r="U13" s="527">
        <v>100</v>
      </c>
      <c r="V13" s="6" t="s">
        <v>1166</v>
      </c>
      <c r="W13" s="6">
        <f>'鱼属性|FishAttribute'!JO13</f>
        <v>99999</v>
      </c>
      <c r="X13" s="6">
        <v>8</v>
      </c>
      <c r="Y13" s="6">
        <v>50</v>
      </c>
      <c r="Z13" s="6">
        <v>2</v>
      </c>
      <c r="AA13" s="6">
        <v>2</v>
      </c>
      <c r="AB13" s="6">
        <v>2</v>
      </c>
      <c r="AC13" s="527">
        <v>12</v>
      </c>
      <c r="AD13" s="1" t="s">
        <v>1159</v>
      </c>
      <c r="AE13" s="535" t="s">
        <v>1139</v>
      </c>
      <c r="AF13" s="1" t="s">
        <v>1160</v>
      </c>
      <c r="AG13" s="535" t="s">
        <v>1142</v>
      </c>
      <c r="AH13" s="1" t="s">
        <v>1161</v>
      </c>
      <c r="AI13" s="535" t="s">
        <v>1134</v>
      </c>
      <c r="AJ13" s="1" t="s">
        <v>1167</v>
      </c>
      <c r="AK13" s="535" t="s">
        <v>1154</v>
      </c>
      <c r="AN13" s="95">
        <v>15000000</v>
      </c>
      <c r="AO13" s="1">
        <v>0</v>
      </c>
      <c r="AP13" s="153">
        <f t="shared" si="5"/>
        <v>1.44</v>
      </c>
      <c r="AQ13" s="541">
        <f t="shared" si="6"/>
        <v>0.96</v>
      </c>
      <c r="AR13" s="542">
        <v>999999999</v>
      </c>
      <c r="AS13" s="1" t="s">
        <v>1117</v>
      </c>
      <c r="AT13" s="544" t="str">
        <f>"[["&amp;BY25&amp;",["&amp;BW25&amp;","&amp;BX25&amp;"]],["&amp;BY26&amp;",["&amp;BW26&amp;","&amp;BX26&amp;"]],["&amp;BY27&amp;",["&amp;BW27&amp;","&amp;BX27&amp;"]],["&amp;BY28&amp;",["&amp;BW28&amp;","&amp;BX28&amp;"]],["&amp;BY29&amp;",["&amp;BW29&amp;","&amp;BX29&amp;"]],["&amp;BY30&amp;",["&amp;BW30&amp;","&amp;BX30&amp;"]],["&amp;BY31&amp;",["&amp;BW31&amp;","&amp;BX31&amp;"]],["&amp;BY32&amp;",["&amp;BW32&amp;","&amp;BX32&amp;"]]]"</f>
        <v>[[4,[0.1,0.7]],[8,[0.6,0.95]],[8,[0.8,0.95]],[30,[0.95,1]],[30,[1,1.05]],[8,[1.05,1.2]],[8,[1.05,1.4]],[4,[1.3,1.9]]]</v>
      </c>
      <c r="AU13" s="1" t="s">
        <v>2474</v>
      </c>
      <c r="AV13" s="1">
        <v>0.16</v>
      </c>
      <c r="AW13" s="727" t="s">
        <v>2500</v>
      </c>
      <c r="AX13" s="1" t="s">
        <v>2505</v>
      </c>
      <c r="AY13" s="58" t="s">
        <v>2487</v>
      </c>
      <c r="AZ13" s="58" t="s">
        <v>2506</v>
      </c>
      <c r="BA13" s="58">
        <v>70</v>
      </c>
      <c r="BC13" s="1">
        <v>2.5000000000000001E-3</v>
      </c>
      <c r="BD13" s="1">
        <v>20</v>
      </c>
      <c r="BE13" s="1" t="s">
        <v>1168</v>
      </c>
      <c r="BH13" s="550">
        <v>40000</v>
      </c>
      <c r="BI13" s="551">
        <v>80000</v>
      </c>
      <c r="BJ13" s="551">
        <f t="shared" si="1"/>
        <v>60000</v>
      </c>
      <c r="BK13" s="551">
        <v>12</v>
      </c>
      <c r="BL13" s="556">
        <f t="shared" si="2"/>
        <v>120000</v>
      </c>
      <c r="BM13" s="24">
        <v>2</v>
      </c>
      <c r="BN13" s="557">
        <v>4</v>
      </c>
      <c r="BO13" s="247">
        <f t="shared" si="3"/>
        <v>3</v>
      </c>
      <c r="BP13" s="551">
        <v>12</v>
      </c>
      <c r="BQ13" s="556">
        <f t="shared" si="4"/>
        <v>6</v>
      </c>
    </row>
    <row r="14" spans="1:80" ht="16.2" x14ac:dyDescent="0.35">
      <c r="A14" s="1">
        <v>9</v>
      </c>
      <c r="B14" s="42">
        <v>50000</v>
      </c>
      <c r="C14" s="520" t="s">
        <v>1163</v>
      </c>
      <c r="D14" s="58" t="s">
        <v>1169</v>
      </c>
      <c r="E14" s="58" t="s">
        <v>280</v>
      </c>
      <c r="F14" s="58"/>
      <c r="G14" s="58" t="s">
        <v>368</v>
      </c>
      <c r="H14" s="1">
        <v>1409</v>
      </c>
      <c r="I14" s="58" t="s">
        <v>1170</v>
      </c>
      <c r="J14" s="99" t="s">
        <v>1171</v>
      </c>
      <c r="K14" s="99" t="s">
        <v>1172</v>
      </c>
      <c r="L14" s="523">
        <v>999</v>
      </c>
      <c r="M14" s="523">
        <v>999</v>
      </c>
      <c r="N14" s="526">
        <v>40000000</v>
      </c>
      <c r="O14" s="524">
        <v>5</v>
      </c>
      <c r="P14" s="525">
        <f>'全局参数|GlobalPar'!L24</f>
        <v>8000</v>
      </c>
      <c r="Q14" s="524">
        <f t="shared" si="8"/>
        <v>5</v>
      </c>
      <c r="R14" s="1">
        <v>1</v>
      </c>
      <c r="S14" s="1">
        <v>3</v>
      </c>
      <c r="T14" s="527">
        <v>20</v>
      </c>
      <c r="U14" s="527">
        <v>100</v>
      </c>
      <c r="V14" s="6" t="s">
        <v>1173</v>
      </c>
      <c r="W14" s="6">
        <f>'鱼属性|FishAttribute'!JO14</f>
        <v>99999</v>
      </c>
      <c r="X14" s="6">
        <v>9</v>
      </c>
      <c r="Y14" s="6">
        <v>55</v>
      </c>
      <c r="Z14" s="6">
        <v>2</v>
      </c>
      <c r="AA14" s="6">
        <v>2</v>
      </c>
      <c r="AB14" s="6">
        <v>2</v>
      </c>
      <c r="AC14" s="527">
        <v>15</v>
      </c>
      <c r="AD14" s="1" t="s">
        <v>1159</v>
      </c>
      <c r="AE14" s="535" t="s">
        <v>1145</v>
      </c>
      <c r="AF14" s="1" t="s">
        <v>1160</v>
      </c>
      <c r="AG14" s="535" t="s">
        <v>1139</v>
      </c>
      <c r="AH14" s="1" t="s">
        <v>1161</v>
      </c>
      <c r="AI14" s="535" t="s">
        <v>1142</v>
      </c>
      <c r="AJ14" s="1" t="s">
        <v>1167</v>
      </c>
      <c r="AK14" s="535" t="s">
        <v>1134</v>
      </c>
      <c r="AL14" s="1" t="s">
        <v>1174</v>
      </c>
      <c r="AM14" s="535" t="s">
        <v>1154</v>
      </c>
      <c r="AN14" s="95">
        <v>30000000</v>
      </c>
      <c r="AO14" s="1">
        <v>0</v>
      </c>
      <c r="AP14" s="153">
        <f t="shared" si="5"/>
        <v>1.44</v>
      </c>
      <c r="AQ14" s="541">
        <f t="shared" si="6"/>
        <v>0.96</v>
      </c>
      <c r="AR14" s="542">
        <v>999999999</v>
      </c>
      <c r="AS14" s="1" t="s">
        <v>1117</v>
      </c>
      <c r="AT14" s="544" t="str">
        <f>AT13</f>
        <v>[[4,[0.1,0.7]],[8,[0.6,0.95]],[8,[0.8,0.95]],[30,[0.95,1]],[30,[1,1.05]],[8,[1.05,1.2]],[8,[1.05,1.4]],[4,[1.3,1.9]]]</v>
      </c>
      <c r="AU14" s="1" t="s">
        <v>2474</v>
      </c>
      <c r="AV14" s="1">
        <v>0.18</v>
      </c>
      <c r="AW14" s="727" t="s">
        <v>2500</v>
      </c>
      <c r="AX14" s="1" t="s">
        <v>2507</v>
      </c>
      <c r="AY14" s="58" t="s">
        <v>2487</v>
      </c>
      <c r="AZ14" s="58" t="s">
        <v>2508</v>
      </c>
      <c r="BA14" s="58">
        <v>80</v>
      </c>
      <c r="BC14" s="39"/>
      <c r="BD14" s="1">
        <v>20</v>
      </c>
      <c r="BE14" s="1" t="s">
        <v>1175</v>
      </c>
      <c r="BH14" s="550">
        <v>80000</v>
      </c>
      <c r="BI14" s="551">
        <v>120000</v>
      </c>
      <c r="BJ14" s="551">
        <f t="shared" si="1"/>
        <v>100000</v>
      </c>
      <c r="BK14" s="551">
        <v>12</v>
      </c>
      <c r="BL14" s="556">
        <f t="shared" si="2"/>
        <v>200000</v>
      </c>
      <c r="BM14" s="24">
        <v>4</v>
      </c>
      <c r="BN14" s="557">
        <v>6</v>
      </c>
      <c r="BO14" s="247">
        <f t="shared" si="3"/>
        <v>5</v>
      </c>
      <c r="BP14" s="551">
        <v>12</v>
      </c>
      <c r="BQ14" s="556">
        <f t="shared" si="4"/>
        <v>10</v>
      </c>
      <c r="BV14" s="561" t="s">
        <v>1176</v>
      </c>
      <c r="BW14" s="562" t="s">
        <v>1112</v>
      </c>
      <c r="BX14" s="562" t="s">
        <v>1113</v>
      </c>
      <c r="BY14" s="562" t="s">
        <v>115</v>
      </c>
      <c r="BZ14" s="562" t="s">
        <v>808</v>
      </c>
      <c r="CA14" s="562"/>
      <c r="CB14" s="562"/>
    </row>
    <row r="15" spans="1:80" ht="16.2" x14ac:dyDescent="0.35">
      <c r="A15" s="1">
        <v>10</v>
      </c>
      <c r="B15" s="42">
        <v>100000</v>
      </c>
      <c r="C15" s="520" t="s">
        <v>1177</v>
      </c>
      <c r="D15" s="58" t="s">
        <v>1169</v>
      </c>
      <c r="E15" s="58" t="s">
        <v>280</v>
      </c>
      <c r="F15" s="58"/>
      <c r="G15" s="58" t="s">
        <v>368</v>
      </c>
      <c r="H15" s="1">
        <v>1410</v>
      </c>
      <c r="I15" s="58" t="s">
        <v>1178</v>
      </c>
      <c r="J15" s="99" t="s">
        <v>1171</v>
      </c>
      <c r="K15" s="99" t="s">
        <v>1172</v>
      </c>
      <c r="L15" s="523">
        <v>999</v>
      </c>
      <c r="M15" s="523">
        <v>999</v>
      </c>
      <c r="N15" s="526">
        <v>50000000</v>
      </c>
      <c r="O15" s="524">
        <v>5</v>
      </c>
      <c r="P15" s="525">
        <f>'全局参数|GlobalPar'!L25</f>
        <v>8000</v>
      </c>
      <c r="Q15" s="526">
        <v>10</v>
      </c>
      <c r="R15" s="1">
        <v>1</v>
      </c>
      <c r="S15" s="1">
        <v>3</v>
      </c>
      <c r="T15" s="527">
        <v>25</v>
      </c>
      <c r="U15" s="527">
        <v>100</v>
      </c>
      <c r="V15" s="6" t="s">
        <v>1179</v>
      </c>
      <c r="W15" s="6">
        <f>'鱼属性|FishAttribute'!JO15</f>
        <v>99999</v>
      </c>
      <c r="X15" s="6">
        <v>10</v>
      </c>
      <c r="Y15" s="6">
        <v>60</v>
      </c>
      <c r="Z15" s="6">
        <v>2</v>
      </c>
      <c r="AA15" s="6">
        <v>2</v>
      </c>
      <c r="AB15" s="6">
        <v>2</v>
      </c>
      <c r="AC15" s="527">
        <v>18</v>
      </c>
      <c r="AD15" s="1" t="s">
        <v>1159</v>
      </c>
      <c r="AE15" s="535" t="s">
        <v>1180</v>
      </c>
      <c r="AF15" s="1" t="s">
        <v>1160</v>
      </c>
      <c r="AG15" s="535" t="s">
        <v>1145</v>
      </c>
      <c r="AH15" s="1" t="s">
        <v>1161</v>
      </c>
      <c r="AI15" s="535" t="s">
        <v>1139</v>
      </c>
      <c r="AJ15" s="1" t="s">
        <v>1167</v>
      </c>
      <c r="AK15" s="535" t="s">
        <v>1142</v>
      </c>
      <c r="AL15" s="1" t="s">
        <v>1174</v>
      </c>
      <c r="AM15" s="535" t="s">
        <v>1134</v>
      </c>
      <c r="AN15" s="61">
        <v>50000000</v>
      </c>
      <c r="AO15" s="1">
        <v>0</v>
      </c>
      <c r="AP15" s="153">
        <f t="shared" si="5"/>
        <v>1.44</v>
      </c>
      <c r="AQ15" s="541">
        <f t="shared" si="6"/>
        <v>0.96</v>
      </c>
      <c r="AR15" s="542">
        <v>999999999</v>
      </c>
      <c r="AS15" s="1" t="s">
        <v>1117</v>
      </c>
      <c r="AT15" s="544" t="str">
        <f>AT14</f>
        <v>[[4,[0.1,0.7]],[8,[0.6,0.95]],[8,[0.8,0.95]],[30,[0.95,1]],[30,[1,1.05]],[8,[1.05,1.2]],[8,[1.05,1.4]],[4,[1.3,1.9]]]</v>
      </c>
      <c r="AU15" s="1" t="s">
        <v>2475</v>
      </c>
      <c r="AV15" s="1">
        <v>0.2</v>
      </c>
      <c r="AW15" s="727" t="s">
        <v>2500</v>
      </c>
      <c r="AX15" s="1" t="s">
        <v>2509</v>
      </c>
      <c r="AY15" s="58" t="s">
        <v>2487</v>
      </c>
      <c r="AZ15" s="58" t="s">
        <v>2510</v>
      </c>
      <c r="BA15" s="58">
        <v>90</v>
      </c>
      <c r="BH15" s="552">
        <v>80000</v>
      </c>
      <c r="BI15" s="553">
        <v>120000</v>
      </c>
      <c r="BJ15" s="553">
        <f t="shared" si="1"/>
        <v>100000</v>
      </c>
      <c r="BK15" s="553">
        <v>12</v>
      </c>
      <c r="BL15" s="558">
        <f t="shared" si="2"/>
        <v>200000</v>
      </c>
      <c r="BM15" s="25">
        <v>4</v>
      </c>
      <c r="BN15" s="559">
        <v>6</v>
      </c>
      <c r="BO15" s="560">
        <f t="shared" si="3"/>
        <v>5</v>
      </c>
      <c r="BP15" s="553">
        <v>12</v>
      </c>
      <c r="BQ15" s="558">
        <f t="shared" si="4"/>
        <v>10</v>
      </c>
      <c r="BV15" s="562">
        <v>4</v>
      </c>
      <c r="BW15" s="562">
        <v>0.1</v>
      </c>
      <c r="BX15" s="562">
        <v>0.7</v>
      </c>
      <c r="BY15" s="562">
        <v>2</v>
      </c>
      <c r="BZ15" s="562">
        <f t="shared" ref="BZ15:BZ22" si="10">(BW15+BX15)/2*BY15/100</f>
        <v>8.0000000000000002E-3</v>
      </c>
      <c r="CA15" s="562" t="s">
        <v>1119</v>
      </c>
      <c r="CB15" s="562">
        <f>SUM(BZ15:BZ22)</f>
        <v>1</v>
      </c>
    </row>
    <row r="16" spans="1:80" x14ac:dyDescent="0.25">
      <c r="BV16" s="562">
        <v>7</v>
      </c>
      <c r="BW16" s="562">
        <v>0.7</v>
      </c>
      <c r="BX16" s="562">
        <v>0.95</v>
      </c>
      <c r="BY16" s="562">
        <v>7</v>
      </c>
      <c r="BZ16" s="562">
        <f t="shared" si="10"/>
        <v>5.7749999999999996E-2</v>
      </c>
      <c r="CA16" s="562"/>
      <c r="CB16" s="562"/>
    </row>
    <row r="17" spans="13:80" x14ac:dyDescent="0.25">
      <c r="BV17" s="562"/>
      <c r="BW17" s="562">
        <v>0.8</v>
      </c>
      <c r="BX17" s="562">
        <v>0.95</v>
      </c>
      <c r="BY17" s="562">
        <v>9</v>
      </c>
      <c r="BZ17" s="562">
        <f t="shared" si="10"/>
        <v>7.8750000000000001E-2</v>
      </c>
      <c r="CA17" s="562"/>
      <c r="CB17" s="562"/>
    </row>
    <row r="18" spans="13:80" x14ac:dyDescent="0.25">
      <c r="BV18" s="562"/>
      <c r="BW18" s="562">
        <v>0.9</v>
      </c>
      <c r="BX18" s="562">
        <v>1</v>
      </c>
      <c r="BY18" s="562">
        <v>32</v>
      </c>
      <c r="BZ18" s="562">
        <f t="shared" si="10"/>
        <v>0.30399999999999999</v>
      </c>
      <c r="CA18" s="562"/>
      <c r="CB18" s="562"/>
    </row>
    <row r="19" spans="13:80" x14ac:dyDescent="0.25">
      <c r="BV19" s="562"/>
      <c r="BW19" s="562">
        <v>1</v>
      </c>
      <c r="BX19" s="562">
        <v>1.1000000000000001</v>
      </c>
      <c r="BY19" s="562">
        <v>32</v>
      </c>
      <c r="BZ19" s="562">
        <f t="shared" si="10"/>
        <v>0.33600000000000002</v>
      </c>
      <c r="CA19" s="562"/>
      <c r="CB19" s="562"/>
    </row>
    <row r="20" spans="13:80" x14ac:dyDescent="0.25">
      <c r="BV20" s="562"/>
      <c r="BW20" s="562">
        <v>1.05</v>
      </c>
      <c r="BX20" s="562">
        <v>1.2</v>
      </c>
      <c r="BY20" s="562">
        <v>9</v>
      </c>
      <c r="BZ20" s="562">
        <f t="shared" si="10"/>
        <v>0.10125000000000001</v>
      </c>
      <c r="CA20" s="562"/>
      <c r="CB20" s="562"/>
    </row>
    <row r="21" spans="13:80" x14ac:dyDescent="0.25">
      <c r="BV21" s="562"/>
      <c r="BW21" s="562">
        <v>1.05</v>
      </c>
      <c r="BX21" s="562">
        <v>1.3</v>
      </c>
      <c r="BY21" s="562">
        <v>7</v>
      </c>
      <c r="BZ21" s="562">
        <f t="shared" si="10"/>
        <v>8.224999999999999E-2</v>
      </c>
      <c r="CA21" s="562"/>
      <c r="CB21" s="562"/>
    </row>
    <row r="22" spans="13:80" x14ac:dyDescent="0.25">
      <c r="BV22" s="562"/>
      <c r="BW22" s="562">
        <v>1.3</v>
      </c>
      <c r="BX22" s="562">
        <v>1.9</v>
      </c>
      <c r="BY22" s="562">
        <v>2</v>
      </c>
      <c r="BZ22" s="562">
        <f t="shared" si="10"/>
        <v>3.2000000000000001E-2</v>
      </c>
      <c r="CA22" s="562"/>
      <c r="CB22" s="562"/>
    </row>
    <row r="24" spans="13:80" x14ac:dyDescent="0.25">
      <c r="BV24" s="561" t="s">
        <v>1181</v>
      </c>
      <c r="BW24" s="562" t="s">
        <v>1112</v>
      </c>
      <c r="BX24" s="562" t="s">
        <v>1113</v>
      </c>
      <c r="BY24" s="562" t="s">
        <v>115</v>
      </c>
      <c r="BZ24" s="562" t="s">
        <v>808</v>
      </c>
      <c r="CA24" s="562"/>
      <c r="CB24" s="562"/>
    </row>
    <row r="25" spans="13:80" x14ac:dyDescent="0.25">
      <c r="BV25" s="562">
        <v>8</v>
      </c>
      <c r="BW25" s="562">
        <v>0.1</v>
      </c>
      <c r="BX25" s="562">
        <v>0.7</v>
      </c>
      <c r="BY25" s="562">
        <v>4</v>
      </c>
      <c r="BZ25" s="562">
        <f t="shared" ref="BZ25:BZ32" si="11">(BW25+BX25)/2*BY25/100</f>
        <v>1.6E-2</v>
      </c>
      <c r="CA25" s="562" t="s">
        <v>1119</v>
      </c>
      <c r="CB25" s="562">
        <f>SUM(BZ25:BZ32)</f>
        <v>1</v>
      </c>
    </row>
    <row r="26" spans="13:80" x14ac:dyDescent="0.25">
      <c r="M26"/>
      <c r="BV26" s="562">
        <v>10</v>
      </c>
      <c r="BW26" s="562">
        <v>0.6</v>
      </c>
      <c r="BX26" s="562">
        <v>0.95</v>
      </c>
      <c r="BY26" s="562">
        <v>8</v>
      </c>
      <c r="BZ26" s="562">
        <f t="shared" si="11"/>
        <v>6.1999999999999993E-2</v>
      </c>
      <c r="CA26" s="562"/>
      <c r="CB26" s="562"/>
    </row>
    <row r="27" spans="13:80" x14ac:dyDescent="0.25">
      <c r="BV27" s="562"/>
      <c r="BW27" s="562">
        <v>0.8</v>
      </c>
      <c r="BX27" s="562">
        <v>0.95</v>
      </c>
      <c r="BY27" s="562">
        <v>8</v>
      </c>
      <c r="BZ27" s="562">
        <f t="shared" si="11"/>
        <v>7.0000000000000007E-2</v>
      </c>
      <c r="CA27" s="562"/>
      <c r="CB27" s="562"/>
    </row>
    <row r="28" spans="13:80" x14ac:dyDescent="0.25">
      <c r="BV28" s="562"/>
      <c r="BW28" s="562">
        <v>0.95</v>
      </c>
      <c r="BX28" s="562">
        <v>1</v>
      </c>
      <c r="BY28" s="562">
        <v>30</v>
      </c>
      <c r="BZ28" s="562">
        <f t="shared" si="11"/>
        <v>0.29249999999999998</v>
      </c>
      <c r="CA28" s="562"/>
      <c r="CB28" s="562"/>
    </row>
    <row r="29" spans="13:80" x14ac:dyDescent="0.25">
      <c r="BV29" s="562"/>
      <c r="BW29" s="562">
        <v>1</v>
      </c>
      <c r="BX29" s="562">
        <v>1.05</v>
      </c>
      <c r="BY29" s="562">
        <v>30</v>
      </c>
      <c r="BZ29" s="562">
        <f t="shared" si="11"/>
        <v>0.30749999999999994</v>
      </c>
      <c r="CA29" s="562"/>
      <c r="CB29" s="562"/>
    </row>
    <row r="30" spans="13:80" x14ac:dyDescent="0.25">
      <c r="BV30" s="562"/>
      <c r="BW30" s="562">
        <v>1.05</v>
      </c>
      <c r="BX30" s="562">
        <v>1.2</v>
      </c>
      <c r="BY30" s="562">
        <v>8</v>
      </c>
      <c r="BZ30" s="562">
        <f t="shared" si="11"/>
        <v>0.09</v>
      </c>
      <c r="CA30" s="562"/>
      <c r="CB30" s="562"/>
    </row>
    <row r="31" spans="13:80" x14ac:dyDescent="0.25">
      <c r="BV31" s="562"/>
      <c r="BW31" s="562">
        <v>1.05</v>
      </c>
      <c r="BX31" s="562">
        <v>1.4</v>
      </c>
      <c r="BY31" s="562">
        <v>8</v>
      </c>
      <c r="BZ31" s="562">
        <f t="shared" si="11"/>
        <v>9.8000000000000004E-2</v>
      </c>
      <c r="CA31" s="562"/>
      <c r="CB31" s="562"/>
    </row>
    <row r="32" spans="13:80" x14ac:dyDescent="0.25">
      <c r="BV32" s="562"/>
      <c r="BW32" s="562">
        <v>1.3</v>
      </c>
      <c r="BX32" s="562">
        <v>1.9</v>
      </c>
      <c r="BY32" s="562">
        <v>4</v>
      </c>
      <c r="BZ32" s="562">
        <f t="shared" si="11"/>
        <v>6.4000000000000001E-2</v>
      </c>
      <c r="CA32" s="562"/>
      <c r="CB32" s="562"/>
    </row>
  </sheetData>
  <mergeCells count="3">
    <mergeCell ref="BH3:BJ3"/>
    <mergeCell ref="BM3:BO3"/>
    <mergeCell ref="AY4:AZ4"/>
  </mergeCells>
  <phoneticPr fontId="64" type="noConversion"/>
  <conditionalFormatting sqref="N5:O5">
    <cfRule type="containsText" dxfId="2471" priority="17" operator="containsText" text=" ">
      <formula>NOT(ISERROR(SEARCH(" ",N5)))</formula>
    </cfRule>
  </conditionalFormatting>
  <conditionalFormatting sqref="AR5">
    <cfRule type="containsText" dxfId="2470" priority="55" operator="containsText" text=" ">
      <formula>NOT(ISERROR(SEARCH(" ",AR5)))</formula>
    </cfRule>
  </conditionalFormatting>
  <conditionalFormatting sqref="AR6">
    <cfRule type="containsText" dxfId="2469" priority="56" operator="containsText" text=" ">
      <formula>NOT(ISERROR(SEARCH(" ",AR6)))</formula>
    </cfRule>
  </conditionalFormatting>
  <conditionalFormatting sqref="AF8">
    <cfRule type="containsText" dxfId="2468" priority="119" operator="containsText" text=" ">
      <formula>NOT(ISERROR(SEARCH(" ",AF8)))</formula>
    </cfRule>
  </conditionalFormatting>
  <conditionalFormatting sqref="AG8">
    <cfRule type="containsText" dxfId="2467" priority="43" operator="containsText" text=" ">
      <formula>NOT(ISERROR(SEARCH(" ",AG8)))</formula>
    </cfRule>
  </conditionalFormatting>
  <conditionalFormatting sqref="AF9">
    <cfRule type="containsText" dxfId="2466" priority="118" operator="containsText" text=" ">
      <formula>NOT(ISERROR(SEARCH(" ",AF9)))</formula>
    </cfRule>
  </conditionalFormatting>
  <conditionalFormatting sqref="AF10">
    <cfRule type="containsText" dxfId="2465" priority="117" operator="containsText" text=" ">
      <formula>NOT(ISERROR(SEARCH(" ",AF10)))</formula>
    </cfRule>
  </conditionalFormatting>
  <conditionalFormatting sqref="AF11">
    <cfRule type="containsText" dxfId="2464" priority="96" operator="containsText" text=" ">
      <formula>NOT(ISERROR(SEARCH(" ",AF11)))</formula>
    </cfRule>
  </conditionalFormatting>
  <conditionalFormatting sqref="AF12">
    <cfRule type="containsText" dxfId="2463" priority="104" operator="containsText" text=" ">
      <formula>NOT(ISERROR(SEARCH(" ",AF12)))</formula>
    </cfRule>
  </conditionalFormatting>
  <conditionalFormatting sqref="AH12">
    <cfRule type="containsText" dxfId="2462" priority="102" operator="containsText" text=" ">
      <formula>NOT(ISERROR(SEARCH(" ",AH12)))</formula>
    </cfRule>
  </conditionalFormatting>
  <conditionalFormatting sqref="AI12">
    <cfRule type="containsText" dxfId="2461" priority="40" operator="containsText" text=" ">
      <formula>NOT(ISERROR(SEARCH(" ",AI12)))</formula>
    </cfRule>
  </conditionalFormatting>
  <conditionalFormatting sqref="AF13">
    <cfRule type="containsText" dxfId="2460" priority="110" operator="containsText" text=" ">
      <formula>NOT(ISERROR(SEARCH(" ",AF13)))</formula>
    </cfRule>
  </conditionalFormatting>
  <conditionalFormatting sqref="AH13">
    <cfRule type="containsText" dxfId="2459" priority="108" operator="containsText" text=" ">
      <formula>NOT(ISERROR(SEARCH(" ",AH13)))</formula>
    </cfRule>
  </conditionalFormatting>
  <conditionalFormatting sqref="AJ13">
    <cfRule type="containsText" dxfId="2458" priority="106" operator="containsText" text=" ">
      <formula>NOT(ISERROR(SEARCH(" ",AJ13)))</formula>
    </cfRule>
  </conditionalFormatting>
  <conditionalFormatting sqref="AK13">
    <cfRule type="containsText" dxfId="2457" priority="38" operator="containsText" text=" ">
      <formula>NOT(ISERROR(SEARCH(" ",AK13)))</formula>
    </cfRule>
  </conditionalFormatting>
  <conditionalFormatting sqref="AF14">
    <cfRule type="containsText" dxfId="2456" priority="123" operator="containsText" text=" ">
      <formula>NOT(ISERROR(SEARCH(" ",AF14)))</formula>
    </cfRule>
  </conditionalFormatting>
  <conditionalFormatting sqref="AH14">
    <cfRule type="containsText" dxfId="2455" priority="116" operator="containsText" text=" ">
      <formula>NOT(ISERROR(SEARCH(" ",AH14)))</formula>
    </cfRule>
  </conditionalFormatting>
  <conditionalFormatting sqref="AJ14">
    <cfRule type="containsText" dxfId="2454" priority="114" operator="containsText" text=" ">
      <formula>NOT(ISERROR(SEARCH(" ",AJ14)))</formula>
    </cfRule>
  </conditionalFormatting>
  <conditionalFormatting sqref="AL14">
    <cfRule type="containsText" dxfId="2453" priority="112" operator="containsText" text=" ">
      <formula>NOT(ISERROR(SEARCH(" ",AL14)))</formula>
    </cfRule>
  </conditionalFormatting>
  <conditionalFormatting sqref="AM14">
    <cfRule type="containsText" dxfId="2452" priority="36" operator="containsText" text=" ">
      <formula>NOT(ISERROR(SEARCH(" ",AM14)))</formula>
    </cfRule>
  </conditionalFormatting>
  <conditionalFormatting sqref="AN14">
    <cfRule type="containsText" dxfId="2451" priority="111" operator="containsText" text=" ">
      <formula>NOT(ISERROR(SEARCH(" ",AN14)))</formula>
    </cfRule>
  </conditionalFormatting>
  <conditionalFormatting sqref="C15">
    <cfRule type="containsText" dxfId="2450" priority="11" operator="containsText" text=" ">
      <formula>NOT(ISERROR(SEARCH(" ",C15)))</formula>
    </cfRule>
  </conditionalFormatting>
  <conditionalFormatting sqref="D15">
    <cfRule type="containsText" dxfId="2449" priority="59" operator="containsText" text=" ">
      <formula>NOT(ISERROR(SEARCH(" ",D15)))</formula>
    </cfRule>
  </conditionalFormatting>
  <conditionalFormatting sqref="N15">
    <cfRule type="containsText" dxfId="2448" priority="14" operator="containsText" text=" ">
      <formula>NOT(ISERROR(SEARCH(" ",N15)))</formula>
    </cfRule>
  </conditionalFormatting>
  <conditionalFormatting sqref="O15">
    <cfRule type="containsText" dxfId="2447" priority="15" operator="containsText" text=" ">
      <formula>NOT(ISERROR(SEARCH(" ",O15)))</formula>
    </cfRule>
  </conditionalFormatting>
  <conditionalFormatting sqref="T15">
    <cfRule type="containsText" dxfId="2446" priority="19" operator="containsText" text=" ">
      <formula>NOT(ISERROR(SEARCH(" ",T15)))</formula>
    </cfRule>
  </conditionalFormatting>
  <conditionalFormatting sqref="AC15">
    <cfRule type="containsText" dxfId="2445" priority="21" operator="containsText" text=" ">
      <formula>NOT(ISERROR(SEARCH(" ",AC15)))</formula>
    </cfRule>
  </conditionalFormatting>
  <conditionalFormatting sqref="AE15">
    <cfRule type="containsText" dxfId="2444" priority="71" operator="containsText" text=" ">
      <formula>NOT(ISERROR(SEARCH(" ",AE15)))</formula>
    </cfRule>
  </conditionalFormatting>
  <conditionalFormatting sqref="AF15">
    <cfRule type="containsText" dxfId="2443" priority="70" operator="containsText" text=" ">
      <formula>NOT(ISERROR(SEARCH(" ",AF15)))</formula>
    </cfRule>
  </conditionalFormatting>
  <conditionalFormatting sqref="AG15">
    <cfRule type="containsText" dxfId="2442" priority="42" operator="containsText" text=" ">
      <formula>NOT(ISERROR(SEARCH(" ",AG15)))</formula>
    </cfRule>
  </conditionalFormatting>
  <conditionalFormatting sqref="AH15">
    <cfRule type="containsText" dxfId="2441" priority="67" operator="containsText" text=" ">
      <formula>NOT(ISERROR(SEARCH(" ",AH15)))</formula>
    </cfRule>
  </conditionalFormatting>
  <conditionalFormatting sqref="AJ15">
    <cfRule type="containsText" dxfId="2440" priority="65" operator="containsText" text=" ">
      <formula>NOT(ISERROR(SEARCH(" ",AJ15)))</formula>
    </cfRule>
  </conditionalFormatting>
  <conditionalFormatting sqref="AL15">
    <cfRule type="containsText" dxfId="2439" priority="63" operator="containsText" text=" ">
      <formula>NOT(ISERROR(SEARCH(" ",AL15)))</formula>
    </cfRule>
  </conditionalFormatting>
  <conditionalFormatting sqref="AM15">
    <cfRule type="containsText" dxfId="2438" priority="37" operator="containsText" text=" ">
      <formula>NOT(ISERROR(SEARCH(" ",AM15)))</formula>
    </cfRule>
  </conditionalFormatting>
  <conditionalFormatting sqref="AN15">
    <cfRule type="containsText" dxfId="2437" priority="57" operator="containsText" text=" ">
      <formula>NOT(ISERROR(SEARCH(" ",AN15)))</formula>
    </cfRule>
    <cfRule type="containsText" dxfId="2436" priority="62" operator="containsText" text=" ">
      <formula>NOT(ISERROR(SEARCH(" ",AN15)))</formula>
    </cfRule>
  </conditionalFormatting>
  <conditionalFormatting sqref="AR15">
    <cfRule type="containsText" dxfId="2435" priority="60" operator="containsText" text=" ">
      <formula>NOT(ISERROR(SEARCH(" ",AR15)))</formula>
    </cfRule>
  </conditionalFormatting>
  <conditionalFormatting sqref="C6:C14">
    <cfRule type="containsText" dxfId="2434" priority="12" operator="containsText" text=" ">
      <formula>NOT(ISERROR(SEARCH(" ",C6)))</formula>
    </cfRule>
  </conditionalFormatting>
  <conditionalFormatting sqref="D6:D14">
    <cfRule type="containsText" dxfId="2433" priority="88" operator="containsText" text=" ">
      <formula>NOT(ISERROR(SEARCH(" ",D6)))</formula>
    </cfRule>
  </conditionalFormatting>
  <conditionalFormatting sqref="H6:H15">
    <cfRule type="containsText" dxfId="2432" priority="25" operator="containsText" text=" ">
      <formula>NOT(ISERROR(SEARCH(" ",H6)))</formula>
    </cfRule>
  </conditionalFormatting>
  <conditionalFormatting sqref="I6:I15">
    <cfRule type="containsText" dxfId="2431" priority="29" operator="containsText" text=" ">
      <formula>NOT(ISERROR(SEARCH(" ",I6)))</formula>
    </cfRule>
  </conditionalFormatting>
  <conditionalFormatting sqref="Q5:Q15">
    <cfRule type="containsText" dxfId="2430" priority="18" operator="containsText" text=" ">
      <formula>NOT(ISERROR(SEARCH(" ",Q5)))</formula>
    </cfRule>
  </conditionalFormatting>
  <conditionalFormatting sqref="Y5:Y1048576">
    <cfRule type="containsText" dxfId="2429" priority="26" operator="containsText" text=" ">
      <formula>NOT(ISERROR(SEARCH(" ",Y5)))</formula>
    </cfRule>
  </conditionalFormatting>
  <conditionalFormatting sqref="Z5:Z15">
    <cfRule type="containsText" dxfId="2428" priority="9" operator="containsText" text=" ">
      <formula>NOT(ISERROR(SEARCH(" ",Z5)))</formula>
    </cfRule>
  </conditionalFormatting>
  <conditionalFormatting sqref="AA5:AA15">
    <cfRule type="containsText" dxfId="2427" priority="8" operator="containsText" text=" ">
      <formula>NOT(ISERROR(SEARCH(" ",AA5)))</formula>
    </cfRule>
  </conditionalFormatting>
  <conditionalFormatting sqref="AB5:AB15">
    <cfRule type="containsText" dxfId="2426" priority="7" operator="containsText" text=" ">
      <formula>NOT(ISERROR(SEARCH(" ",AB5)))</formula>
    </cfRule>
  </conditionalFormatting>
  <conditionalFormatting sqref="AC5:AC14">
    <cfRule type="containsText" dxfId="2425" priority="22" operator="containsText" text=" ">
      <formula>NOT(ISERROR(SEARCH(" ",AC5)))</formula>
    </cfRule>
  </conditionalFormatting>
  <conditionalFormatting sqref="AG9:AG14">
    <cfRule type="containsText" dxfId="2424" priority="44" operator="containsText" text=" ">
      <formula>NOT(ISERROR(SEARCH(" ",AG9)))</formula>
    </cfRule>
  </conditionalFormatting>
  <conditionalFormatting sqref="AI13:AI15">
    <cfRule type="containsText" dxfId="2423" priority="41" operator="containsText" text=" ">
      <formula>NOT(ISERROR(SEARCH(" ",AI13)))</formula>
    </cfRule>
  </conditionalFormatting>
  <conditionalFormatting sqref="AK14:AK15">
    <cfRule type="containsText" dxfId="2422" priority="39" operator="containsText" text=" ">
      <formula>NOT(ISERROR(SEARCH(" ",AK14)))</formula>
    </cfRule>
  </conditionalFormatting>
  <conditionalFormatting sqref="AQ5:AQ15">
    <cfRule type="containsText" dxfId="2421" priority="93" operator="containsText" text=" ">
      <formula>NOT(ISERROR(SEARCH(" ",AQ5)))</formula>
    </cfRule>
  </conditionalFormatting>
  <conditionalFormatting sqref="AR7:AR14">
    <cfRule type="containsText" dxfId="2420" priority="90" operator="containsText" text=" ">
      <formula>NOT(ISERROR(SEARCH(" ",AR7)))</formula>
    </cfRule>
  </conditionalFormatting>
  <conditionalFormatting sqref="BD5:BD14">
    <cfRule type="containsText" dxfId="2419" priority="97" operator="containsText" text=" ">
      <formula>NOT(ISERROR(SEARCH(" ",BD5)))</formula>
    </cfRule>
  </conditionalFormatting>
  <conditionalFormatting sqref="F6:G13 E14:G14 A6:B14 A16:X25 AC16:AZ1048576 R6:S14 W6:X15 BM5:BM15 P6:P15 BE5:BF1048576 V5:X5 AE8 BC15:BD15 V6:V14 A27:X1048576 A26:L26 N26:X26 AS5:AT14 BB5:BB14 BB16:BD1048576">
    <cfRule type="containsText" dxfId="2418" priority="120" operator="containsText" text=" ">
      <formula>NOT(ISERROR(SEARCH(" ",A5)))</formula>
    </cfRule>
  </conditionalFormatting>
  <conditionalFormatting sqref="E5:E13 A5:B5 AD8 R5:S5 P5">
    <cfRule type="containsText" dxfId="2417" priority="121" operator="containsText" text=" ">
      <formula>NOT(ISERROR(SEARCH(" ",A5)))</formula>
    </cfRule>
  </conditionalFormatting>
  <conditionalFormatting sqref="C5 BM23:XFD23 BM16:BU22 BR14:BU15 CC14:XFD22 BR13:XFD13 BR5:CC12 BV15:CB22 BM33:XFD1048576 BM24:BU32 CC24:XFD32 CK5:CK12 CS5:XFD12 BV25:CB32">
    <cfRule type="containsText" dxfId="2416" priority="13" operator="containsText" text=" ">
      <formula>NOT(ISERROR(SEARCH(" ",C5)))</formula>
    </cfRule>
  </conditionalFormatting>
  <conditionalFormatting sqref="D5 AG5:AM5 AN6 AO5:AP5">
    <cfRule type="containsText" dxfId="2415" priority="89" operator="containsText" text=" ">
      <formula>NOT(ISERROR(SEARCH(" ",D5)))</formula>
    </cfRule>
  </conditionalFormatting>
  <conditionalFormatting sqref="T5:U15">
    <cfRule type="containsText" dxfId="2414" priority="20" operator="containsText" text=" ">
      <formula>NOT(ISERROR(SEARCH(" ",T5)))</formula>
    </cfRule>
  </conditionalFormatting>
  <conditionalFormatting sqref="AD5:AD7 AN8:AN14 AG6:AM6 AP5:AP14 AO6:AO14 BC5:BC14 AL13:AM13 AJ12:AM12 AG7:AN7 AH8:AM11 AD9:AD14">
    <cfRule type="containsText" dxfId="2413" priority="126" operator="containsText" text=" ">
      <formula>NOT(ISERROR(SEARCH(" ",AD5)))</formula>
    </cfRule>
  </conditionalFormatting>
  <conditionalFormatting sqref="AE5:AE7 AE9:AE14">
    <cfRule type="containsText" dxfId="2412" priority="124" operator="containsText" text=" ">
      <formula>NOT(ISERROR(SEARCH(" ",AE5)))</formula>
    </cfRule>
  </conditionalFormatting>
  <conditionalFormatting sqref="N6:O14">
    <cfRule type="containsText" dxfId="2411" priority="16" operator="containsText" text=" ">
      <formula>NOT(ISERROR(SEARCH(" ",N6)))</formula>
    </cfRule>
  </conditionalFormatting>
  <conditionalFormatting sqref="E15:G15 A15:B15 AS15:AT15 R15:S15 V15 BB15">
    <cfRule type="containsText" dxfId="2410" priority="68" operator="containsText" text=" ">
      <formula>NOT(ISERROR(SEARCH(" ",A15)))</formula>
    </cfRule>
  </conditionalFormatting>
  <conditionalFormatting sqref="AD15 AO15:AP15">
    <cfRule type="containsText" dxfId="2409" priority="72" operator="containsText" text=" ">
      <formula>NOT(ISERROR(SEARCH(" ",AD15)))</formula>
    </cfRule>
  </conditionalFormatting>
  <conditionalFormatting sqref="Z16:AB1048576">
    <cfRule type="containsText" dxfId="2408" priority="10" operator="containsText" text=" ">
      <formula>NOT(ISERROR(SEARCH(" ",Z16)))</formula>
    </cfRule>
  </conditionalFormatting>
  <conditionalFormatting sqref="AU5:AU15">
    <cfRule type="containsText" dxfId="2407" priority="6" operator="containsText" text=" ">
      <formula>NOT(ISERROR(SEARCH(" ",AU5)))</formula>
    </cfRule>
  </conditionalFormatting>
  <conditionalFormatting sqref="AV5:AZ5 AV6:AY15 AZ6:AZ14">
    <cfRule type="containsText" dxfId="2406" priority="5" operator="containsText" text=" ">
      <formula>NOT(ISERROR(SEARCH(" ",AV5)))</formula>
    </cfRule>
  </conditionalFormatting>
  <conditionalFormatting sqref="AZ15">
    <cfRule type="containsText" dxfId="2405" priority="4" operator="containsText" text=" ">
      <formula>NOT(ISERROR(SEARCH(" ",AZ15)))</formula>
    </cfRule>
  </conditionalFormatting>
  <conditionalFormatting sqref="BA15">
    <cfRule type="containsText" dxfId="2404" priority="1" operator="containsText" text=" ">
      <formula>NOT(ISERROR(SEARCH(" ",BA15)))</formula>
    </cfRule>
  </conditionalFormatting>
  <conditionalFormatting sqref="BA5:BA14">
    <cfRule type="containsText" dxfId="2403" priority="2" operator="containsText" text=" ">
      <formula>NOT(ISERROR(SEARCH(" ",BA5)))</formula>
    </cfRule>
  </conditionalFormatting>
  <conditionalFormatting sqref="BA16:BA1048576">
    <cfRule type="containsText" dxfId="2402" priority="3" operator="containsText" text=" ">
      <formula>NOT(ISERROR(SEARCH(" ",BA16)))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M33"/>
  <sheetViews>
    <sheetView workbookViewId="0">
      <pane xSplit="1" ySplit="4" topLeftCell="AE5" activePane="bottomRight" state="frozen"/>
      <selection pane="topRight"/>
      <selection pane="bottomLeft"/>
      <selection pane="bottomRight" activeCell="AN19" sqref="AN19"/>
    </sheetView>
  </sheetViews>
  <sheetFormatPr defaultColWidth="9" defaultRowHeight="15.6" x14ac:dyDescent="0.35"/>
  <cols>
    <col min="1" max="1" width="15.77734375" style="241" customWidth="1"/>
    <col min="2" max="2" width="15.88671875" style="241" customWidth="1"/>
    <col min="3" max="3" width="13.77734375" style="241" customWidth="1"/>
    <col min="4" max="4" width="15.109375" style="241" customWidth="1"/>
    <col min="5" max="5" width="12" style="241" customWidth="1"/>
    <col min="6" max="6" width="13.109375" style="241" customWidth="1"/>
    <col min="7" max="8" width="11.109375" style="241" customWidth="1"/>
    <col min="9" max="9" width="13.33203125" style="241" customWidth="1"/>
    <col min="10" max="10" width="23.88671875" style="241" customWidth="1"/>
    <col min="11" max="11" width="21" style="241" customWidth="1"/>
    <col min="12" max="13" width="18.88671875" style="241" customWidth="1"/>
    <col min="14" max="16" width="19.21875" style="241" customWidth="1"/>
    <col min="17" max="17" width="29.44140625" style="241" customWidth="1"/>
    <col min="18" max="18" width="22.77734375" style="241" customWidth="1"/>
    <col min="19" max="19" width="20.44140625" style="241" customWidth="1"/>
    <col min="20" max="20" width="19.21875" style="241" customWidth="1"/>
    <col min="21" max="21" width="11.88671875" style="241" customWidth="1"/>
    <col min="22" max="24" width="19.21875" style="241" customWidth="1"/>
    <col min="25" max="25" width="18.21875" style="241" customWidth="1"/>
    <col min="26" max="26" width="18.44140625" style="241" customWidth="1"/>
    <col min="27" max="27" width="18.109375" style="241" customWidth="1"/>
    <col min="28" max="28" width="16" style="241" customWidth="1"/>
    <col min="29" max="30" width="23.21875" style="241" customWidth="1"/>
    <col min="31" max="31" width="15.88671875" style="241" customWidth="1"/>
    <col min="32" max="32" width="9.33203125" style="241" customWidth="1"/>
    <col min="33" max="36" width="14.109375" style="241" customWidth="1"/>
    <col min="37" max="37" width="30.77734375" style="241" customWidth="1"/>
    <col min="38" max="38" width="20" style="241" customWidth="1"/>
    <col min="39" max="39" width="41.77734375" style="241" customWidth="1"/>
    <col min="40" max="46" width="9" style="241"/>
    <col min="47" max="47" width="36.109375" style="241" customWidth="1"/>
    <col min="48" max="48" width="11.6640625" style="39" customWidth="1"/>
    <col min="49" max="49" width="10.21875" style="39" customWidth="1"/>
    <col min="50" max="50" width="17.109375" style="39" customWidth="1"/>
    <col min="51" max="51" width="10.109375" style="39" customWidth="1"/>
    <col min="52" max="52" width="9" style="39"/>
    <col min="53" max="53" width="30.33203125" style="39" customWidth="1"/>
    <col min="54" max="56" width="9" style="39"/>
    <col min="57" max="16384" width="9" style="241"/>
  </cols>
  <sheetData>
    <row r="1" spans="1:65" ht="16.2" x14ac:dyDescent="0.4">
      <c r="A1" s="2" t="s">
        <v>0</v>
      </c>
      <c r="B1" s="2" t="s">
        <v>0</v>
      </c>
      <c r="C1" s="2" t="s">
        <v>0</v>
      </c>
      <c r="D1" s="251" t="s">
        <v>0</v>
      </c>
      <c r="E1" s="2" t="s">
        <v>0</v>
      </c>
      <c r="F1" s="251" t="s">
        <v>0</v>
      </c>
      <c r="G1" s="2" t="s">
        <v>0</v>
      </c>
      <c r="H1" s="2" t="s">
        <v>0</v>
      </c>
      <c r="I1" s="251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51" t="s">
        <v>1</v>
      </c>
      <c r="O1" s="51" t="s">
        <v>1</v>
      </c>
      <c r="P1" s="51" t="s">
        <v>1</v>
      </c>
      <c r="Q1" s="51" t="s">
        <v>1</v>
      </c>
      <c r="R1" s="51" t="s">
        <v>0</v>
      </c>
      <c r="S1" s="51" t="s">
        <v>1</v>
      </c>
      <c r="T1" s="51" t="s">
        <v>1</v>
      </c>
      <c r="U1" s="34" t="s">
        <v>1</v>
      </c>
      <c r="V1" s="51" t="s">
        <v>1</v>
      </c>
      <c r="W1" s="513" t="s">
        <v>976</v>
      </c>
      <c r="X1" s="513" t="s">
        <v>976</v>
      </c>
      <c r="Y1" s="34" t="s">
        <v>976</v>
      </c>
      <c r="Z1" s="34" t="s">
        <v>0</v>
      </c>
      <c r="AA1" s="34" t="s">
        <v>0</v>
      </c>
      <c r="AB1" s="34" t="s">
        <v>976</v>
      </c>
      <c r="AC1" s="34" t="s">
        <v>976</v>
      </c>
      <c r="AD1" s="34" t="s">
        <v>976</v>
      </c>
      <c r="AE1" s="34" t="s">
        <v>976</v>
      </c>
      <c r="AF1" s="34" t="s">
        <v>976</v>
      </c>
      <c r="AG1" s="2" t="s">
        <v>976</v>
      </c>
      <c r="AH1" s="2" t="s">
        <v>976</v>
      </c>
      <c r="AI1" s="2" t="s">
        <v>976</v>
      </c>
      <c r="AJ1" s="2" t="s">
        <v>976</v>
      </c>
      <c r="AK1" s="2" t="s">
        <v>976</v>
      </c>
      <c r="AL1" s="2" t="s">
        <v>1</v>
      </c>
      <c r="AM1" s="2" t="s">
        <v>1</v>
      </c>
    </row>
    <row r="2" spans="1:65" ht="16.2" x14ac:dyDescent="0.4">
      <c r="A2" s="2" t="s">
        <v>11</v>
      </c>
      <c r="B2" s="2" t="s">
        <v>11</v>
      </c>
      <c r="C2" s="2" t="s">
        <v>11</v>
      </c>
      <c r="D2" s="251" t="s">
        <v>11</v>
      </c>
      <c r="E2" s="2" t="s">
        <v>11</v>
      </c>
      <c r="F2" s="251" t="s">
        <v>11</v>
      </c>
      <c r="G2" s="2" t="s">
        <v>11</v>
      </c>
      <c r="H2" s="2" t="s">
        <v>11</v>
      </c>
      <c r="I2" s="251" t="s">
        <v>11</v>
      </c>
      <c r="J2" s="34" t="s">
        <v>14</v>
      </c>
      <c r="K2" s="2" t="s">
        <v>1014</v>
      </c>
      <c r="L2" s="2" t="s">
        <v>1014</v>
      </c>
      <c r="M2" s="251" t="s">
        <v>11</v>
      </c>
      <c r="N2" s="251" t="s">
        <v>11</v>
      </c>
      <c r="O2" s="251" t="s">
        <v>11</v>
      </c>
      <c r="P2" s="34" t="s">
        <v>14</v>
      </c>
      <c r="Q2" s="34" t="s">
        <v>14</v>
      </c>
      <c r="R2" s="251" t="s">
        <v>11</v>
      </c>
      <c r="S2" s="34" t="s">
        <v>14</v>
      </c>
      <c r="T2" s="34" t="s">
        <v>14</v>
      </c>
      <c r="U2" s="51" t="s">
        <v>13</v>
      </c>
      <c r="V2" s="51" t="s">
        <v>13</v>
      </c>
      <c r="W2" s="513" t="s">
        <v>14</v>
      </c>
      <c r="X2" s="513" t="s">
        <v>14</v>
      </c>
      <c r="Y2" s="34" t="s">
        <v>14</v>
      </c>
      <c r="Z2" s="34" t="s">
        <v>14</v>
      </c>
      <c r="AA2" s="34" t="s">
        <v>14</v>
      </c>
      <c r="AB2" s="34" t="s">
        <v>14</v>
      </c>
      <c r="AC2" s="34" t="s">
        <v>14</v>
      </c>
      <c r="AD2" s="34" t="s">
        <v>14</v>
      </c>
      <c r="AE2" s="34" t="s">
        <v>14</v>
      </c>
      <c r="AF2" s="34" t="s">
        <v>14</v>
      </c>
      <c r="AG2" s="2" t="s">
        <v>11</v>
      </c>
      <c r="AH2" s="2" t="s">
        <v>14</v>
      </c>
      <c r="AI2" s="2" t="s">
        <v>14</v>
      </c>
      <c r="AJ2" s="2" t="s">
        <v>14</v>
      </c>
      <c r="AK2" s="2" t="s">
        <v>14</v>
      </c>
      <c r="AL2" s="2" t="s">
        <v>14</v>
      </c>
      <c r="AM2" s="2" t="s">
        <v>14</v>
      </c>
      <c r="AN2" s="241" t="s">
        <v>1182</v>
      </c>
    </row>
    <row r="3" spans="1:65" s="339" customFormat="1" ht="13.2" x14ac:dyDescent="0.3">
      <c r="A3" s="505" t="s">
        <v>1183</v>
      </c>
      <c r="B3" s="505" t="s">
        <v>1184</v>
      </c>
      <c r="C3" s="505" t="s">
        <v>1185</v>
      </c>
      <c r="D3" s="506" t="s">
        <v>1186</v>
      </c>
      <c r="E3" s="507" t="s">
        <v>1187</v>
      </c>
      <c r="F3" s="508" t="s">
        <v>1188</v>
      </c>
      <c r="G3" s="507" t="s">
        <v>1189</v>
      </c>
      <c r="H3" s="505" t="s">
        <v>1190</v>
      </c>
      <c r="I3" s="508" t="s">
        <v>1191</v>
      </c>
      <c r="J3" s="507" t="s">
        <v>1192</v>
      </c>
      <c r="K3" s="511" t="s">
        <v>1193</v>
      </c>
      <c r="L3" s="507" t="s">
        <v>1194</v>
      </c>
      <c r="M3" s="507" t="s">
        <v>1195</v>
      </c>
      <c r="N3" s="507" t="s">
        <v>1196</v>
      </c>
      <c r="O3" s="507" t="s">
        <v>1197</v>
      </c>
      <c r="P3" s="507" t="s">
        <v>1198</v>
      </c>
      <c r="Q3" s="507" t="s">
        <v>1199</v>
      </c>
      <c r="R3" s="507" t="s">
        <v>1200</v>
      </c>
      <c r="S3" s="511" t="s">
        <v>1201</v>
      </c>
      <c r="T3" s="511" t="s">
        <v>1202</v>
      </c>
      <c r="U3" s="511" t="s">
        <v>1203</v>
      </c>
      <c r="V3" s="511" t="s">
        <v>1204</v>
      </c>
      <c r="W3" s="508" t="s">
        <v>1205</v>
      </c>
      <c r="X3" s="508" t="s">
        <v>1206</v>
      </c>
      <c r="Y3" s="34" t="s">
        <v>1207</v>
      </c>
      <c r="Z3" s="34" t="s">
        <v>1208</v>
      </c>
      <c r="AA3" s="34" t="s">
        <v>1209</v>
      </c>
      <c r="AB3" s="34" t="s">
        <v>1210</v>
      </c>
      <c r="AC3" s="34" t="s">
        <v>1211</v>
      </c>
      <c r="AD3" s="34" t="s">
        <v>1212</v>
      </c>
      <c r="AE3" s="34" t="s">
        <v>1213</v>
      </c>
      <c r="AF3" s="34" t="s">
        <v>1214</v>
      </c>
      <c r="AG3" s="34" t="s">
        <v>1215</v>
      </c>
      <c r="AH3" s="34" t="s">
        <v>1216</v>
      </c>
      <c r="AI3" s="34" t="s">
        <v>1217</v>
      </c>
      <c r="AJ3" s="34" t="s">
        <v>1218</v>
      </c>
      <c r="AK3" s="34" t="s">
        <v>1219</v>
      </c>
      <c r="AL3" s="34" t="s">
        <v>2572</v>
      </c>
      <c r="AM3" s="34" t="s">
        <v>2573</v>
      </c>
      <c r="AN3" s="339" t="s">
        <v>1220</v>
      </c>
      <c r="AV3" s="337"/>
      <c r="AW3" s="337"/>
      <c r="AX3" s="337"/>
      <c r="AY3" s="337"/>
      <c r="AZ3" s="337"/>
      <c r="BA3" s="337"/>
      <c r="BB3" s="337"/>
      <c r="BC3" s="337"/>
      <c r="BD3" s="337"/>
    </row>
    <row r="4" spans="1:65" ht="72" customHeight="1" x14ac:dyDescent="0.35">
      <c r="A4" s="79" t="s">
        <v>1221</v>
      </c>
      <c r="B4" s="79" t="s">
        <v>1222</v>
      </c>
      <c r="C4" s="79" t="s">
        <v>1223</v>
      </c>
      <c r="D4" s="253" t="s">
        <v>1224</v>
      </c>
      <c r="E4" s="79" t="s">
        <v>1225</v>
      </c>
      <c r="F4" s="253" t="s">
        <v>1226</v>
      </c>
      <c r="G4" s="79" t="s">
        <v>1227</v>
      </c>
      <c r="H4" s="79" t="s">
        <v>1228</v>
      </c>
      <c r="I4" s="253" t="s">
        <v>1229</v>
      </c>
      <c r="J4" s="79" t="s">
        <v>1230</v>
      </c>
      <c r="K4" s="79" t="s">
        <v>1231</v>
      </c>
      <c r="L4" s="34" t="s">
        <v>1232</v>
      </c>
      <c r="M4" s="34" t="s">
        <v>1233</v>
      </c>
      <c r="N4" s="34" t="s">
        <v>1234</v>
      </c>
      <c r="O4" s="34" t="s">
        <v>1235</v>
      </c>
      <c r="P4" s="34" t="s">
        <v>1236</v>
      </c>
      <c r="Q4" s="34" t="s">
        <v>1237</v>
      </c>
      <c r="R4" s="34" t="s">
        <v>1238</v>
      </c>
      <c r="S4" s="34" t="s">
        <v>1239</v>
      </c>
      <c r="T4" s="34" t="s">
        <v>1240</v>
      </c>
      <c r="U4" s="34" t="s">
        <v>1241</v>
      </c>
      <c r="V4" s="34" t="s">
        <v>1242</v>
      </c>
      <c r="W4" s="34" t="s">
        <v>1243</v>
      </c>
      <c r="X4" s="34" t="s">
        <v>1244</v>
      </c>
      <c r="Y4" s="34" t="s">
        <v>1245</v>
      </c>
      <c r="Z4" s="34" t="s">
        <v>1246</v>
      </c>
      <c r="AA4" s="34" t="s">
        <v>1247</v>
      </c>
      <c r="AB4" s="34" t="s">
        <v>1248</v>
      </c>
      <c r="AC4" s="34" t="s">
        <v>1249</v>
      </c>
      <c r="AD4" s="34" t="s">
        <v>1250</v>
      </c>
      <c r="AE4" s="34" t="s">
        <v>1251</v>
      </c>
      <c r="AF4" s="34" t="s">
        <v>1252</v>
      </c>
      <c r="AG4" s="34" t="s">
        <v>1253</v>
      </c>
      <c r="AH4" s="34" t="s">
        <v>1254</v>
      </c>
      <c r="AI4" s="34" t="s">
        <v>1255</v>
      </c>
      <c r="AJ4" s="34" t="s">
        <v>1256</v>
      </c>
      <c r="AK4" s="517" t="s">
        <v>1257</v>
      </c>
      <c r="AL4" s="507" t="s">
        <v>2574</v>
      </c>
      <c r="AM4" s="507" t="s">
        <v>2575</v>
      </c>
      <c r="AW4" s="39" t="s">
        <v>1258</v>
      </c>
      <c r="BD4" s="39" t="s">
        <v>1206</v>
      </c>
    </row>
    <row r="5" spans="1:65" ht="16.2" x14ac:dyDescent="0.4">
      <c r="A5" s="39">
        <v>1</v>
      </c>
      <c r="B5" s="39">
        <v>1</v>
      </c>
      <c r="C5" s="5">
        <v>20</v>
      </c>
      <c r="D5" s="5">
        <v>100</v>
      </c>
      <c r="E5" s="5">
        <v>0</v>
      </c>
      <c r="F5" s="509">
        <v>100000</v>
      </c>
      <c r="G5" s="39">
        <v>0</v>
      </c>
      <c r="H5" s="39">
        <f>C5</f>
        <v>20</v>
      </c>
      <c r="I5" s="39">
        <v>0</v>
      </c>
      <c r="J5" s="39"/>
      <c r="K5" s="512">
        <v>-1</v>
      </c>
      <c r="L5" s="58"/>
      <c r="M5" s="58" t="s">
        <v>172</v>
      </c>
      <c r="N5" s="1">
        <f>12*60*6</f>
        <v>4320</v>
      </c>
      <c r="O5" s="1">
        <v>1000</v>
      </c>
      <c r="P5" s="1" t="s">
        <v>1259</v>
      </c>
      <c r="Q5" s="514" t="str">
        <f>'炮解锁|CannonUnlock'!BH1&amp;","&amp;'炮解锁|CannonUnlock'!BK1&amp;","&amp;'炮解锁|CannonUnlock'!BN1&amp;","&amp;'炮解锁|CannonUnlock'!BQ1</f>
        <v>1000,1200,1000,1200</v>
      </c>
      <c r="R5" s="514">
        <f>F5+20*'炮解锁|CannonUnlock'!A9</f>
        <v>102000</v>
      </c>
      <c r="S5" s="58" t="s">
        <v>1260</v>
      </c>
      <c r="T5" s="58" t="s">
        <v>1261</v>
      </c>
      <c r="U5" s="58">
        <v>0.5</v>
      </c>
      <c r="V5" s="75">
        <v>0</v>
      </c>
      <c r="W5" s="75" t="s">
        <v>1262</v>
      </c>
      <c r="X5" s="75" t="s">
        <v>1263</v>
      </c>
      <c r="Y5" s="515" t="s">
        <v>1264</v>
      </c>
      <c r="Z5" s="515" t="s">
        <v>1264</v>
      </c>
      <c r="AA5" s="241" t="s">
        <v>1265</v>
      </c>
      <c r="AB5" s="241" t="s">
        <v>1266</v>
      </c>
      <c r="AC5" t="s">
        <v>1267</v>
      </c>
      <c r="AD5" s="39" t="s">
        <v>1268</v>
      </c>
      <c r="AE5" s="39" t="s">
        <v>1269</v>
      </c>
      <c r="AF5" s="98" t="s">
        <v>1270</v>
      </c>
      <c r="AG5" s="241">
        <v>-1</v>
      </c>
      <c r="AH5" s="241" t="s">
        <v>1271</v>
      </c>
      <c r="AI5" s="241" t="s">
        <v>1272</v>
      </c>
      <c r="AJ5" s="241" t="s">
        <v>1271</v>
      </c>
      <c r="AK5" s="241" t="s">
        <v>1273</v>
      </c>
      <c r="AL5" s="339" t="s">
        <v>2576</v>
      </c>
      <c r="AM5" s="339" t="s">
        <v>2578</v>
      </c>
      <c r="AV5" s="39" t="s">
        <v>1274</v>
      </c>
      <c r="AW5" s="39" t="s">
        <v>1275</v>
      </c>
      <c r="AX5" s="39" t="s">
        <v>1276</v>
      </c>
      <c r="AY5" s="39" t="s">
        <v>1277</v>
      </c>
      <c r="BA5" s="39" t="str">
        <f>"["&amp;AW5&amp;","&amp;AX5&amp;","&amp;AY5&amp;"]"</f>
        <v>[ic_dcj_8,tx_ld_bhjl_01,ui_dcj_k_1]</v>
      </c>
      <c r="BD5" s="39" t="str">
        <f>"["&amp;BA5&amp;","&amp;BA6&amp;","&amp;BA7&amp;","&amp;BA8&amp;"]"</f>
        <v>[[ic_dcj_8,tx_ld_bhjl_01,ui_dcj_k_1],[ic_dcj_9,tx_ld_lsc_01,ui_dcj_k_3],[ic_dcj_17,tx_ld_bbht_01,ui_dcj_k_3],[ic_dcj_18,tx_ld_jbp_01,ui_dcj_k_3]]</v>
      </c>
      <c r="BE5"/>
      <c r="BF5"/>
      <c r="BG5"/>
      <c r="BH5"/>
      <c r="BI5"/>
      <c r="BJ5"/>
      <c r="BK5"/>
      <c r="BL5"/>
      <c r="BM5"/>
    </row>
    <row r="6" spans="1:65" x14ac:dyDescent="0.35">
      <c r="A6" s="39">
        <v>2</v>
      </c>
      <c r="B6" s="39">
        <v>1</v>
      </c>
      <c r="C6" s="5">
        <v>200</v>
      </c>
      <c r="D6" s="5">
        <v>1000</v>
      </c>
      <c r="E6" s="5">
        <v>100000</v>
      </c>
      <c r="F6" s="5">
        <v>1000000</v>
      </c>
      <c r="G6" s="39">
        <v>0</v>
      </c>
      <c r="H6" s="39">
        <f t="shared" ref="H6:H10" si="0">C6</f>
        <v>200</v>
      </c>
      <c r="I6" s="39">
        <f t="shared" ref="I6:I8" si="1">D6*5</f>
        <v>5000</v>
      </c>
      <c r="J6" s="39" t="s">
        <v>155</v>
      </c>
      <c r="K6" s="39" t="s">
        <v>1273</v>
      </c>
      <c r="L6" s="58" t="s">
        <v>1278</v>
      </c>
      <c r="M6" s="58" t="s">
        <v>172</v>
      </c>
      <c r="N6" s="1">
        <f>15*60*6</f>
        <v>5400</v>
      </c>
      <c r="O6" s="1">
        <v>10000</v>
      </c>
      <c r="P6" s="1" t="s">
        <v>1259</v>
      </c>
      <c r="Q6" s="514" t="str">
        <f>'炮解锁|CannonUnlock'!BH2&amp;","&amp;'炮解锁|CannonUnlock'!BK2&amp;","&amp;'炮解锁|CannonUnlock'!BN2&amp;","&amp;'炮解锁|CannonUnlock'!BQ2</f>
        <v>10000,12000,10000,12000</v>
      </c>
      <c r="R6" s="514">
        <f>F6+20*'炮解锁|CannonUnlock'!A14</f>
        <v>1020000</v>
      </c>
      <c r="S6" s="58" t="s">
        <v>1279</v>
      </c>
      <c r="T6" s="58" t="s">
        <v>1280</v>
      </c>
      <c r="U6" s="58">
        <v>0.5</v>
      </c>
      <c r="V6" s="75">
        <v>0</v>
      </c>
      <c r="W6" s="75" t="s">
        <v>1281</v>
      </c>
      <c r="X6" s="75" t="s">
        <v>1282</v>
      </c>
      <c r="Y6" s="515" t="s">
        <v>1283</v>
      </c>
      <c r="Z6" s="515" t="s">
        <v>1283</v>
      </c>
      <c r="AA6" s="241" t="s">
        <v>1265</v>
      </c>
      <c r="AB6" s="241" t="s">
        <v>1284</v>
      </c>
      <c r="AC6" s="39" t="s">
        <v>1285</v>
      </c>
      <c r="AD6" s="39" t="s">
        <v>1286</v>
      </c>
      <c r="AE6" s="39" t="s">
        <v>1269</v>
      </c>
      <c r="AF6" s="98" t="s">
        <v>1287</v>
      </c>
      <c r="AG6" s="241">
        <v>2</v>
      </c>
      <c r="AH6" s="243" t="s">
        <v>1288</v>
      </c>
      <c r="AI6" s="241" t="s">
        <v>1272</v>
      </c>
      <c r="AJ6" s="243" t="s">
        <v>1289</v>
      </c>
      <c r="AK6" s="241" t="s">
        <v>1273</v>
      </c>
      <c r="AL6" s="339" t="s">
        <v>2577</v>
      </c>
      <c r="AM6" s="339" t="s">
        <v>2578</v>
      </c>
      <c r="AV6" s="39" t="s">
        <v>1290</v>
      </c>
      <c r="AW6" s="39" t="s">
        <v>1291</v>
      </c>
      <c r="AX6" s="39" t="s">
        <v>1292</v>
      </c>
      <c r="AY6" s="39" t="s">
        <v>1293</v>
      </c>
      <c r="BA6" s="39" t="str">
        <f t="shared" ref="BA6:BA33" si="2">"["&amp;AW6&amp;","&amp;AX6&amp;","&amp;AY6&amp;"]"</f>
        <v>[ic_dcj_9,tx_ld_lsc_01,ui_dcj_k_3]</v>
      </c>
      <c r="BD6" s="39" t="str">
        <f>"["&amp;BA10&amp;","&amp;BA11&amp;","&amp;BA12&amp;","&amp;BA13&amp;"]"</f>
        <v>[[ic_dcj_4,tx_ld_as_01,ui_dcj_k_3],[ic_dcj_1,tx_ld_cjlzfks_01,ui_dcj_k_1],[ic_dcj_17,tx_ld_bbht_01,ui_dcj_k_3],[ic_dcj_3,tx_ld_xyxkp_01,ui_dcj_k_3]]</v>
      </c>
      <c r="BE6"/>
      <c r="BF6"/>
      <c r="BG6"/>
      <c r="BH6"/>
      <c r="BI6"/>
      <c r="BJ6"/>
      <c r="BK6"/>
      <c r="BL6"/>
      <c r="BM6"/>
    </row>
    <row r="7" spans="1:65" x14ac:dyDescent="0.35">
      <c r="A7" s="39">
        <v>3</v>
      </c>
      <c r="B7" s="39">
        <v>1</v>
      </c>
      <c r="C7" s="5">
        <v>2000</v>
      </c>
      <c r="D7" s="5">
        <v>10000</v>
      </c>
      <c r="E7" s="5">
        <v>1000000</v>
      </c>
      <c r="F7" s="5">
        <v>10000000</v>
      </c>
      <c r="G7" s="39">
        <v>0</v>
      </c>
      <c r="H7" s="39">
        <f t="shared" si="0"/>
        <v>2000</v>
      </c>
      <c r="I7" s="39">
        <f t="shared" si="1"/>
        <v>50000</v>
      </c>
      <c r="J7" s="39" t="s">
        <v>155</v>
      </c>
      <c r="K7" s="39" t="s">
        <v>1273</v>
      </c>
      <c r="L7" s="58"/>
      <c r="M7" s="58" t="s">
        <v>172</v>
      </c>
      <c r="N7" s="1">
        <f>18*60*6</f>
        <v>6480</v>
      </c>
      <c r="O7" s="1"/>
      <c r="P7" s="1" t="s">
        <v>1294</v>
      </c>
      <c r="Q7" s="514" t="str">
        <f>'炮解锁|CannonUnlock'!BH3&amp;","&amp;'炮解锁|CannonUnlock'!BK3&amp;","&amp;'炮解锁|CannonUnlock'!BN3&amp;","&amp;'炮解锁|CannonUnlock'!BQ3</f>
        <v>100000,120000,100000,120000</v>
      </c>
      <c r="R7" s="514">
        <f>F7+20*'炮解锁|CannonUnlock'!A19</f>
        <v>10200000</v>
      </c>
      <c r="S7" s="58" t="s">
        <v>1295</v>
      </c>
      <c r="T7" s="58" t="s">
        <v>1296</v>
      </c>
      <c r="U7" s="58">
        <v>1</v>
      </c>
      <c r="V7" s="75">
        <v>0</v>
      </c>
      <c r="W7" s="75" t="s">
        <v>1297</v>
      </c>
      <c r="X7" s="75" t="s">
        <v>1298</v>
      </c>
      <c r="Y7" s="515" t="s">
        <v>1299</v>
      </c>
      <c r="Z7" s="516" t="s">
        <v>1299</v>
      </c>
      <c r="AA7" s="241" t="s">
        <v>1265</v>
      </c>
      <c r="AB7" s="241" t="s">
        <v>1266</v>
      </c>
      <c r="AC7" s="39" t="s">
        <v>1300</v>
      </c>
      <c r="AD7" s="39" t="s">
        <v>1301</v>
      </c>
      <c r="AE7" s="39" t="s">
        <v>1269</v>
      </c>
      <c r="AF7" s="98" t="s">
        <v>1302</v>
      </c>
      <c r="AG7" s="241">
        <v>5</v>
      </c>
      <c r="AH7" s="243" t="s">
        <v>1303</v>
      </c>
      <c r="AI7" s="241" t="s">
        <v>1272</v>
      </c>
      <c r="AJ7" s="243" t="s">
        <v>1304</v>
      </c>
      <c r="AK7" s="241" t="s">
        <v>1273</v>
      </c>
      <c r="AL7" s="339" t="s">
        <v>2579</v>
      </c>
      <c r="AM7" s="339" t="s">
        <v>2580</v>
      </c>
      <c r="AV7" s="39" t="s">
        <v>1305</v>
      </c>
      <c r="AW7" s="39" t="s">
        <v>1306</v>
      </c>
      <c r="AX7" s="39" t="s">
        <v>1307</v>
      </c>
      <c r="AY7" s="39" t="s">
        <v>1293</v>
      </c>
      <c r="BA7" s="39" t="str">
        <f t="shared" si="2"/>
        <v>[ic_dcj_17,tx_ld_bbht_01,ui_dcj_k_3]</v>
      </c>
      <c r="BD7" s="39" t="str">
        <f>"["&amp;BA15&amp;","&amp;BA16&amp;","&amp;BA17&amp;","&amp;BA18&amp;"]"</f>
        <v>[[ic_dcj_5,tx_ld_cs_01,ui_dcj_k_3],[ic_dcj_7,tx_ld_jc_01,ui_dcj_k_1],[ic_dcj_1,tx_ld_zjlzfks_01,ui_dcj_k_3],[ic_dcj_18,tx_ld_jbp_01,ui_dcj_k_3]]</v>
      </c>
      <c r="BE7"/>
      <c r="BF7"/>
      <c r="BG7"/>
      <c r="BH7"/>
      <c r="BI7"/>
      <c r="BJ7"/>
      <c r="BK7"/>
      <c r="BL7"/>
      <c r="BM7"/>
    </row>
    <row r="8" spans="1:65" x14ac:dyDescent="0.35">
      <c r="A8" s="39">
        <v>4</v>
      </c>
      <c r="B8" s="39">
        <v>1</v>
      </c>
      <c r="C8" s="5">
        <v>20000</v>
      </c>
      <c r="D8" s="5">
        <v>100000</v>
      </c>
      <c r="E8" s="5">
        <v>10000000</v>
      </c>
      <c r="F8" s="5">
        <v>-1</v>
      </c>
      <c r="G8" s="39">
        <v>0</v>
      </c>
      <c r="H8" s="39">
        <f t="shared" si="0"/>
        <v>20000</v>
      </c>
      <c r="I8" s="39">
        <f t="shared" si="1"/>
        <v>500000</v>
      </c>
      <c r="J8" s="39" t="s">
        <v>155</v>
      </c>
      <c r="K8" s="39" t="s">
        <v>1273</v>
      </c>
      <c r="L8" s="58"/>
      <c r="M8" s="58" t="s">
        <v>172</v>
      </c>
      <c r="N8" s="1">
        <f>25*60*6</f>
        <v>9000</v>
      </c>
      <c r="O8" s="1"/>
      <c r="P8" s="1" t="s">
        <v>1308</v>
      </c>
      <c r="Q8" s="1"/>
      <c r="R8" s="1"/>
      <c r="S8" s="58" t="s">
        <v>1295</v>
      </c>
      <c r="T8" s="58" t="s">
        <v>1296</v>
      </c>
      <c r="U8" s="58">
        <v>1</v>
      </c>
      <c r="V8" s="75">
        <v>0</v>
      </c>
      <c r="W8" s="75" t="s">
        <v>1309</v>
      </c>
      <c r="X8" s="75" t="s">
        <v>1310</v>
      </c>
      <c r="Y8" s="515" t="s">
        <v>1311</v>
      </c>
      <c r="Z8" s="516" t="s">
        <v>1311</v>
      </c>
      <c r="AA8" s="241" t="s">
        <v>1265</v>
      </c>
      <c r="AB8" s="241" t="s">
        <v>1284</v>
      </c>
      <c r="AC8" s="39" t="s">
        <v>160</v>
      </c>
      <c r="AD8" s="39" t="s">
        <v>1312</v>
      </c>
      <c r="AE8" s="39" t="s">
        <v>1269</v>
      </c>
      <c r="AF8" s="98" t="s">
        <v>1313</v>
      </c>
      <c r="AG8" s="241">
        <v>10</v>
      </c>
      <c r="AH8" s="243" t="s">
        <v>1314</v>
      </c>
      <c r="AI8" s="241" t="s">
        <v>1272</v>
      </c>
      <c r="AJ8" s="243" t="s">
        <v>1315</v>
      </c>
      <c r="AL8" s="339" t="s">
        <v>2581</v>
      </c>
      <c r="AM8" s="339" t="s">
        <v>2582</v>
      </c>
      <c r="AV8" s="39" t="s">
        <v>1316</v>
      </c>
      <c r="AW8" s="39" t="s">
        <v>1317</v>
      </c>
      <c r="AX8" s="39" t="s">
        <v>1318</v>
      </c>
      <c r="AY8" s="39" t="s">
        <v>1293</v>
      </c>
      <c r="BA8" s="39" t="str">
        <f t="shared" si="2"/>
        <v>[ic_dcj_18,tx_ld_jbp_01,ui_dcj_k_3]</v>
      </c>
      <c r="BD8" s="39" t="str">
        <f>"["&amp;BA20&amp;","&amp;BA21&amp;","&amp;BA22&amp;","&amp;BA23&amp;"]"</f>
        <v>[[ic_dcj_6,tx_ld_xlj_01,ui_dcj_k_3],[ic_dcj_7,tx_ld_jc_01,ui_dcj_k_1],[ic_dcj_1,tx_ld_gjlzfks_01,ui_dcj_k_3],[ic_dcj_5,tx_ld_cs_01,ui_dcj_k_3]]</v>
      </c>
      <c r="BE8"/>
      <c r="BF8"/>
      <c r="BG8"/>
      <c r="BH8"/>
      <c r="BI8"/>
      <c r="BJ8"/>
      <c r="BK8"/>
      <c r="BL8"/>
      <c r="BM8"/>
    </row>
    <row r="9" spans="1:65" ht="16.2" x14ac:dyDescent="0.4">
      <c r="A9" s="39">
        <v>5</v>
      </c>
      <c r="B9" s="39">
        <v>0</v>
      </c>
      <c r="C9" s="510">
        <v>10000</v>
      </c>
      <c r="D9" s="5">
        <v>100000</v>
      </c>
      <c r="E9" s="509">
        <v>2000000</v>
      </c>
      <c r="F9" s="5">
        <v>-1</v>
      </c>
      <c r="G9" s="39">
        <v>0</v>
      </c>
      <c r="H9" s="330">
        <f t="shared" si="0"/>
        <v>10000</v>
      </c>
      <c r="I9" s="39">
        <v>0</v>
      </c>
      <c r="J9" s="39">
        <v>3</v>
      </c>
      <c r="K9" s="39">
        <v>-1</v>
      </c>
      <c r="M9" s="58" t="s">
        <v>172</v>
      </c>
      <c r="P9" s="1"/>
      <c r="S9" s="58" t="s">
        <v>1295</v>
      </c>
      <c r="T9" s="58" t="s">
        <v>1296</v>
      </c>
      <c r="U9" s="58">
        <v>1</v>
      </c>
      <c r="V9" s="58" t="s">
        <v>172</v>
      </c>
      <c r="W9" s="58" t="s">
        <v>1319</v>
      </c>
      <c r="X9" s="58" t="s">
        <v>1320</v>
      </c>
      <c r="Y9" s="515" t="s">
        <v>1321</v>
      </c>
      <c r="Z9" s="515" t="s">
        <v>1321</v>
      </c>
      <c r="AA9" s="241" t="s">
        <v>1265</v>
      </c>
      <c r="AB9" s="241" t="s">
        <v>1266</v>
      </c>
      <c r="AC9" s="39">
        <v>0</v>
      </c>
      <c r="AD9" s="39" t="s">
        <v>1322</v>
      </c>
      <c r="AE9" s="39">
        <v>0</v>
      </c>
      <c r="AF9" s="98" t="s">
        <v>1323</v>
      </c>
      <c r="AG9" s="241">
        <v>-1</v>
      </c>
      <c r="AH9" s="241" t="s">
        <v>1324</v>
      </c>
      <c r="AI9" s="241" t="s">
        <v>1272</v>
      </c>
      <c r="AJ9" s="241" t="s">
        <v>1324</v>
      </c>
      <c r="AL9" s="339" t="str">
        <f>AL7</f>
        <v>[0,4000000]</v>
      </c>
      <c r="AM9" s="339" t="str">
        <f>AM7</f>
        <v>[[0,0],[0,0],[0,0],[0,0],[0,0],[0,2000000]]</v>
      </c>
      <c r="BA9" s="39" t="str">
        <f t="shared" si="2"/>
        <v>[,,]</v>
      </c>
      <c r="BD9" s="39" t="str">
        <f>"["&amp;BA25&amp;","&amp;BA26&amp;","&amp;BA27&amp;","&amp;BA28&amp;"]"</f>
        <v>[[ic_dcj_15,tx_ld_pm_01,ui_dcj_k_1],[ic_dcj_14,tx_ld_zd_01,ui_dcj_k_3],[ic_dcj_16,tx_ld_xyjf_01,ui_dcj_k_3],[ic_dcj_12,tx_ld_pb_02,ui_dcj_k_3]]</v>
      </c>
      <c r="BE9"/>
      <c r="BF9"/>
      <c r="BG9"/>
      <c r="BH9"/>
      <c r="BI9"/>
      <c r="BJ9"/>
      <c r="BK9"/>
      <c r="BL9"/>
      <c r="BM9"/>
    </row>
    <row r="10" spans="1:65" x14ac:dyDescent="0.35">
      <c r="A10" s="39">
        <v>6</v>
      </c>
      <c r="B10" s="39">
        <v>0</v>
      </c>
      <c r="C10" s="5">
        <v>20000</v>
      </c>
      <c r="D10" s="5">
        <v>100000</v>
      </c>
      <c r="E10" s="5">
        <v>15000000</v>
      </c>
      <c r="F10" s="5">
        <v>-1</v>
      </c>
      <c r="G10" s="39">
        <v>2</v>
      </c>
      <c r="H10" s="39">
        <f t="shared" si="0"/>
        <v>20000</v>
      </c>
      <c r="I10" s="39">
        <v>0</v>
      </c>
      <c r="J10" s="39" t="s">
        <v>155</v>
      </c>
      <c r="K10" s="39" t="s">
        <v>1273</v>
      </c>
      <c r="L10" s="58"/>
      <c r="M10" s="58" t="s">
        <v>172</v>
      </c>
      <c r="N10" s="58"/>
      <c r="O10" s="58"/>
      <c r="P10" s="1"/>
      <c r="Q10" s="58"/>
      <c r="R10" s="58"/>
      <c r="S10" s="58" t="s">
        <v>1295</v>
      </c>
      <c r="T10" s="58" t="s">
        <v>1296</v>
      </c>
      <c r="U10" s="58">
        <v>1</v>
      </c>
      <c r="V10" s="75">
        <v>0</v>
      </c>
      <c r="W10" s="75" t="s">
        <v>1325</v>
      </c>
      <c r="X10" s="75" t="s">
        <v>1326</v>
      </c>
      <c r="Y10" s="515" t="s">
        <v>1327</v>
      </c>
      <c r="Z10" s="516" t="s">
        <v>1327</v>
      </c>
      <c r="AA10" s="241" t="s">
        <v>1265</v>
      </c>
      <c r="AB10" s="241" t="s">
        <v>1266</v>
      </c>
      <c r="AC10" s="39" t="s">
        <v>1328</v>
      </c>
      <c r="AD10" s="39" t="s">
        <v>1329</v>
      </c>
      <c r="AE10" s="39" t="s">
        <v>1269</v>
      </c>
      <c r="AF10" s="98" t="s">
        <v>1330</v>
      </c>
      <c r="AG10" s="241">
        <v>-1</v>
      </c>
      <c r="AH10" s="241" t="s">
        <v>1324</v>
      </c>
      <c r="AI10" s="241" t="s">
        <v>1272</v>
      </c>
      <c r="AJ10" s="241" t="s">
        <v>1324</v>
      </c>
      <c r="AL10" s="339" t="str">
        <f>AL8</f>
        <v>[0,60000000]</v>
      </c>
      <c r="AM10" s="339" t="str">
        <f>AM8</f>
        <v>[[0,0],[0,0],[0,0],[0,0],[0,0],[0,2000000],[0,2000000],[0,4000000]]</v>
      </c>
      <c r="AV10" s="39" t="s">
        <v>1331</v>
      </c>
      <c r="AW10" s="39" t="s">
        <v>1332</v>
      </c>
      <c r="AX10" s="39" t="s">
        <v>1333</v>
      </c>
      <c r="AY10" s="39" t="s">
        <v>1293</v>
      </c>
      <c r="BA10" s="39" t="str">
        <f t="shared" si="2"/>
        <v>[ic_dcj_4,tx_ld_as_01,ui_dcj_k_3]</v>
      </c>
      <c r="BD10" s="39" t="str">
        <f>"["&amp;BA30&amp;","&amp;BA31&amp;","&amp;BA32&amp;","&amp;BA33&amp;"]"</f>
        <v>[[ic_dcj_13,tx_ld_hjyhzz_01,ui_dcj_k_1],[ic_dcj_12,tx_ld_pb_01,ui_dcj_k_3],[ic_dcj_7,tx_ld_jc_01,ui_dcj_k_1],[ic_dcj_1,tx_ld_gjlzfks_01,ui_dcj_k_3]]</v>
      </c>
      <c r="BE10"/>
      <c r="BF10"/>
      <c r="BG10"/>
      <c r="BH10"/>
      <c r="BI10"/>
      <c r="BJ10"/>
      <c r="BK10"/>
      <c r="BL10"/>
      <c r="BM10"/>
    </row>
    <row r="11" spans="1:65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M11" s="58"/>
      <c r="AV11" s="39" t="s">
        <v>248</v>
      </c>
      <c r="AW11" s="39" t="s">
        <v>1334</v>
      </c>
      <c r="AX11" s="39" t="s">
        <v>1335</v>
      </c>
      <c r="AY11" s="39" t="s">
        <v>1277</v>
      </c>
      <c r="BA11" s="39" t="str">
        <f t="shared" si="2"/>
        <v>[ic_dcj_1,tx_ld_cjlzfks_01,ui_dcj_k_1]</v>
      </c>
      <c r="BE11"/>
      <c r="BF11"/>
      <c r="BG11"/>
      <c r="BH11"/>
      <c r="BI11"/>
      <c r="BJ11"/>
      <c r="BK11"/>
      <c r="BL11"/>
      <c r="BM11"/>
    </row>
    <row r="12" spans="1:65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AV12" s="73" t="s">
        <v>1305</v>
      </c>
      <c r="AW12" s="73" t="s">
        <v>1306</v>
      </c>
      <c r="AX12" s="73" t="s">
        <v>1307</v>
      </c>
      <c r="AY12" s="73" t="s">
        <v>1293</v>
      </c>
      <c r="BA12" s="39" t="str">
        <f t="shared" si="2"/>
        <v>[ic_dcj_17,tx_ld_bbht_01,ui_dcj_k_3]</v>
      </c>
      <c r="BE12"/>
      <c r="BF12"/>
      <c r="BG12"/>
      <c r="BH12"/>
      <c r="BI12"/>
      <c r="BJ12"/>
      <c r="BK12"/>
      <c r="BL12"/>
      <c r="BM12"/>
    </row>
    <row r="13" spans="1:65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AV13" s="39" t="s">
        <v>1336</v>
      </c>
      <c r="AW13" s="39" t="s">
        <v>1337</v>
      </c>
      <c r="AX13" s="39" t="s">
        <v>1338</v>
      </c>
      <c r="AY13" s="39" t="s">
        <v>1293</v>
      </c>
      <c r="BA13" s="39" t="str">
        <f t="shared" si="2"/>
        <v>[ic_dcj_3,tx_ld_xyxkp_01,ui_dcj_k_3]</v>
      </c>
      <c r="BE13"/>
      <c r="BF13"/>
      <c r="BG13"/>
      <c r="BH13"/>
      <c r="BI13"/>
      <c r="BJ13"/>
      <c r="BK13"/>
      <c r="BL13"/>
      <c r="BM13"/>
    </row>
    <row r="14" spans="1:65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BA14" s="39" t="str">
        <f t="shared" si="2"/>
        <v>[,,]</v>
      </c>
      <c r="BE14"/>
      <c r="BF14"/>
      <c r="BG14"/>
      <c r="BH14"/>
      <c r="BI14"/>
      <c r="BJ14"/>
      <c r="BK14"/>
      <c r="BL14"/>
      <c r="BM14"/>
    </row>
    <row r="15" spans="1:65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AC15"/>
      <c r="AD15"/>
      <c r="AV15" s="39" t="s">
        <v>1339</v>
      </c>
      <c r="AW15" s="39" t="s">
        <v>1340</v>
      </c>
      <c r="AX15" s="39" t="s">
        <v>1341</v>
      </c>
      <c r="AY15" s="39" t="s">
        <v>1293</v>
      </c>
      <c r="BA15" s="39" t="str">
        <f t="shared" si="2"/>
        <v>[ic_dcj_5,tx_ld_cs_01,ui_dcj_k_3]</v>
      </c>
      <c r="BE15"/>
      <c r="BF15"/>
      <c r="BG15"/>
      <c r="BH15"/>
      <c r="BI15"/>
      <c r="BJ15"/>
      <c r="BK15"/>
      <c r="BL15"/>
      <c r="BM15"/>
    </row>
    <row r="16" spans="1:65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Z16"/>
      <c r="AC16"/>
      <c r="AD16"/>
      <c r="AV16" s="39" t="s">
        <v>1342</v>
      </c>
      <c r="AW16" s="39" t="s">
        <v>1343</v>
      </c>
      <c r="AX16" s="39" t="s">
        <v>1344</v>
      </c>
      <c r="AY16" s="39" t="s">
        <v>1277</v>
      </c>
      <c r="BA16" s="39" t="str">
        <f t="shared" si="2"/>
        <v>[ic_dcj_7,tx_ld_jc_01,ui_dcj_k_1]</v>
      </c>
      <c r="BE16"/>
      <c r="BF16"/>
      <c r="BG16"/>
      <c r="BH16"/>
      <c r="BI16"/>
      <c r="BJ16"/>
      <c r="BK16"/>
      <c r="BL16"/>
      <c r="BM16"/>
    </row>
    <row r="17" spans="1:65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AC17"/>
      <c r="AD17"/>
      <c r="AV17" s="39" t="s">
        <v>248</v>
      </c>
      <c r="AW17" s="39" t="s">
        <v>1334</v>
      </c>
      <c r="AX17" s="39" t="s">
        <v>1345</v>
      </c>
      <c r="AY17" s="39" t="s">
        <v>1293</v>
      </c>
      <c r="BA17" s="39" t="str">
        <f t="shared" si="2"/>
        <v>[ic_dcj_1,tx_ld_zjlzfks_01,ui_dcj_k_3]</v>
      </c>
      <c r="BE17"/>
      <c r="BF17"/>
      <c r="BG17"/>
      <c r="BH17"/>
      <c r="BI17"/>
      <c r="BJ17"/>
      <c r="BK17"/>
      <c r="BL17"/>
      <c r="BM17"/>
    </row>
    <row r="18" spans="1:65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AC18"/>
      <c r="AD18"/>
      <c r="AV18" s="73" t="s">
        <v>1316</v>
      </c>
      <c r="AW18" s="73" t="s">
        <v>1317</v>
      </c>
      <c r="AX18" s="73" t="s">
        <v>1318</v>
      </c>
      <c r="AY18" s="73" t="s">
        <v>1293</v>
      </c>
      <c r="BA18" s="39" t="str">
        <f t="shared" si="2"/>
        <v>[ic_dcj_18,tx_ld_jbp_01,ui_dcj_k_3]</v>
      </c>
      <c r="BD18" s="73" t="s">
        <v>1346</v>
      </c>
      <c r="BE18" s="73" t="s">
        <v>1347</v>
      </c>
      <c r="BF18" s="73" t="s">
        <v>1348</v>
      </c>
      <c r="BG18" s="73" t="s">
        <v>1293</v>
      </c>
      <c r="BH18"/>
      <c r="BI18"/>
      <c r="BJ18"/>
      <c r="BK18"/>
      <c r="BL18"/>
      <c r="BM18"/>
    </row>
    <row r="19" spans="1:65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BA19" s="39" t="str">
        <f t="shared" si="2"/>
        <v>[,,]</v>
      </c>
      <c r="BE19"/>
      <c r="BF19"/>
      <c r="BG19"/>
      <c r="BH19"/>
      <c r="BI19"/>
      <c r="BJ19"/>
      <c r="BK19"/>
      <c r="BL19"/>
      <c r="BM19"/>
    </row>
    <row r="20" spans="1:65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AV20" s="39" t="s">
        <v>1349</v>
      </c>
      <c r="AW20" s="39" t="s">
        <v>1350</v>
      </c>
      <c r="AX20" s="39" t="s">
        <v>1351</v>
      </c>
      <c r="AY20" s="39" t="s">
        <v>1293</v>
      </c>
      <c r="BA20" s="39" t="str">
        <f t="shared" si="2"/>
        <v>[ic_dcj_6,tx_ld_xlj_01,ui_dcj_k_3]</v>
      </c>
      <c r="BE20"/>
      <c r="BF20"/>
      <c r="BG20"/>
      <c r="BH20"/>
      <c r="BI20"/>
      <c r="BJ20"/>
      <c r="BK20"/>
      <c r="BL20"/>
      <c r="BM20"/>
    </row>
    <row r="21" spans="1:65" x14ac:dyDescent="0.35">
      <c r="AV21" s="39" t="s">
        <v>1342</v>
      </c>
      <c r="AW21" s="39" t="s">
        <v>1343</v>
      </c>
      <c r="AX21" s="39" t="s">
        <v>1344</v>
      </c>
      <c r="AY21" s="39" t="s">
        <v>1277</v>
      </c>
      <c r="BA21" s="39" t="str">
        <f t="shared" si="2"/>
        <v>[ic_dcj_7,tx_ld_jc_01,ui_dcj_k_1]</v>
      </c>
      <c r="BE21"/>
      <c r="BF21"/>
      <c r="BG21"/>
      <c r="BH21"/>
      <c r="BI21"/>
      <c r="BJ21"/>
      <c r="BK21"/>
      <c r="BL21"/>
      <c r="BM21"/>
    </row>
    <row r="22" spans="1:65" x14ac:dyDescent="0.35">
      <c r="AV22" s="39" t="s">
        <v>248</v>
      </c>
      <c r="AW22" s="39" t="s">
        <v>1334</v>
      </c>
      <c r="AX22" s="39" t="s">
        <v>1352</v>
      </c>
      <c r="AY22" s="39" t="s">
        <v>1293</v>
      </c>
      <c r="BA22" s="39" t="str">
        <f t="shared" si="2"/>
        <v>[ic_dcj_1,tx_ld_gjlzfks_01,ui_dcj_k_3]</v>
      </c>
      <c r="BE22"/>
      <c r="BF22"/>
      <c r="BG22"/>
      <c r="BH22"/>
      <c r="BI22"/>
      <c r="BJ22"/>
      <c r="BK22"/>
      <c r="BL22"/>
      <c r="BM22"/>
    </row>
    <row r="23" spans="1:65" x14ac:dyDescent="0.35">
      <c r="AV23" s="73" t="s">
        <v>1339</v>
      </c>
      <c r="AW23" s="73" t="s">
        <v>1340</v>
      </c>
      <c r="AX23" s="73" t="s">
        <v>1341</v>
      </c>
      <c r="AY23" s="73" t="s">
        <v>1293</v>
      </c>
      <c r="BA23" s="39" t="str">
        <f t="shared" si="2"/>
        <v>[ic_dcj_5,tx_ld_cs_01,ui_dcj_k_3]</v>
      </c>
      <c r="BE23"/>
      <c r="BF23"/>
      <c r="BG23"/>
      <c r="BH23"/>
      <c r="BI23"/>
      <c r="BJ23"/>
      <c r="BK23"/>
      <c r="BL23"/>
      <c r="BM23"/>
    </row>
    <row r="24" spans="1:65" x14ac:dyDescent="0.35">
      <c r="BA24" s="39" t="str">
        <f t="shared" si="2"/>
        <v>[,,]</v>
      </c>
      <c r="BE24"/>
      <c r="BF24"/>
      <c r="BG24"/>
      <c r="BH24"/>
      <c r="BI24"/>
      <c r="BJ24"/>
      <c r="BK24"/>
      <c r="BL24"/>
      <c r="BM24"/>
    </row>
    <row r="25" spans="1:65" x14ac:dyDescent="0.35">
      <c r="AV25" s="39" t="s">
        <v>1353</v>
      </c>
      <c r="AW25" s="39" t="s">
        <v>1354</v>
      </c>
      <c r="AX25" s="39" t="s">
        <v>1355</v>
      </c>
      <c r="AY25" s="39" t="s">
        <v>1277</v>
      </c>
      <c r="BA25" s="39" t="str">
        <f t="shared" si="2"/>
        <v>[ic_dcj_15,tx_ld_pm_01,ui_dcj_k_1]</v>
      </c>
      <c r="BE25"/>
      <c r="BF25"/>
      <c r="BG25"/>
      <c r="BH25"/>
      <c r="BI25"/>
      <c r="BJ25"/>
      <c r="BK25"/>
      <c r="BL25"/>
      <c r="BM25"/>
    </row>
    <row r="26" spans="1:65" x14ac:dyDescent="0.35">
      <c r="AV26" s="39" t="s">
        <v>1356</v>
      </c>
      <c r="AW26" s="39" t="s">
        <v>1357</v>
      </c>
      <c r="AX26" s="39" t="s">
        <v>1358</v>
      </c>
      <c r="AY26" s="39" t="s">
        <v>1293</v>
      </c>
      <c r="BA26" s="39" t="str">
        <f t="shared" si="2"/>
        <v>[ic_dcj_14,tx_ld_zd_01,ui_dcj_k_3]</v>
      </c>
      <c r="BE26"/>
      <c r="BF26"/>
      <c r="BG26"/>
      <c r="BH26"/>
      <c r="BI26"/>
      <c r="BJ26"/>
      <c r="BK26"/>
      <c r="BL26"/>
      <c r="BM26"/>
    </row>
    <row r="27" spans="1:65" x14ac:dyDescent="0.35">
      <c r="AV27" s="39" t="s">
        <v>1359</v>
      </c>
      <c r="AW27" s="39" t="s">
        <v>1360</v>
      </c>
      <c r="AX27" s="39" t="s">
        <v>1361</v>
      </c>
      <c r="AY27" s="39" t="s">
        <v>1293</v>
      </c>
      <c r="BA27" s="39" t="str">
        <f t="shared" si="2"/>
        <v>[ic_dcj_16,tx_ld_xyjf_01,ui_dcj_k_3]</v>
      </c>
      <c r="BE27"/>
      <c r="BF27"/>
      <c r="BG27"/>
      <c r="BH27"/>
      <c r="BI27"/>
      <c r="BJ27"/>
      <c r="BK27"/>
      <c r="BL27"/>
      <c r="BM27"/>
    </row>
    <row r="28" spans="1:65" x14ac:dyDescent="0.35">
      <c r="AV28" s="39" t="s">
        <v>978</v>
      </c>
      <c r="AW28" s="39" t="s">
        <v>1362</v>
      </c>
      <c r="AX28" s="39" t="s">
        <v>1363</v>
      </c>
      <c r="AY28" s="39" t="s">
        <v>1293</v>
      </c>
      <c r="BA28" s="39" t="str">
        <f t="shared" si="2"/>
        <v>[ic_dcj_12,tx_ld_pb_02,ui_dcj_k_3]</v>
      </c>
      <c r="BE28"/>
      <c r="BF28"/>
      <c r="BG28"/>
      <c r="BH28"/>
      <c r="BI28"/>
      <c r="BJ28"/>
      <c r="BK28"/>
      <c r="BL28"/>
      <c r="BM28"/>
    </row>
    <row r="29" spans="1:65" x14ac:dyDescent="0.35">
      <c r="BA29" s="39" t="str">
        <f t="shared" si="2"/>
        <v>[,,]</v>
      </c>
      <c r="BE29"/>
      <c r="BF29"/>
      <c r="BG29"/>
      <c r="BH29"/>
      <c r="BI29"/>
      <c r="BJ29"/>
      <c r="BK29"/>
      <c r="BL29"/>
      <c r="BM29"/>
    </row>
    <row r="30" spans="1:65" x14ac:dyDescent="0.35">
      <c r="AV30" s="39" t="s">
        <v>1364</v>
      </c>
      <c r="AW30" s="39" t="s">
        <v>1365</v>
      </c>
      <c r="AX30" s="39" t="s">
        <v>1366</v>
      </c>
      <c r="AY30" s="39" t="s">
        <v>1277</v>
      </c>
      <c r="BA30" s="39" t="str">
        <f t="shared" si="2"/>
        <v>[ic_dcj_13,tx_ld_hjyhzz_01,ui_dcj_k_1]</v>
      </c>
      <c r="BE30"/>
      <c r="BF30"/>
      <c r="BG30"/>
      <c r="BH30"/>
      <c r="BI30"/>
      <c r="BJ30"/>
      <c r="BK30"/>
      <c r="BL30"/>
      <c r="BM30"/>
    </row>
    <row r="31" spans="1:65" x14ac:dyDescent="0.35">
      <c r="AV31" s="39" t="s">
        <v>1367</v>
      </c>
      <c r="AW31" s="39" t="s">
        <v>1362</v>
      </c>
      <c r="AX31" s="39" t="s">
        <v>1368</v>
      </c>
      <c r="AY31" s="39" t="s">
        <v>1293</v>
      </c>
      <c r="BA31" s="39" t="str">
        <f t="shared" si="2"/>
        <v>[ic_dcj_12,tx_ld_pb_01,ui_dcj_k_3]</v>
      </c>
      <c r="BE31"/>
      <c r="BF31"/>
      <c r="BG31"/>
      <c r="BH31"/>
      <c r="BI31"/>
      <c r="BJ31"/>
      <c r="BK31"/>
      <c r="BL31"/>
      <c r="BM31"/>
    </row>
    <row r="32" spans="1:65" x14ac:dyDescent="0.35">
      <c r="AV32" s="39" t="s">
        <v>1342</v>
      </c>
      <c r="AW32" s="39" t="s">
        <v>1343</v>
      </c>
      <c r="AX32" s="39" t="s">
        <v>1344</v>
      </c>
      <c r="AY32" s="39" t="s">
        <v>1277</v>
      </c>
      <c r="BA32" s="39" t="str">
        <f t="shared" si="2"/>
        <v>[ic_dcj_7,tx_ld_jc_01,ui_dcj_k_1]</v>
      </c>
      <c r="BE32"/>
      <c r="BF32"/>
      <c r="BG32"/>
      <c r="BH32"/>
      <c r="BI32"/>
      <c r="BJ32"/>
      <c r="BK32"/>
      <c r="BL32"/>
      <c r="BM32"/>
    </row>
    <row r="33" spans="48:65" x14ac:dyDescent="0.35">
      <c r="AV33" s="39" t="s">
        <v>248</v>
      </c>
      <c r="AW33" s="39" t="s">
        <v>1334</v>
      </c>
      <c r="AX33" s="39" t="s">
        <v>1352</v>
      </c>
      <c r="AY33" s="39" t="s">
        <v>1293</v>
      </c>
      <c r="BA33" s="39" t="str">
        <f t="shared" si="2"/>
        <v>[ic_dcj_1,tx_ld_gjlzfks_01,ui_dcj_k_3]</v>
      </c>
      <c r="BE33"/>
      <c r="BF33"/>
      <c r="BG33"/>
      <c r="BH33"/>
      <c r="BI33"/>
      <c r="BJ33"/>
      <c r="BK33"/>
      <c r="BL33"/>
      <c r="BM33"/>
    </row>
  </sheetData>
  <phoneticPr fontId="64" type="noConversion"/>
  <conditionalFormatting sqref="P4">
    <cfRule type="containsText" dxfId="2401" priority="8" operator="containsText" text=" ">
      <formula>NOT(ISERROR(SEARCH(" ",P4)))</formula>
    </cfRule>
  </conditionalFormatting>
  <conditionalFormatting sqref="Y5">
    <cfRule type="containsText" dxfId="2400" priority="12" operator="containsText" text=" ">
      <formula>NOT(ISERROR(SEARCH(" ",Y5)))</formula>
    </cfRule>
  </conditionalFormatting>
  <conditionalFormatting sqref="Z5">
    <cfRule type="containsText" dxfId="2399" priority="15" operator="containsText" text=" ">
      <formula>NOT(ISERROR(SEARCH(" ",Z5)))</formula>
    </cfRule>
  </conditionalFormatting>
  <conditionalFormatting sqref="Y6">
    <cfRule type="containsText" dxfId="2398" priority="11" operator="containsText" text=" ">
      <formula>NOT(ISERROR(SEARCH(" ",Y6)))</formula>
    </cfRule>
    <cfRule type="containsText" dxfId="2397" priority="13" operator="containsText" text=" ">
      <formula>NOT(ISERROR(SEARCH(" ",Y6)))</formula>
    </cfRule>
  </conditionalFormatting>
  <conditionalFormatting sqref="Z6">
    <cfRule type="containsText" dxfId="2396" priority="14" operator="containsText" text=" ">
      <formula>NOT(ISERROR(SEARCH(" ",Z6)))</formula>
    </cfRule>
  </conditionalFormatting>
  <conditionalFormatting sqref="Y7">
    <cfRule type="containsText" dxfId="2395" priority="27" operator="containsText" text=" ">
      <formula>NOT(ISERROR(SEARCH(" ",Y7)))</formula>
    </cfRule>
  </conditionalFormatting>
  <conditionalFormatting sqref="AB7">
    <cfRule type="containsText" dxfId="2394" priority="56" operator="containsText" text=" ">
      <formula>NOT(ISERROR(SEARCH(" ",AB7)))</formula>
    </cfRule>
  </conditionalFormatting>
  <conditionalFormatting sqref="Y8">
    <cfRule type="containsText" dxfId="2393" priority="25" operator="containsText" text=" ">
      <formula>NOT(ISERROR(SEARCH(" ",Y8)))</formula>
    </cfRule>
  </conditionalFormatting>
  <conditionalFormatting sqref="AB8">
    <cfRule type="containsText" dxfId="2392" priority="34" operator="containsText" text=" ">
      <formula>NOT(ISERROR(SEARCH(" ",AB8)))</formula>
    </cfRule>
  </conditionalFormatting>
  <conditionalFormatting sqref="Y9">
    <cfRule type="containsText" dxfId="2391" priority="23" operator="containsText" text=" ">
      <formula>NOT(ISERROR(SEARCH(" ",Y9)))</formula>
    </cfRule>
  </conditionalFormatting>
  <conditionalFormatting sqref="Z9">
    <cfRule type="containsText" dxfId="2390" priority="19" operator="containsText" text=" ">
      <formula>NOT(ISERROR(SEARCH(" ",Z9)))</formula>
    </cfRule>
  </conditionalFormatting>
  <conditionalFormatting sqref="AA9">
    <cfRule type="containsText" dxfId="2389" priority="36" operator="containsText" text=" ">
      <formula>NOT(ISERROR(SEARCH(" ",AA9)))</formula>
    </cfRule>
    <cfRule type="containsText" dxfId="2388" priority="37" operator="containsText" text=" ">
      <formula>NOT(ISERROR(SEARCH(" ",AA9)))</formula>
    </cfRule>
  </conditionalFormatting>
  <conditionalFormatting sqref="AB9">
    <cfRule type="containsText" dxfId="2387" priority="35" operator="containsText" text=" ">
      <formula>NOT(ISERROR(SEARCH(" ",AB9)))</formula>
    </cfRule>
  </conditionalFormatting>
  <conditionalFormatting sqref="H10">
    <cfRule type="containsText" dxfId="2386" priority="21" operator="containsText" text=" ">
      <formula>NOT(ISERROR(SEARCH(" ",H10)))</formula>
    </cfRule>
  </conditionalFormatting>
  <conditionalFormatting sqref="U10:X10">
    <cfRule type="containsText" dxfId="2385" priority="43" operator="containsText" text=" ">
      <formula>NOT(ISERROR(SEARCH(" ",U10)))</formula>
    </cfRule>
  </conditionalFormatting>
  <conditionalFormatting sqref="Y10">
    <cfRule type="containsText" dxfId="2384" priority="24" operator="containsText" text=" ">
      <formula>NOT(ISERROR(SEARCH(" ",Y10)))</formula>
    </cfRule>
  </conditionalFormatting>
  <conditionalFormatting sqref="Z10">
    <cfRule type="containsText" dxfId="2383" priority="22" operator="containsText" text=" ">
      <formula>NOT(ISERROR(SEARCH(" ",Z10)))</formula>
    </cfRule>
  </conditionalFormatting>
  <conditionalFormatting sqref="AB10">
    <cfRule type="containsText" dxfId="2382" priority="41" operator="containsText" text=" ">
      <formula>NOT(ISERROR(SEARCH(" ",AB10)))</formula>
    </cfRule>
  </conditionalFormatting>
  <conditionalFormatting sqref="AF10">
    <cfRule type="containsText" dxfId="2381" priority="32" operator="containsText" text=" ">
      <formula>NOT(ISERROR(SEARCH(" ",AF10)))</formula>
    </cfRule>
  </conditionalFormatting>
  <conditionalFormatting sqref="AW12">
    <cfRule type="duplicateValues" dxfId="2380" priority="6"/>
  </conditionalFormatting>
  <conditionalFormatting sqref="AW18">
    <cfRule type="duplicateValues" dxfId="2379" priority="5"/>
  </conditionalFormatting>
  <conditionalFormatting sqref="BE18">
    <cfRule type="duplicateValues" dxfId="2378" priority="7"/>
  </conditionalFormatting>
  <conditionalFormatting sqref="AW23">
    <cfRule type="duplicateValues" dxfId="2377" priority="4"/>
  </conditionalFormatting>
  <conditionalFormatting sqref="R1:R4">
    <cfRule type="containsText" dxfId="2376" priority="18" operator="containsText" text=" ">
      <formula>NOT(ISERROR(SEARCH(" ",R1)))</formula>
    </cfRule>
  </conditionalFormatting>
  <conditionalFormatting sqref="Z6:Z8">
    <cfRule type="containsText" dxfId="2375" priority="26" operator="containsText" text=" ">
      <formula>NOT(ISERROR(SEARCH(" ",Z6)))</formula>
    </cfRule>
  </conditionalFormatting>
  <conditionalFormatting sqref="AD1:AD3">
    <cfRule type="containsText" dxfId="2374" priority="17" operator="containsText" text=" ">
      <formula>NOT(ISERROR(SEARCH(" ",AD1)))</formula>
    </cfRule>
  </conditionalFormatting>
  <conditionalFormatting sqref="AF5:AF9">
    <cfRule type="containsText" dxfId="2373" priority="33" operator="containsText" text=" ">
      <formula>NOT(ISERROR(SEARCH(" ",AF5)))</formula>
    </cfRule>
  </conditionalFormatting>
  <conditionalFormatting sqref="AA6:AA8 AA5:AB5 AG5:AI5 Q4 AG6:AG9 AA16:AB16 AE15:AG18 A16:Y16 A12:AG14 A15:AB15 A17:AB18 A19:AG1048576 AH6:AI8 AH9:AK10 S1:T8 A4:O4 Q9:T9 N9:O9 A11:L11 N11:AG11 A1:Q3 M7:M10 A9:L9 A5:M5 I6:M6 I7:L8 A6:H8 AN5:AS9 BE6:XFD9">
    <cfRule type="containsText" dxfId="2372" priority="54" operator="containsText" text=" ">
      <formula>NOT(ISERROR(SEARCH(" ",A1)))</formula>
    </cfRule>
  </conditionalFormatting>
  <conditionalFormatting sqref="U5:X9 U1:AC3">
    <cfRule type="containsText" dxfId="2371" priority="58" operator="containsText" text=" ">
      <formula>NOT(ISERROR(SEARCH(" ",U1)))</formula>
    </cfRule>
  </conditionalFormatting>
  <conditionalFormatting sqref="AD5 AE1:AJ3 U4:AJ4 BE10:XFD10 AK1:AK4 BE15:XFD15 AU5:XFD5 BE20:XFD20 BE25:XFD25 BE30:XFD30 AU6:BD10 AH11:AK1048576 AN11:XFD14 AN15:BC15 AN20:BC20 AN21:XFD24 AN25:BC25 AN30:BC30 AN1:XFD4 AN16:XFD19 AN26:XFD29 AN31:XFD1048576">
    <cfRule type="containsText" dxfId="2370" priority="16" operator="containsText" text=" ">
      <formula>NOT(ISERROR(SEARCH(" ",U1)))</formula>
    </cfRule>
  </conditionalFormatting>
  <conditionalFormatting sqref="AW1:AW11 AW13:AW17 AW19:AW22 AW24:AW1048576">
    <cfRule type="duplicateValues" dxfId="2369" priority="9"/>
  </conditionalFormatting>
  <conditionalFormatting sqref="AC7:AD7 AE5:AE7 AC8:AE9 AB6:AD6 AA6:AA8 AA5:AB5">
    <cfRule type="containsText" dxfId="2368" priority="57" operator="containsText" text=" ">
      <formula>NOT(ISERROR(SEARCH(" ",AA5)))</formula>
    </cfRule>
  </conditionalFormatting>
  <conditionalFormatting sqref="AJ5:AK8">
    <cfRule type="containsText" dxfId="2367" priority="20" operator="containsText" text=" ">
      <formula>NOT(ISERROR(SEARCH(" ",AJ5)))</formula>
    </cfRule>
  </conditionalFormatting>
  <conditionalFormatting sqref="AG10 Q10:T10 AA10 A10:G10 I10:L10 M11 N10:O10 AN10:AS10">
    <cfRule type="containsText" dxfId="2366" priority="40" operator="containsText" text=" ">
      <formula>NOT(ISERROR(SEARCH(" ",A10)))</formula>
    </cfRule>
  </conditionalFormatting>
  <conditionalFormatting sqref="AC10:AE10 AA10">
    <cfRule type="containsText" dxfId="2365" priority="42" operator="containsText" text=" ">
      <formula>NOT(ISERROR(SEARCH(" ",AA10)))</formula>
    </cfRule>
  </conditionalFormatting>
  <conditionalFormatting sqref="AL9:AM10">
    <cfRule type="containsText" dxfId="2364" priority="3" operator="containsText" text=" ">
      <formula>NOT(ISERROR(SEARCH(" ",AL9)))</formula>
    </cfRule>
  </conditionalFormatting>
  <conditionalFormatting sqref="AL1:AM4 AL11:AM1048576">
    <cfRule type="containsText" dxfId="2363" priority="1" operator="containsText" text=" ">
      <formula>NOT(ISERROR(SEARCH(" ",AL1)))</formula>
    </cfRule>
  </conditionalFormatting>
  <conditionalFormatting sqref="AL5:AM10">
    <cfRule type="containsText" dxfId="2362" priority="2" operator="containsText" text=" ">
      <formula>NOT(ISERROR(SEARCH(" ",AL5)))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A103"/>
  <sheetViews>
    <sheetView tabSelected="1" workbookViewId="0">
      <pane xSplit="7" ySplit="4" topLeftCell="H5" activePane="bottomRight" state="frozen"/>
      <selection pane="topRight"/>
      <selection pane="bottomLeft"/>
      <selection pane="bottomRight" activeCell="I10" sqref="I10"/>
    </sheetView>
  </sheetViews>
  <sheetFormatPr defaultColWidth="9" defaultRowHeight="15.6" x14ac:dyDescent="0.25"/>
  <cols>
    <col min="1" max="1" width="9.88671875" style="1" customWidth="1"/>
    <col min="2" max="2" width="16.21875" style="1" customWidth="1"/>
    <col min="3" max="3" width="22.33203125" style="1" customWidth="1"/>
    <col min="4" max="5" width="12.33203125" style="1" customWidth="1"/>
    <col min="6" max="6" width="14" style="1" customWidth="1"/>
    <col min="7" max="7" width="15.33203125" style="1" customWidth="1"/>
    <col min="8" max="10" width="12.33203125" style="1" customWidth="1"/>
    <col min="11" max="11" width="9" style="1"/>
    <col min="12" max="12" width="13.44140625" style="1" customWidth="1"/>
    <col min="13" max="14" width="14.21875" style="1" customWidth="1"/>
    <col min="15" max="15" width="10.88671875" style="1" customWidth="1"/>
    <col min="16" max="16" width="9.77734375" style="1" customWidth="1"/>
    <col min="17" max="17" width="11.109375" style="1" customWidth="1"/>
    <col min="18" max="18" width="10.33203125" style="1" customWidth="1"/>
    <col min="19" max="19" width="9" style="1"/>
    <col min="20" max="21" width="8.21875" style="6" customWidth="1"/>
    <col min="22" max="22" width="6.44140625" style="6" customWidth="1"/>
    <col min="23" max="23" width="5.21875" style="6" customWidth="1"/>
    <col min="24" max="25" width="8.21875" style="6" customWidth="1"/>
    <col min="26" max="26" width="6.44140625" style="6" customWidth="1"/>
    <col min="27" max="27" width="4.88671875" style="6" customWidth="1"/>
    <col min="28" max="28" width="10.88671875" style="6" customWidth="1"/>
    <col min="29" max="29" width="8.21875" style="6" customWidth="1"/>
    <col min="30" max="30" width="6.44140625" style="6" customWidth="1"/>
    <col min="31" max="32" width="4.88671875" style="6" customWidth="1"/>
    <col min="33" max="33" width="9" style="1"/>
    <col min="34" max="34" width="10.88671875" style="1" customWidth="1"/>
    <col min="35" max="35" width="10.21875" style="1" customWidth="1"/>
    <col min="36" max="36" width="9" style="1"/>
    <col min="37" max="37" width="10.109375" style="1" customWidth="1"/>
    <col min="38" max="38" width="11.44140625" style="1" customWidth="1"/>
    <col min="39" max="39" width="10.88671875" style="1" customWidth="1"/>
    <col min="40" max="40" width="10.21875" style="1" customWidth="1"/>
    <col min="41" max="41" width="9" style="1"/>
    <col min="42" max="44" width="11.44140625" style="1" customWidth="1"/>
    <col min="45" max="46" width="9" style="1"/>
    <col min="47" max="47" width="11.6640625" style="1" customWidth="1"/>
    <col min="48" max="16384" width="9" style="1"/>
  </cols>
  <sheetData>
    <row r="1" spans="1:53" ht="16.2" x14ac:dyDescent="0.4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1</v>
      </c>
      <c r="I1" s="39"/>
      <c r="J1" s="39"/>
      <c r="L1" s="461"/>
      <c r="M1" s="461"/>
      <c r="N1" s="461"/>
      <c r="O1" s="461"/>
      <c r="P1" s="461"/>
      <c r="Q1" s="461"/>
      <c r="AH1" s="475" t="s">
        <v>1369</v>
      </c>
      <c r="AI1" s="476">
        <f>SUMIF(AH5:AH100,AH1,AK5:AK100)</f>
        <v>17</v>
      </c>
      <c r="AJ1" s="476" t="s">
        <v>1370</v>
      </c>
      <c r="AK1" s="477">
        <f>SUMIF(AH5:AH100,AJ1,AK5:AK100)</f>
        <v>0</v>
      </c>
      <c r="AL1" s="478">
        <f>SUM(AL5:AL54)</f>
        <v>3365000</v>
      </c>
      <c r="AM1" s="479" t="s">
        <v>1369</v>
      </c>
      <c r="AN1" s="480">
        <f>SUMIF(AM5:AM100,AM1,AP5:AP100)</f>
        <v>450</v>
      </c>
      <c r="AO1" s="480" t="s">
        <v>1370</v>
      </c>
      <c r="AP1" s="497">
        <f>SUMIF(AM5:AM100,AO1,AP5:AP100)</f>
        <v>5</v>
      </c>
      <c r="AQ1" s="498">
        <f>SUM(AQ5:AQ54)</f>
        <v>283200000</v>
      </c>
    </row>
    <row r="2" spans="1:53" ht="16.2" x14ac:dyDescent="0.4">
      <c r="A2" s="2" t="s">
        <v>11</v>
      </c>
      <c r="B2" s="2" t="s">
        <v>11</v>
      </c>
      <c r="C2" s="2" t="s">
        <v>14</v>
      </c>
      <c r="D2" s="2" t="s">
        <v>14</v>
      </c>
      <c r="E2" s="2" t="s">
        <v>14</v>
      </c>
      <c r="F2" s="2" t="s">
        <v>12</v>
      </c>
      <c r="G2" s="2" t="s">
        <v>12</v>
      </c>
      <c r="H2" s="2" t="s">
        <v>2569</v>
      </c>
      <c r="I2" s="39"/>
      <c r="J2" s="39"/>
      <c r="K2" s="461"/>
      <c r="L2" s="461"/>
      <c r="M2" s="461">
        <f>M103/60/4</f>
        <v>282.13749999999999</v>
      </c>
      <c r="N2" s="461"/>
      <c r="O2" s="461"/>
      <c r="P2" s="461"/>
      <c r="Q2" s="461"/>
      <c r="R2" s="461"/>
      <c r="AH2" s="481" t="s">
        <v>1371</v>
      </c>
      <c r="AI2" s="482">
        <f>SUMIF(AH5:AH100,AH2,AK5:AK100)</f>
        <v>0</v>
      </c>
      <c r="AJ2" s="482" t="s">
        <v>1372</v>
      </c>
      <c r="AK2" s="483">
        <f>SUMIF(AH5:AH100,AJ2,AK5:AK100)</f>
        <v>0</v>
      </c>
      <c r="AL2" s="484">
        <f>AL1/500000</f>
        <v>6.73</v>
      </c>
      <c r="AM2" s="485" t="s">
        <v>1371</v>
      </c>
      <c r="AN2" s="486">
        <f>SUMIF(AM5:AM100,AM2,AP5:AP100)</f>
        <v>0</v>
      </c>
      <c r="AO2" s="486" t="s">
        <v>1372</v>
      </c>
      <c r="AP2" s="499">
        <f>SUMIF(AM5:AM100,AO2,AP5:AP100)</f>
        <v>0</v>
      </c>
      <c r="AQ2" s="498">
        <f>AQ1/500000</f>
        <v>566.4</v>
      </c>
    </row>
    <row r="3" spans="1:53" x14ac:dyDescent="0.35">
      <c r="A3" s="2" t="s">
        <v>1373</v>
      </c>
      <c r="B3" s="2" t="s">
        <v>1374</v>
      </c>
      <c r="C3" s="2" t="s">
        <v>1375</v>
      </c>
      <c r="D3" s="2" t="s">
        <v>1376</v>
      </c>
      <c r="E3" s="2" t="s">
        <v>1377</v>
      </c>
      <c r="F3" s="2" t="s">
        <v>1378</v>
      </c>
      <c r="G3" s="2" t="s">
        <v>1379</v>
      </c>
      <c r="H3" s="34" t="s">
        <v>2570</v>
      </c>
      <c r="I3" s="39"/>
      <c r="J3" s="39"/>
      <c r="K3" s="12"/>
      <c r="L3" s="1" t="s">
        <v>1380</v>
      </c>
      <c r="M3" s="1">
        <v>6</v>
      </c>
      <c r="T3" s="6" t="s">
        <v>1092</v>
      </c>
      <c r="X3" s="6" t="s">
        <v>1094</v>
      </c>
      <c r="AB3" s="6" t="s">
        <v>1096</v>
      </c>
      <c r="AH3" s="487" t="s">
        <v>1381</v>
      </c>
      <c r="AI3" s="488">
        <f>SUMIF(AH5:AH100,AH3,AK5:AK100)</f>
        <v>0</v>
      </c>
      <c r="AJ3" s="488" t="s">
        <v>177</v>
      </c>
      <c r="AK3" s="489">
        <f>SUMIF(AH5:AH100,AJ3,AK5:AK100)</f>
        <v>2755000</v>
      </c>
      <c r="AL3" s="490"/>
      <c r="AM3" s="491" t="s">
        <v>1381</v>
      </c>
      <c r="AN3" s="492">
        <f>SUMIF(AM5:AM100,AM3,AP5:AP100)</f>
        <v>11</v>
      </c>
      <c r="AO3" s="492" t="s">
        <v>177</v>
      </c>
      <c r="AP3" s="500">
        <f>SUMIF(AM5:AM100,AO3,AP5:AP100)</f>
        <v>152800000</v>
      </c>
      <c r="AQ3" s="498"/>
      <c r="AR3" s="1">
        <f>AQ1/100000</f>
        <v>2832</v>
      </c>
      <c r="AU3" s="12" t="s">
        <v>1382</v>
      </c>
    </row>
    <row r="4" spans="1:53" ht="92.4" x14ac:dyDescent="0.35">
      <c r="A4" s="60" t="s">
        <v>1383</v>
      </c>
      <c r="B4" s="60" t="s">
        <v>1384</v>
      </c>
      <c r="C4" s="4" t="s">
        <v>1385</v>
      </c>
      <c r="D4" s="60" t="s">
        <v>1386</v>
      </c>
      <c r="E4" s="60" t="s">
        <v>1386</v>
      </c>
      <c r="F4" s="459" t="s">
        <v>1387</v>
      </c>
      <c r="G4" s="460" t="s">
        <v>1388</v>
      </c>
      <c r="H4" s="507" t="s">
        <v>2571</v>
      </c>
      <c r="I4" s="39"/>
      <c r="J4" s="39"/>
      <c r="L4" s="462" t="s">
        <v>1389</v>
      </c>
      <c r="M4" s="462" t="s">
        <v>1390</v>
      </c>
      <c r="N4" s="462" t="s">
        <v>1391</v>
      </c>
      <c r="O4" s="66" t="s">
        <v>1392</v>
      </c>
      <c r="P4" s="462" t="s">
        <v>1393</v>
      </c>
      <c r="Q4" s="462" t="s">
        <v>1394</v>
      </c>
      <c r="T4" s="465" t="s">
        <v>1395</v>
      </c>
      <c r="U4" s="466" t="s">
        <v>1396</v>
      </c>
      <c r="V4" s="466" t="s">
        <v>1397</v>
      </c>
      <c r="W4" s="467" t="s">
        <v>114</v>
      </c>
      <c r="X4" s="468" t="s">
        <v>1395</v>
      </c>
      <c r="Y4" s="470" t="s">
        <v>1396</v>
      </c>
      <c r="Z4" s="470" t="s">
        <v>1397</v>
      </c>
      <c r="AA4" s="471" t="s">
        <v>114</v>
      </c>
      <c r="AB4" s="472" t="s">
        <v>1395</v>
      </c>
      <c r="AC4" s="473" t="s">
        <v>1396</v>
      </c>
      <c r="AD4" s="473" t="s">
        <v>1397</v>
      </c>
      <c r="AE4" s="474" t="s">
        <v>114</v>
      </c>
      <c r="AF4" s="1"/>
      <c r="AH4" s="493" t="s">
        <v>1398</v>
      </c>
      <c r="AI4" s="494" t="s">
        <v>1396</v>
      </c>
      <c r="AJ4" s="494" t="s">
        <v>1397</v>
      </c>
      <c r="AK4" s="494" t="s">
        <v>114</v>
      </c>
      <c r="AL4" s="494" t="s">
        <v>112</v>
      </c>
      <c r="AM4" s="495" t="s">
        <v>1399</v>
      </c>
      <c r="AN4" s="496" t="s">
        <v>1396</v>
      </c>
      <c r="AO4" s="496" t="s">
        <v>1397</v>
      </c>
      <c r="AP4" s="501" t="s">
        <v>114</v>
      </c>
      <c r="AQ4" s="502" t="s">
        <v>112</v>
      </c>
      <c r="AU4" s="1">
        <f>'抽奖|MoonBless'!DN4</f>
        <v>0</v>
      </c>
      <c r="AV4" s="1" t="str">
        <f>'抽奖|MoonBless'!DO4</f>
        <v>人民币价值</v>
      </c>
      <c r="AW4" s="1" t="str">
        <f>'抽奖|MoonBless'!DP4</f>
        <v>价值
钻石价值</v>
      </c>
      <c r="AX4" s="1" t="str">
        <f>'抽奖|MoonBless'!DQ4</f>
        <v>物品类型</v>
      </c>
      <c r="AY4" s="1" t="str">
        <f>'抽奖|MoonBless'!DR4</f>
        <v>id</v>
      </c>
      <c r="AZ4" s="1" t="str">
        <f>'抽奖|MoonBless'!DS4</f>
        <v>价值加成</v>
      </c>
      <c r="BA4" s="1" t="s">
        <v>112</v>
      </c>
    </row>
    <row r="5" spans="1:53" ht="16.2" x14ac:dyDescent="0.35">
      <c r="A5" s="1">
        <v>1</v>
      </c>
      <c r="B5" s="86">
        <f>Q5</f>
        <v>520</v>
      </c>
      <c r="C5" s="39" t="str">
        <f>U5&amp;"|"&amp;V5&amp;"|"&amp;W5</f>
        <v>1|1|1</v>
      </c>
      <c r="D5" s="39" t="str">
        <f>Y5&amp;"|"&amp;Z5&amp;"|"&amp;AA5</f>
        <v>2|1001|1</v>
      </c>
      <c r="E5" s="39" t="str">
        <f>AC5&amp;"|"&amp;AD5&amp;"|"&amp;AE5</f>
        <v>2|1002|1</v>
      </c>
      <c r="F5" s="39" t="str">
        <f>TRIM(IF(AH5&lt;&gt;"",AI5&amp;"|"&amp;AJ5&amp;"|"&amp;AK5,""))</f>
        <v/>
      </c>
      <c r="G5" s="39" t="str">
        <f>TRIM(IF(OR(AM5="",AM5=0),"",AN5&amp;"|"&amp;AO5&amp;"|"&amp;AP5))</f>
        <v/>
      </c>
      <c r="H5" s="39">
        <v>200000</v>
      </c>
      <c r="I5" s="329" t="s">
        <v>1400</v>
      </c>
      <c r="J5" s="39"/>
      <c r="L5" s="1">
        <v>1.5</v>
      </c>
      <c r="M5" s="1">
        <f>SUM($L$5:L5)</f>
        <v>1.5</v>
      </c>
      <c r="N5" s="463">
        <f>M5/60/4</f>
        <v>6.2500000000000003E-3</v>
      </c>
      <c r="O5" s="1">
        <v>0.96</v>
      </c>
      <c r="P5" s="1">
        <f t="shared" ref="P5:P36" si="0">$M$3*O5*60</f>
        <v>345.59999999999997</v>
      </c>
      <c r="Q5" s="1">
        <f>ROUND(L5*P5/10,0)*10</f>
        <v>520</v>
      </c>
      <c r="S5"/>
      <c r="T5" s="6" t="s">
        <v>1369</v>
      </c>
      <c r="U5" s="70">
        <f t="shared" ref="U5:U44" si="1">VLOOKUP(T5,AU:AZ,4,0)</f>
        <v>1</v>
      </c>
      <c r="V5" s="70">
        <f t="shared" ref="V5:V44" si="2">VLOOKUP(T5,AU:AZ,5,0)</f>
        <v>1</v>
      </c>
      <c r="W5" s="469">
        <v>1</v>
      </c>
      <c r="X5" s="68" t="s">
        <v>1401</v>
      </c>
      <c r="Y5" s="6">
        <f t="shared" ref="Y5:Y44" si="3">VLOOKUP(X5,AU:AZ,4,0)</f>
        <v>2</v>
      </c>
      <c r="Z5" s="6">
        <f t="shared" ref="Z5:Z44" si="4">VLOOKUP(X5,AU:AZ,5,0)</f>
        <v>1001</v>
      </c>
      <c r="AA5" s="6">
        <v>1</v>
      </c>
      <c r="AB5" s="68" t="s">
        <v>1402</v>
      </c>
      <c r="AC5" s="6">
        <f t="shared" ref="AC5:AC44" si="5">VLOOKUP(AB5,AU:AZ,4,0)</f>
        <v>2</v>
      </c>
      <c r="AD5" s="6">
        <f t="shared" ref="AD5:AD44" si="6">VLOOKUP(AB5,AU:AZ,5,0)</f>
        <v>1002</v>
      </c>
      <c r="AE5" s="6">
        <v>1</v>
      </c>
      <c r="AG5" s="86">
        <v>1</v>
      </c>
      <c r="AI5" s="11" t="str">
        <f t="shared" ref="AI5:AI54" si="7">VLOOKUP(AH5,AU:AZ,4,0)</f>
        <v>物品类型</v>
      </c>
      <c r="AJ5" s="11" t="str">
        <f t="shared" ref="AJ5:AJ54" si="8">VLOOKUP(AH5,AU:AZ,5,0)</f>
        <v>id</v>
      </c>
      <c r="AK5" s="86" t="s">
        <v>1403</v>
      </c>
      <c r="AL5" s="86">
        <f>IF(AH5&lt;&gt;"",AK5*VLOOKUP(AH5,AU:BA,7,0),0)</f>
        <v>0</v>
      </c>
      <c r="AM5" s="1">
        <f>AH5</f>
        <v>0</v>
      </c>
      <c r="AN5" s="1" t="str">
        <f t="shared" ref="AN5:AN54" si="9">VLOOKUP(AM5,AU:AZ,4,0)</f>
        <v>物品类型</v>
      </c>
      <c r="AO5" s="1" t="str">
        <f t="shared" ref="AO5:AO54" si="10">VLOOKUP(AM5,AU:AZ,5,0)</f>
        <v>id</v>
      </c>
      <c r="AP5" s="503"/>
      <c r="AQ5" s="1">
        <f>IF(OR(AM5=0,AM5=""),0,AP5*VLOOKUP(AM5,AU:BA,7,0))</f>
        <v>0</v>
      </c>
      <c r="AU5" s="1" t="str">
        <f>'抽奖|MoonBless'!DN5</f>
        <v>人民币</v>
      </c>
      <c r="AV5" s="1">
        <f>'抽奖|MoonBless'!DO5</f>
        <v>1</v>
      </c>
      <c r="AW5" s="1">
        <f>'抽奖|MoonBless'!DP5</f>
        <v>20</v>
      </c>
      <c r="AX5" s="1">
        <f>'抽奖|MoonBless'!DQ5</f>
        <v>1</v>
      </c>
      <c r="AY5" s="1">
        <f>'抽奖|MoonBless'!DR5</f>
        <v>0</v>
      </c>
      <c r="AZ5" s="1">
        <f>'抽奖|MoonBless'!DS5</f>
        <v>1</v>
      </c>
      <c r="BA5" s="1">
        <f>AV5/$AV$7</f>
        <v>199999.99999999997</v>
      </c>
    </row>
    <row r="6" spans="1:53" ht="16.2" x14ac:dyDescent="0.35">
      <c r="A6" s="1">
        <v>2</v>
      </c>
      <c r="B6" s="86">
        <f t="shared" ref="B6:B69" si="11">Q6</f>
        <v>690</v>
      </c>
      <c r="C6" s="39" t="str">
        <f t="shared" ref="C6:C69" si="12">U6&amp;"|"&amp;V6&amp;"|"&amp;W6</f>
        <v>1|1|1</v>
      </c>
      <c r="D6" s="39" t="str">
        <f t="shared" ref="D6:D44" si="13">Y6&amp;"|"&amp;Z6&amp;"|"&amp;AA6</f>
        <v>2|1002|1</v>
      </c>
      <c r="E6" s="39" t="str">
        <f t="shared" ref="E6:E44" si="14">AC6&amp;"|"&amp;AD6&amp;"|"&amp;AE6</f>
        <v>2|1004|1</v>
      </c>
      <c r="F6" s="39" t="str">
        <f t="shared" ref="F6:F44" si="15">TRIM(IF(AH6&lt;&gt;"",AI6&amp;"|"&amp;AJ6&amp;"|"&amp;AK6,""))</f>
        <v/>
      </c>
      <c r="G6" s="39" t="str">
        <f t="shared" ref="G6:G54" si="16">TRIM(IF(OR(AM6="",AM6=0),"",AN6&amp;"|"&amp;AO6&amp;"|"&amp;AP6))</f>
        <v/>
      </c>
      <c r="H6" s="39">
        <v>200000</v>
      </c>
      <c r="I6" s="329" t="s">
        <v>1404</v>
      </c>
      <c r="J6" s="39"/>
      <c r="L6" s="1">
        <v>2</v>
      </c>
      <c r="M6" s="1">
        <f>SUM($L$5:L6)</f>
        <v>3.5</v>
      </c>
      <c r="N6" s="463">
        <f t="shared" ref="N6:N69" si="17">M6/60/4</f>
        <v>1.4583333333333334E-2</v>
      </c>
      <c r="O6" s="1">
        <v>0.96</v>
      </c>
      <c r="P6" s="1">
        <f t="shared" si="0"/>
        <v>345.59999999999997</v>
      </c>
      <c r="Q6" s="1">
        <f t="shared" ref="Q6:Q69" si="18">ROUND(L6*P6/10,0)*10</f>
        <v>690</v>
      </c>
      <c r="T6" s="6" t="s">
        <v>1369</v>
      </c>
      <c r="U6" s="70">
        <f t="shared" si="1"/>
        <v>1</v>
      </c>
      <c r="V6" s="70">
        <f t="shared" si="2"/>
        <v>1</v>
      </c>
      <c r="W6" s="469">
        <v>1</v>
      </c>
      <c r="X6" s="68" t="s">
        <v>1402</v>
      </c>
      <c r="Y6" s="6">
        <f t="shared" si="3"/>
        <v>2</v>
      </c>
      <c r="Z6" s="6">
        <f t="shared" si="4"/>
        <v>1002</v>
      </c>
      <c r="AA6" s="6">
        <v>1</v>
      </c>
      <c r="AB6" s="68" t="s">
        <v>1405</v>
      </c>
      <c r="AC6" s="6">
        <f t="shared" si="5"/>
        <v>2</v>
      </c>
      <c r="AD6" s="6">
        <f t="shared" si="6"/>
        <v>1004</v>
      </c>
      <c r="AE6" s="6">
        <v>1</v>
      </c>
      <c r="AG6" s="86">
        <v>2</v>
      </c>
      <c r="AI6" s="11" t="str">
        <f t="shared" si="7"/>
        <v>物品类型</v>
      </c>
      <c r="AJ6" s="11" t="str">
        <f t="shared" si="8"/>
        <v>id</v>
      </c>
      <c r="AK6" s="86" t="s">
        <v>1403</v>
      </c>
      <c r="AL6" s="86">
        <f t="shared" ref="AL6:AL54" si="19">IF(AH6&lt;&gt;"",AK6*VLOOKUP(AH6,AU:BA,7,0),0)</f>
        <v>0</v>
      </c>
      <c r="AM6" s="1">
        <f t="shared" ref="AM6:AM43" si="20">AH6</f>
        <v>0</v>
      </c>
      <c r="AN6" s="1" t="str">
        <f t="shared" si="9"/>
        <v>物品类型</v>
      </c>
      <c r="AO6" s="1" t="str">
        <f t="shared" si="10"/>
        <v>id</v>
      </c>
      <c r="AP6" s="503"/>
      <c r="AQ6" s="1">
        <f t="shared" ref="AQ6:AQ54" si="21">IF(OR(AM6=0,AM6=""),0,AP6*VLOOKUP(AM6,AU:BA,7,0))</f>
        <v>0</v>
      </c>
      <c r="AU6" s="1" t="str">
        <f>'抽奖|MoonBless'!DN6</f>
        <v>钻石</v>
      </c>
      <c r="AV6" s="1">
        <f>'抽奖|MoonBless'!DO6</f>
        <v>0.1</v>
      </c>
      <c r="AW6" s="1">
        <f>'抽奖|MoonBless'!DP6</f>
        <v>2</v>
      </c>
      <c r="AX6" s="1">
        <f>'抽奖|MoonBless'!DQ6</f>
        <v>1</v>
      </c>
      <c r="AY6" s="1">
        <f>'抽奖|MoonBless'!DR6</f>
        <v>1</v>
      </c>
      <c r="AZ6" s="1">
        <f>'抽奖|MoonBless'!DS6</f>
        <v>1</v>
      </c>
      <c r="BA6" s="1">
        <f t="shared" ref="BA6:BA30" si="22">AV6/$AV$7</f>
        <v>20000</v>
      </c>
    </row>
    <row r="7" spans="1:53" ht="16.2" x14ac:dyDescent="0.35">
      <c r="A7" s="1">
        <v>3</v>
      </c>
      <c r="B7" s="86">
        <f t="shared" si="11"/>
        <v>860</v>
      </c>
      <c r="C7" s="39" t="str">
        <f t="shared" si="12"/>
        <v>1|1|1</v>
      </c>
      <c r="D7" s="39" t="str">
        <f t="shared" si="13"/>
        <v>2|1001|1</v>
      </c>
      <c r="E7" s="39" t="str">
        <f t="shared" si="14"/>
        <v>2|1004|1</v>
      </c>
      <c r="F7" s="39" t="str">
        <f t="shared" si="15"/>
        <v>2|1001|1</v>
      </c>
      <c r="G7" s="39" t="str">
        <f t="shared" si="16"/>
        <v>2|1001|20</v>
      </c>
      <c r="H7" s="39">
        <v>300000</v>
      </c>
      <c r="I7" s="39"/>
      <c r="J7" s="39"/>
      <c r="L7" s="1">
        <v>2.5</v>
      </c>
      <c r="M7" s="1">
        <f>SUM($L$5:L7)</f>
        <v>6</v>
      </c>
      <c r="N7" s="463">
        <f t="shared" si="17"/>
        <v>2.5000000000000001E-2</v>
      </c>
      <c r="O7" s="1">
        <v>0.96</v>
      </c>
      <c r="P7" s="1">
        <f t="shared" si="0"/>
        <v>345.59999999999997</v>
      </c>
      <c r="Q7" s="1">
        <f t="shared" si="18"/>
        <v>860</v>
      </c>
      <c r="T7" s="6" t="s">
        <v>1369</v>
      </c>
      <c r="U7" s="70">
        <f t="shared" si="1"/>
        <v>1</v>
      </c>
      <c r="V7" s="70">
        <f t="shared" si="2"/>
        <v>1</v>
      </c>
      <c r="W7" s="469">
        <v>1</v>
      </c>
      <c r="X7" s="68" t="s">
        <v>1401</v>
      </c>
      <c r="Y7" s="6">
        <f t="shared" si="3"/>
        <v>2</v>
      </c>
      <c r="Z7" s="6">
        <f t="shared" si="4"/>
        <v>1001</v>
      </c>
      <c r="AA7" s="6">
        <v>1</v>
      </c>
      <c r="AB7" s="68" t="s">
        <v>1405</v>
      </c>
      <c r="AC7" s="6">
        <f t="shared" si="5"/>
        <v>2</v>
      </c>
      <c r="AD7" s="6">
        <f t="shared" si="6"/>
        <v>1004</v>
      </c>
      <c r="AE7" s="6">
        <v>1</v>
      </c>
      <c r="AG7" s="59">
        <v>3</v>
      </c>
      <c r="AH7" s="1" t="s">
        <v>1401</v>
      </c>
      <c r="AI7" s="11">
        <f t="shared" si="7"/>
        <v>2</v>
      </c>
      <c r="AJ7" s="11">
        <f t="shared" si="8"/>
        <v>1001</v>
      </c>
      <c r="AK7" s="86">
        <v>1</v>
      </c>
      <c r="AL7" s="86">
        <f t="shared" si="19"/>
        <v>20000</v>
      </c>
      <c r="AM7" s="1" t="str">
        <f t="shared" si="20"/>
        <v>锁定</v>
      </c>
      <c r="AN7" s="1">
        <f t="shared" si="9"/>
        <v>2</v>
      </c>
      <c r="AO7" s="1">
        <f t="shared" si="10"/>
        <v>1001</v>
      </c>
      <c r="AP7" s="503">
        <v>20</v>
      </c>
      <c r="AQ7" s="1">
        <f t="shared" si="21"/>
        <v>400000</v>
      </c>
      <c r="AU7" s="1" t="str">
        <f>'抽奖|MoonBless'!DN7</f>
        <v>金币</v>
      </c>
      <c r="AV7" s="1">
        <f>'抽奖|MoonBless'!DO7</f>
        <v>5.0000000000000004E-6</v>
      </c>
      <c r="AW7" s="1">
        <f>'抽奖|MoonBless'!DP7</f>
        <v>1E-4</v>
      </c>
      <c r="AX7" s="1">
        <f>'抽奖|MoonBless'!DQ7</f>
        <v>1</v>
      </c>
      <c r="AY7" s="1">
        <f>'抽奖|MoonBless'!DR7</f>
        <v>2</v>
      </c>
      <c r="AZ7" s="1">
        <f>'抽奖|MoonBless'!DS7</f>
        <v>1</v>
      </c>
      <c r="BA7" s="1">
        <f t="shared" si="22"/>
        <v>1</v>
      </c>
    </row>
    <row r="8" spans="1:53" ht="16.2" x14ac:dyDescent="0.35">
      <c r="A8" s="1">
        <v>4</v>
      </c>
      <c r="B8" s="86">
        <f t="shared" si="11"/>
        <v>1040</v>
      </c>
      <c r="C8" s="39" t="str">
        <f t="shared" si="12"/>
        <v>1|1|1</v>
      </c>
      <c r="D8" s="39" t="str">
        <f t="shared" si="13"/>
        <v>2|1002|1</v>
      </c>
      <c r="E8" s="39" t="str">
        <f t="shared" si="14"/>
        <v>2|1003|1</v>
      </c>
      <c r="F8" s="39" t="str">
        <f t="shared" si="15"/>
        <v/>
      </c>
      <c r="G8" s="39" t="str">
        <f t="shared" si="16"/>
        <v/>
      </c>
      <c r="H8" s="39">
        <v>300000</v>
      </c>
      <c r="I8" s="39"/>
      <c r="J8" s="39"/>
      <c r="L8" s="1">
        <v>3</v>
      </c>
      <c r="M8" s="1">
        <f>SUM($L$5:L8)</f>
        <v>9</v>
      </c>
      <c r="N8" s="463">
        <f t="shared" si="17"/>
        <v>3.7499999999999999E-2</v>
      </c>
      <c r="O8" s="1">
        <v>0.96</v>
      </c>
      <c r="P8" s="1">
        <f t="shared" si="0"/>
        <v>345.59999999999997</v>
      </c>
      <c r="Q8" s="1">
        <f t="shared" si="18"/>
        <v>1040</v>
      </c>
      <c r="T8" s="6" t="s">
        <v>1369</v>
      </c>
      <c r="U8" s="70">
        <f t="shared" si="1"/>
        <v>1</v>
      </c>
      <c r="V8" s="70">
        <f t="shared" si="2"/>
        <v>1</v>
      </c>
      <c r="W8" s="469">
        <v>1</v>
      </c>
      <c r="X8" s="68" t="s">
        <v>1402</v>
      </c>
      <c r="Y8" s="6">
        <f t="shared" si="3"/>
        <v>2</v>
      </c>
      <c r="Z8" s="6">
        <f t="shared" si="4"/>
        <v>1002</v>
      </c>
      <c r="AA8" s="6">
        <v>1</v>
      </c>
      <c r="AB8" s="68" t="s">
        <v>1406</v>
      </c>
      <c r="AC8" s="6">
        <f t="shared" si="5"/>
        <v>2</v>
      </c>
      <c r="AD8" s="6">
        <f t="shared" si="6"/>
        <v>1003</v>
      </c>
      <c r="AE8" s="6">
        <v>1</v>
      </c>
      <c r="AG8" s="86">
        <v>4</v>
      </c>
      <c r="AI8" s="11" t="str">
        <f t="shared" si="7"/>
        <v>物品类型</v>
      </c>
      <c r="AJ8" s="11" t="str">
        <f t="shared" si="8"/>
        <v>id</v>
      </c>
      <c r="AK8" s="86" t="s">
        <v>1403</v>
      </c>
      <c r="AL8" s="86">
        <f t="shared" si="19"/>
        <v>0</v>
      </c>
      <c r="AM8" s="1">
        <f t="shared" si="20"/>
        <v>0</v>
      </c>
      <c r="AN8" s="1" t="str">
        <f t="shared" si="9"/>
        <v>物品类型</v>
      </c>
      <c r="AO8" s="1" t="str">
        <f t="shared" si="10"/>
        <v>id</v>
      </c>
      <c r="AP8" s="503"/>
      <c r="AQ8" s="1">
        <f t="shared" si="21"/>
        <v>0</v>
      </c>
      <c r="AU8" s="1" t="str">
        <f>'抽奖|MoonBless'!DN8</f>
        <v>锁定</v>
      </c>
      <c r="AV8" s="1">
        <f>'抽奖|MoonBless'!DO8</f>
        <v>0.1</v>
      </c>
      <c r="AW8" s="1">
        <f>'抽奖|MoonBless'!DP8</f>
        <v>2</v>
      </c>
      <c r="AX8" s="1">
        <f>'抽奖|MoonBless'!DQ8</f>
        <v>2</v>
      </c>
      <c r="AY8" s="1">
        <f>'抽奖|MoonBless'!DR8</f>
        <v>1001</v>
      </c>
      <c r="AZ8" s="1">
        <f>'抽奖|MoonBless'!DS8</f>
        <v>1</v>
      </c>
      <c r="BA8" s="1">
        <f t="shared" si="22"/>
        <v>20000</v>
      </c>
    </row>
    <row r="9" spans="1:53" ht="16.2" x14ac:dyDescent="0.35">
      <c r="A9" s="1">
        <v>5</v>
      </c>
      <c r="B9" s="86">
        <f t="shared" si="11"/>
        <v>1210</v>
      </c>
      <c r="C9" s="39" t="str">
        <f t="shared" si="12"/>
        <v>1|1|1</v>
      </c>
      <c r="D9" s="39" t="str">
        <f t="shared" si="13"/>
        <v>2|1001|1</v>
      </c>
      <c r="E9" s="39" t="str">
        <f t="shared" si="14"/>
        <v>2|1002|1</v>
      </c>
      <c r="F9" s="39" t="str">
        <f t="shared" si="15"/>
        <v>1|2|10000</v>
      </c>
      <c r="G9" s="39" t="str">
        <f t="shared" si="16"/>
        <v>1|2|800000</v>
      </c>
      <c r="H9" s="39">
        <v>200000</v>
      </c>
      <c r="I9" s="39"/>
      <c r="J9" s="39"/>
      <c r="L9" s="1">
        <v>3.5</v>
      </c>
      <c r="M9" s="1">
        <f>SUM($L$5:L9)</f>
        <v>12.5</v>
      </c>
      <c r="N9" s="463">
        <f t="shared" si="17"/>
        <v>5.2083333333333336E-2</v>
      </c>
      <c r="O9" s="1">
        <v>0.96</v>
      </c>
      <c r="P9" s="1">
        <f t="shared" si="0"/>
        <v>345.59999999999997</v>
      </c>
      <c r="Q9" s="1">
        <f t="shared" si="18"/>
        <v>1210</v>
      </c>
      <c r="T9" s="6" t="s">
        <v>1369</v>
      </c>
      <c r="U9" s="70">
        <f t="shared" si="1"/>
        <v>1</v>
      </c>
      <c r="V9" s="70">
        <f t="shared" si="2"/>
        <v>1</v>
      </c>
      <c r="W9" s="469">
        <v>1</v>
      </c>
      <c r="X9" s="68" t="s">
        <v>1401</v>
      </c>
      <c r="Y9" s="6">
        <f t="shared" si="3"/>
        <v>2</v>
      </c>
      <c r="Z9" s="6">
        <f t="shared" si="4"/>
        <v>1001</v>
      </c>
      <c r="AA9" s="6">
        <v>1</v>
      </c>
      <c r="AB9" s="68" t="s">
        <v>1402</v>
      </c>
      <c r="AC9" s="6">
        <f t="shared" si="5"/>
        <v>2</v>
      </c>
      <c r="AD9" s="6">
        <f t="shared" si="6"/>
        <v>1002</v>
      </c>
      <c r="AE9" s="6">
        <v>1</v>
      </c>
      <c r="AG9" s="59">
        <v>5</v>
      </c>
      <c r="AH9" s="1" t="s">
        <v>177</v>
      </c>
      <c r="AI9" s="11">
        <f t="shared" si="7"/>
        <v>1</v>
      </c>
      <c r="AJ9" s="11">
        <f t="shared" si="8"/>
        <v>2</v>
      </c>
      <c r="AK9" s="86">
        <v>10000</v>
      </c>
      <c r="AL9" s="86">
        <f t="shared" si="19"/>
        <v>10000</v>
      </c>
      <c r="AM9" s="1" t="str">
        <f t="shared" si="20"/>
        <v>金币</v>
      </c>
      <c r="AN9" s="1">
        <f t="shared" si="9"/>
        <v>1</v>
      </c>
      <c r="AO9" s="1">
        <f t="shared" si="10"/>
        <v>2</v>
      </c>
      <c r="AP9" s="503">
        <v>800000</v>
      </c>
      <c r="AQ9" s="1">
        <f t="shared" si="21"/>
        <v>800000</v>
      </c>
      <c r="AU9" s="1" t="str">
        <f>'抽奖|MoonBless'!DN9</f>
        <v>冰冻</v>
      </c>
      <c r="AV9" s="1">
        <f>'抽奖|MoonBless'!DO9</f>
        <v>0.25</v>
      </c>
      <c r="AW9" s="1">
        <f>'抽奖|MoonBless'!DP9</f>
        <v>5</v>
      </c>
      <c r="AX9" s="1">
        <f>'抽奖|MoonBless'!DQ9</f>
        <v>2</v>
      </c>
      <c r="AY9" s="1">
        <f>'抽奖|MoonBless'!DR9</f>
        <v>1002</v>
      </c>
      <c r="AZ9" s="1">
        <f>'抽奖|MoonBless'!DS9</f>
        <v>1</v>
      </c>
      <c r="BA9" s="1">
        <f t="shared" si="22"/>
        <v>49999.999999999993</v>
      </c>
    </row>
    <row r="10" spans="1:53" ht="16.2" x14ac:dyDescent="0.35">
      <c r="A10" s="1">
        <v>6</v>
      </c>
      <c r="B10" s="86">
        <f t="shared" si="11"/>
        <v>1380</v>
      </c>
      <c r="C10" s="39" t="str">
        <f t="shared" si="12"/>
        <v>1|1|1</v>
      </c>
      <c r="D10" s="39" t="str">
        <f t="shared" si="13"/>
        <v>2|1002|1</v>
      </c>
      <c r="E10" s="39" t="str">
        <f t="shared" si="14"/>
        <v>2|1004|1</v>
      </c>
      <c r="F10" s="39" t="str">
        <f t="shared" si="15"/>
        <v/>
      </c>
      <c r="G10" s="39" t="str">
        <f t="shared" si="16"/>
        <v/>
      </c>
      <c r="H10" s="39">
        <v>300000</v>
      </c>
      <c r="I10" s="39"/>
      <c r="J10" s="39"/>
      <c r="L10" s="1">
        <v>4</v>
      </c>
      <c r="M10" s="1">
        <f>SUM($L$5:L10)</f>
        <v>16.5</v>
      </c>
      <c r="N10" s="463">
        <f t="shared" si="17"/>
        <v>6.8750000000000006E-2</v>
      </c>
      <c r="O10" s="1">
        <v>0.96</v>
      </c>
      <c r="P10" s="1">
        <f t="shared" si="0"/>
        <v>345.59999999999997</v>
      </c>
      <c r="Q10" s="1">
        <f t="shared" si="18"/>
        <v>1380</v>
      </c>
      <c r="T10" s="6" t="s">
        <v>1369</v>
      </c>
      <c r="U10" s="70">
        <f t="shared" si="1"/>
        <v>1</v>
      </c>
      <c r="V10" s="70">
        <f t="shared" si="2"/>
        <v>1</v>
      </c>
      <c r="W10" s="469">
        <v>1</v>
      </c>
      <c r="X10" s="68" t="s">
        <v>1402</v>
      </c>
      <c r="Y10" s="6">
        <f t="shared" si="3"/>
        <v>2</v>
      </c>
      <c r="Z10" s="6">
        <f t="shared" si="4"/>
        <v>1002</v>
      </c>
      <c r="AA10" s="6">
        <v>1</v>
      </c>
      <c r="AB10" s="68" t="s">
        <v>1405</v>
      </c>
      <c r="AC10" s="6">
        <f t="shared" si="5"/>
        <v>2</v>
      </c>
      <c r="AD10" s="6">
        <f t="shared" si="6"/>
        <v>1004</v>
      </c>
      <c r="AE10" s="6">
        <v>1</v>
      </c>
      <c r="AG10" s="86">
        <v>6</v>
      </c>
      <c r="AI10" s="11" t="str">
        <f t="shared" si="7"/>
        <v>物品类型</v>
      </c>
      <c r="AJ10" s="11" t="str">
        <f t="shared" si="8"/>
        <v>id</v>
      </c>
      <c r="AK10" s="86" t="s">
        <v>1403</v>
      </c>
      <c r="AL10" s="86">
        <f t="shared" si="19"/>
        <v>0</v>
      </c>
      <c r="AM10" s="1">
        <f t="shared" si="20"/>
        <v>0</v>
      </c>
      <c r="AN10" s="1" t="str">
        <f t="shared" si="9"/>
        <v>物品类型</v>
      </c>
      <c r="AO10" s="1" t="str">
        <f t="shared" si="10"/>
        <v>id</v>
      </c>
      <c r="AP10" s="503"/>
      <c r="AQ10" s="1">
        <f t="shared" si="21"/>
        <v>0</v>
      </c>
      <c r="AU10" s="1" t="str">
        <f>'抽奖|MoonBless'!DN10</f>
        <v>狂暴</v>
      </c>
      <c r="AV10" s="1">
        <f>'抽奖|MoonBless'!DO10</f>
        <v>0.5</v>
      </c>
      <c r="AW10" s="1">
        <f>'抽奖|MoonBless'!DP10</f>
        <v>10</v>
      </c>
      <c r="AX10" s="1">
        <f>'抽奖|MoonBless'!DQ10</f>
        <v>2</v>
      </c>
      <c r="AY10" s="1">
        <f>'抽奖|MoonBless'!DR10</f>
        <v>1003</v>
      </c>
      <c r="AZ10" s="1">
        <f>'抽奖|MoonBless'!DS10</f>
        <v>1</v>
      </c>
      <c r="BA10" s="1">
        <f t="shared" si="22"/>
        <v>99999.999999999985</v>
      </c>
    </row>
    <row r="11" spans="1:53" ht="16.2" x14ac:dyDescent="0.35">
      <c r="A11" s="1">
        <v>7</v>
      </c>
      <c r="B11" s="86">
        <f t="shared" si="11"/>
        <v>1560</v>
      </c>
      <c r="C11" s="39" t="str">
        <f t="shared" si="12"/>
        <v>1|1|1</v>
      </c>
      <c r="D11" s="39" t="str">
        <f t="shared" si="13"/>
        <v>2|1001|1</v>
      </c>
      <c r="E11" s="39" t="str">
        <f t="shared" si="14"/>
        <v>2|1004|1</v>
      </c>
      <c r="F11" s="39" t="str">
        <f t="shared" si="15"/>
        <v/>
      </c>
      <c r="G11" s="39" t="str">
        <f t="shared" si="16"/>
        <v/>
      </c>
      <c r="H11" s="39">
        <v>300000</v>
      </c>
      <c r="I11" s="39"/>
      <c r="J11" s="39"/>
      <c r="L11" s="1">
        <v>4.5</v>
      </c>
      <c r="M11" s="1">
        <f>SUM($L$5:L11)</f>
        <v>21</v>
      </c>
      <c r="N11" s="463">
        <f t="shared" si="17"/>
        <v>8.7499999999999994E-2</v>
      </c>
      <c r="O11" s="1">
        <v>0.96</v>
      </c>
      <c r="P11" s="1">
        <f t="shared" si="0"/>
        <v>345.59999999999997</v>
      </c>
      <c r="Q11" s="1">
        <f t="shared" si="18"/>
        <v>1560</v>
      </c>
      <c r="T11" s="6" t="s">
        <v>1369</v>
      </c>
      <c r="U11" s="70">
        <f t="shared" si="1"/>
        <v>1</v>
      </c>
      <c r="V11" s="70">
        <f t="shared" si="2"/>
        <v>1</v>
      </c>
      <c r="W11" s="469">
        <v>1</v>
      </c>
      <c r="X11" s="68" t="s">
        <v>1401</v>
      </c>
      <c r="Y11" s="6">
        <f t="shared" si="3"/>
        <v>2</v>
      </c>
      <c r="Z11" s="6">
        <f t="shared" si="4"/>
        <v>1001</v>
      </c>
      <c r="AA11" s="6">
        <v>1</v>
      </c>
      <c r="AB11" s="68" t="s">
        <v>1405</v>
      </c>
      <c r="AC11" s="6">
        <f t="shared" si="5"/>
        <v>2</v>
      </c>
      <c r="AD11" s="6">
        <f t="shared" si="6"/>
        <v>1004</v>
      </c>
      <c r="AE11" s="6">
        <v>1</v>
      </c>
      <c r="AG11" s="86">
        <v>7</v>
      </c>
      <c r="AI11" s="11" t="str">
        <f t="shared" si="7"/>
        <v>物品类型</v>
      </c>
      <c r="AJ11" s="11" t="str">
        <f t="shared" si="8"/>
        <v>id</v>
      </c>
      <c r="AK11" s="86" t="s">
        <v>1403</v>
      </c>
      <c r="AL11" s="86">
        <f t="shared" si="19"/>
        <v>0</v>
      </c>
      <c r="AM11" s="1">
        <f t="shared" si="20"/>
        <v>0</v>
      </c>
      <c r="AN11" s="1" t="str">
        <f t="shared" si="9"/>
        <v>物品类型</v>
      </c>
      <c r="AO11" s="1" t="str">
        <f t="shared" si="10"/>
        <v>id</v>
      </c>
      <c r="AP11" s="503"/>
      <c r="AQ11" s="1">
        <f t="shared" si="21"/>
        <v>0</v>
      </c>
      <c r="AU11" s="1" t="str">
        <f>'抽奖|MoonBless'!DN11</f>
        <v>召唤</v>
      </c>
      <c r="AV11" s="1">
        <f>'抽奖|MoonBless'!DO11</f>
        <v>0.1</v>
      </c>
      <c r="AW11" s="1">
        <f>'抽奖|MoonBless'!DP11</f>
        <v>2</v>
      </c>
      <c r="AX11" s="1">
        <f>'抽奖|MoonBless'!DQ11</f>
        <v>2</v>
      </c>
      <c r="AY11" s="1">
        <f>'抽奖|MoonBless'!DR11</f>
        <v>1004</v>
      </c>
      <c r="AZ11" s="1">
        <f>'抽奖|MoonBless'!DS11</f>
        <v>1</v>
      </c>
      <c r="BA11" s="1">
        <f t="shared" si="22"/>
        <v>20000</v>
      </c>
    </row>
    <row r="12" spans="1:53" ht="16.2" x14ac:dyDescent="0.35">
      <c r="A12" s="1">
        <v>8</v>
      </c>
      <c r="B12" s="86">
        <f t="shared" si="11"/>
        <v>1730</v>
      </c>
      <c r="C12" s="39" t="str">
        <f t="shared" si="12"/>
        <v>1|1|1</v>
      </c>
      <c r="D12" s="39" t="str">
        <f t="shared" si="13"/>
        <v>2|1002|1</v>
      </c>
      <c r="E12" s="39" t="str">
        <f t="shared" si="14"/>
        <v>2|1004|1</v>
      </c>
      <c r="F12" s="39" t="str">
        <f t="shared" si="15"/>
        <v>1|2|20000</v>
      </c>
      <c r="G12" s="39" t="str">
        <f t="shared" si="16"/>
        <v>1|2|1000000</v>
      </c>
      <c r="H12" s="39">
        <v>200000</v>
      </c>
      <c r="I12" s="39"/>
      <c r="J12" s="39"/>
      <c r="L12" s="1">
        <v>5</v>
      </c>
      <c r="M12" s="1">
        <f>SUM($L$5:L12)</f>
        <v>26</v>
      </c>
      <c r="N12" s="463">
        <f t="shared" si="17"/>
        <v>0.10833333333333334</v>
      </c>
      <c r="O12" s="1">
        <v>0.96</v>
      </c>
      <c r="P12" s="1">
        <f t="shared" si="0"/>
        <v>345.59999999999997</v>
      </c>
      <c r="Q12" s="1">
        <f t="shared" si="18"/>
        <v>1730</v>
      </c>
      <c r="T12" s="6" t="s">
        <v>1369</v>
      </c>
      <c r="U12" s="70">
        <f t="shared" si="1"/>
        <v>1</v>
      </c>
      <c r="V12" s="70">
        <f t="shared" si="2"/>
        <v>1</v>
      </c>
      <c r="W12" s="469">
        <v>1</v>
      </c>
      <c r="X12" s="68" t="s">
        <v>1402</v>
      </c>
      <c r="Y12" s="6">
        <f t="shared" si="3"/>
        <v>2</v>
      </c>
      <c r="Z12" s="6">
        <f t="shared" si="4"/>
        <v>1002</v>
      </c>
      <c r="AA12" s="6">
        <v>1</v>
      </c>
      <c r="AB12" s="68" t="s">
        <v>1405</v>
      </c>
      <c r="AC12" s="6">
        <f t="shared" si="5"/>
        <v>2</v>
      </c>
      <c r="AD12" s="6">
        <f t="shared" si="6"/>
        <v>1004</v>
      </c>
      <c r="AE12" s="6">
        <v>1</v>
      </c>
      <c r="AG12" s="59">
        <v>8</v>
      </c>
      <c r="AH12" s="1" t="s">
        <v>177</v>
      </c>
      <c r="AI12" s="11">
        <f t="shared" si="7"/>
        <v>1</v>
      </c>
      <c r="AJ12" s="11">
        <f t="shared" si="8"/>
        <v>2</v>
      </c>
      <c r="AK12" s="86">
        <v>20000</v>
      </c>
      <c r="AL12" s="86">
        <f t="shared" si="19"/>
        <v>20000</v>
      </c>
      <c r="AM12" s="1" t="str">
        <f t="shared" si="20"/>
        <v>金币</v>
      </c>
      <c r="AN12" s="1">
        <f t="shared" si="9"/>
        <v>1</v>
      </c>
      <c r="AO12" s="1">
        <f t="shared" si="10"/>
        <v>2</v>
      </c>
      <c r="AP12" s="503">
        <v>1000000</v>
      </c>
      <c r="AQ12" s="1">
        <f t="shared" si="21"/>
        <v>1000000</v>
      </c>
      <c r="AU12" s="1" t="str">
        <f>'抽奖|MoonBless'!DN12</f>
        <v>福卡</v>
      </c>
      <c r="AV12" s="1">
        <f>'抽奖|MoonBless'!DO12</f>
        <v>7.5000000000000002E-4</v>
      </c>
      <c r="AW12" s="1">
        <f>'抽奖|MoonBless'!DP12</f>
        <v>1.5000000000000001E-2</v>
      </c>
      <c r="AX12" s="1">
        <f>'抽奖|MoonBless'!DQ12</f>
        <v>2</v>
      </c>
      <c r="AY12" s="1">
        <f>'抽奖|MoonBless'!DR12</f>
        <v>1204</v>
      </c>
      <c r="AZ12" s="1">
        <f>'抽奖|MoonBless'!DS12</f>
        <v>1</v>
      </c>
      <c r="BA12" s="1">
        <f t="shared" si="22"/>
        <v>150</v>
      </c>
    </row>
    <row r="13" spans="1:53" ht="16.2" x14ac:dyDescent="0.35">
      <c r="A13" s="1">
        <v>9</v>
      </c>
      <c r="B13" s="86">
        <f t="shared" si="11"/>
        <v>1900</v>
      </c>
      <c r="C13" s="39" t="str">
        <f t="shared" si="12"/>
        <v>1|1|1</v>
      </c>
      <c r="D13" s="39" t="str">
        <f t="shared" si="13"/>
        <v>2|1001|1</v>
      </c>
      <c r="E13" s="39" t="str">
        <f t="shared" si="14"/>
        <v>2|1003|1</v>
      </c>
      <c r="F13" s="39" t="str">
        <f t="shared" si="15"/>
        <v/>
      </c>
      <c r="G13" s="39" t="str">
        <f t="shared" si="16"/>
        <v/>
      </c>
      <c r="H13" s="39">
        <v>0</v>
      </c>
      <c r="I13" s="39"/>
      <c r="J13" s="39"/>
      <c r="L13" s="1">
        <v>5.5</v>
      </c>
      <c r="M13" s="464">
        <f>SUM($L$5:L13)</f>
        <v>31.5</v>
      </c>
      <c r="N13" s="463">
        <f t="shared" si="17"/>
        <v>0.13125000000000001</v>
      </c>
      <c r="O13" s="1">
        <v>0.96</v>
      </c>
      <c r="P13" s="1">
        <f t="shared" si="0"/>
        <v>345.59999999999997</v>
      </c>
      <c r="Q13" s="1">
        <f t="shared" si="18"/>
        <v>1900</v>
      </c>
      <c r="T13" s="6" t="s">
        <v>1369</v>
      </c>
      <c r="U13" s="70">
        <f t="shared" si="1"/>
        <v>1</v>
      </c>
      <c r="V13" s="70">
        <f t="shared" si="2"/>
        <v>1</v>
      </c>
      <c r="W13" s="469">
        <v>1</v>
      </c>
      <c r="X13" s="68" t="s">
        <v>1401</v>
      </c>
      <c r="Y13" s="6">
        <f t="shared" si="3"/>
        <v>2</v>
      </c>
      <c r="Z13" s="6">
        <f t="shared" si="4"/>
        <v>1001</v>
      </c>
      <c r="AA13" s="6">
        <v>1</v>
      </c>
      <c r="AB13" s="68" t="s">
        <v>1406</v>
      </c>
      <c r="AC13" s="6">
        <f t="shared" si="5"/>
        <v>2</v>
      </c>
      <c r="AD13" s="6">
        <f t="shared" si="6"/>
        <v>1003</v>
      </c>
      <c r="AE13" s="6">
        <v>1</v>
      </c>
      <c r="AG13" s="86">
        <v>9</v>
      </c>
      <c r="AI13" s="11" t="str">
        <f t="shared" si="7"/>
        <v>物品类型</v>
      </c>
      <c r="AJ13" s="11" t="str">
        <f t="shared" si="8"/>
        <v>id</v>
      </c>
      <c r="AK13" s="86" t="s">
        <v>1403</v>
      </c>
      <c r="AL13" s="86">
        <f t="shared" si="19"/>
        <v>0</v>
      </c>
      <c r="AM13" s="1">
        <f t="shared" si="20"/>
        <v>0</v>
      </c>
      <c r="AN13" s="1" t="str">
        <f t="shared" si="9"/>
        <v>物品类型</v>
      </c>
      <c r="AO13" s="1" t="str">
        <f t="shared" si="10"/>
        <v>id</v>
      </c>
      <c r="AP13" s="503"/>
      <c r="AQ13" s="1">
        <f t="shared" si="21"/>
        <v>0</v>
      </c>
      <c r="AU13" s="1" t="str">
        <f>'抽奖|MoonBless'!DN13</f>
        <v>超级武器1</v>
      </c>
      <c r="AV13" s="1">
        <f>'抽奖|MoonBless'!DO13</f>
        <v>5</v>
      </c>
      <c r="AW13" s="1">
        <f>'抽奖|MoonBless'!DP13</f>
        <v>100</v>
      </c>
      <c r="AX13" s="1">
        <f>'抽奖|MoonBless'!DQ13</f>
        <v>2</v>
      </c>
      <c r="AY13" s="1">
        <f>'抽奖|MoonBless'!DR13</f>
        <v>1005</v>
      </c>
      <c r="AZ13" s="1">
        <f>'抽奖|MoonBless'!DS13</f>
        <v>1</v>
      </c>
      <c r="BA13" s="1">
        <f t="shared" si="22"/>
        <v>999999.99999999988</v>
      </c>
    </row>
    <row r="14" spans="1:53" ht="16.2" x14ac:dyDescent="0.35">
      <c r="A14" s="1">
        <v>10</v>
      </c>
      <c r="B14" s="86">
        <f t="shared" si="11"/>
        <v>2000</v>
      </c>
      <c r="C14" s="39" t="str">
        <f t="shared" si="12"/>
        <v>1|1|2</v>
      </c>
      <c r="D14" s="39" t="str">
        <f t="shared" si="13"/>
        <v>2|1002|1</v>
      </c>
      <c r="E14" s="39" t="str">
        <f t="shared" si="14"/>
        <v>2|1004|1</v>
      </c>
      <c r="F14" s="39" t="str">
        <f t="shared" si="15"/>
        <v>2|1002|1</v>
      </c>
      <c r="G14" s="39" t="str">
        <f t="shared" si="16"/>
        <v>2|1002|20</v>
      </c>
      <c r="H14" s="39">
        <v>0</v>
      </c>
      <c r="I14" s="39"/>
      <c r="J14" s="39"/>
      <c r="L14" s="1">
        <v>5.8</v>
      </c>
      <c r="M14" s="1">
        <f>SUM($L$5:L14)</f>
        <v>37.299999999999997</v>
      </c>
      <c r="N14" s="463">
        <f t="shared" si="17"/>
        <v>0.15541666666666665</v>
      </c>
      <c r="O14" s="1">
        <v>0.96</v>
      </c>
      <c r="P14" s="1">
        <f t="shared" si="0"/>
        <v>345.59999999999997</v>
      </c>
      <c r="Q14" s="1">
        <f t="shared" si="18"/>
        <v>2000</v>
      </c>
      <c r="T14" s="6" t="s">
        <v>1369</v>
      </c>
      <c r="U14" s="70">
        <f t="shared" si="1"/>
        <v>1</v>
      </c>
      <c r="V14" s="70">
        <f t="shared" si="2"/>
        <v>1</v>
      </c>
      <c r="W14" s="469">
        <v>2</v>
      </c>
      <c r="X14" s="68" t="s">
        <v>1402</v>
      </c>
      <c r="Y14" s="6">
        <f t="shared" si="3"/>
        <v>2</v>
      </c>
      <c r="Z14" s="6">
        <f t="shared" si="4"/>
        <v>1002</v>
      </c>
      <c r="AA14" s="6">
        <v>1</v>
      </c>
      <c r="AB14" s="68" t="s">
        <v>1405</v>
      </c>
      <c r="AC14" s="6">
        <f t="shared" si="5"/>
        <v>2</v>
      </c>
      <c r="AD14" s="6">
        <f t="shared" si="6"/>
        <v>1004</v>
      </c>
      <c r="AE14" s="6">
        <v>1</v>
      </c>
      <c r="AG14" s="59">
        <v>10</v>
      </c>
      <c r="AH14" s="1" t="s">
        <v>1402</v>
      </c>
      <c r="AI14" s="11">
        <f t="shared" si="7"/>
        <v>2</v>
      </c>
      <c r="AJ14" s="11">
        <f t="shared" si="8"/>
        <v>1002</v>
      </c>
      <c r="AK14" s="86">
        <v>1</v>
      </c>
      <c r="AL14" s="86">
        <f t="shared" si="19"/>
        <v>49999.999999999993</v>
      </c>
      <c r="AM14" s="1" t="str">
        <f t="shared" si="20"/>
        <v>冰冻</v>
      </c>
      <c r="AN14" s="1">
        <f t="shared" si="9"/>
        <v>2</v>
      </c>
      <c r="AO14" s="1">
        <f t="shared" si="10"/>
        <v>1002</v>
      </c>
      <c r="AP14" s="503">
        <v>20</v>
      </c>
      <c r="AQ14" s="1">
        <f t="shared" si="21"/>
        <v>999999.99999999988</v>
      </c>
      <c r="AU14" s="1" t="str">
        <f>'抽奖|MoonBless'!DN14</f>
        <v>超级武器2</v>
      </c>
      <c r="AV14" s="1">
        <f>'抽奖|MoonBless'!DO14</f>
        <v>10</v>
      </c>
      <c r="AW14" s="1">
        <f>'抽奖|MoonBless'!DP14</f>
        <v>200</v>
      </c>
      <c r="AX14" s="1">
        <f>'抽奖|MoonBless'!DQ14</f>
        <v>2</v>
      </c>
      <c r="AY14" s="1">
        <f>'抽奖|MoonBless'!DR14</f>
        <v>1006</v>
      </c>
      <c r="AZ14" s="1">
        <f>'抽奖|MoonBless'!DS14</f>
        <v>1</v>
      </c>
      <c r="BA14" s="1">
        <f t="shared" si="22"/>
        <v>1999999.9999999998</v>
      </c>
    </row>
    <row r="15" spans="1:53" ht="16.2" x14ac:dyDescent="0.35">
      <c r="A15" s="1">
        <v>11</v>
      </c>
      <c r="B15" s="86">
        <f t="shared" si="11"/>
        <v>2070</v>
      </c>
      <c r="C15" s="39" t="str">
        <f t="shared" si="12"/>
        <v>1|1|2</v>
      </c>
      <c r="D15" s="39" t="str">
        <f t="shared" si="13"/>
        <v>2|1001|1</v>
      </c>
      <c r="E15" s="39" t="str">
        <f t="shared" si="14"/>
        <v>2|1002|1</v>
      </c>
      <c r="F15" s="39" t="str">
        <f t="shared" si="15"/>
        <v/>
      </c>
      <c r="G15" s="39" t="str">
        <f t="shared" si="16"/>
        <v/>
      </c>
      <c r="H15" s="39">
        <v>0</v>
      </c>
      <c r="I15" s="39"/>
      <c r="J15" s="39"/>
      <c r="L15" s="1">
        <v>6</v>
      </c>
      <c r="M15" s="1">
        <f>SUM($L$5:L15)</f>
        <v>43.3</v>
      </c>
      <c r="N15" s="463">
        <f t="shared" si="17"/>
        <v>0.18041666666666664</v>
      </c>
      <c r="O15" s="1">
        <v>0.96</v>
      </c>
      <c r="P15" s="1">
        <f t="shared" si="0"/>
        <v>345.59999999999997</v>
      </c>
      <c r="Q15" s="1">
        <f t="shared" si="18"/>
        <v>2070</v>
      </c>
      <c r="T15" s="6" t="s">
        <v>1369</v>
      </c>
      <c r="U15" s="70">
        <f t="shared" si="1"/>
        <v>1</v>
      </c>
      <c r="V15" s="70">
        <f t="shared" si="2"/>
        <v>1</v>
      </c>
      <c r="W15" s="469">
        <v>2</v>
      </c>
      <c r="X15" s="68" t="s">
        <v>1401</v>
      </c>
      <c r="Y15" s="6">
        <f t="shared" si="3"/>
        <v>2</v>
      </c>
      <c r="Z15" s="6">
        <f t="shared" si="4"/>
        <v>1001</v>
      </c>
      <c r="AA15" s="6">
        <v>1</v>
      </c>
      <c r="AB15" s="68" t="s">
        <v>1402</v>
      </c>
      <c r="AC15" s="6">
        <f t="shared" si="5"/>
        <v>2</v>
      </c>
      <c r="AD15" s="6">
        <f t="shared" si="6"/>
        <v>1002</v>
      </c>
      <c r="AE15" s="6">
        <v>1</v>
      </c>
      <c r="AG15" s="86">
        <v>11</v>
      </c>
      <c r="AI15" s="11" t="str">
        <f t="shared" si="7"/>
        <v>物品类型</v>
      </c>
      <c r="AJ15" s="11" t="str">
        <f t="shared" si="8"/>
        <v>id</v>
      </c>
      <c r="AK15" s="86" t="s">
        <v>1403</v>
      </c>
      <c r="AL15" s="86">
        <f t="shared" si="19"/>
        <v>0</v>
      </c>
      <c r="AM15" s="1">
        <f t="shared" si="20"/>
        <v>0</v>
      </c>
      <c r="AN15" s="1" t="str">
        <f t="shared" si="9"/>
        <v>物品类型</v>
      </c>
      <c r="AO15" s="1" t="str">
        <f t="shared" si="10"/>
        <v>id</v>
      </c>
      <c r="AP15" s="503"/>
      <c r="AQ15" s="1">
        <f t="shared" si="21"/>
        <v>0</v>
      </c>
      <c r="AU15" s="1" t="str">
        <f>'抽奖|MoonBless'!DN15</f>
        <v>超级武器3</v>
      </c>
      <c r="AV15" s="1">
        <f>'抽奖|MoonBless'!DO15</f>
        <v>25</v>
      </c>
      <c r="AW15" s="1">
        <f>'抽奖|MoonBless'!DP15</f>
        <v>500</v>
      </c>
      <c r="AX15" s="1">
        <f>'抽奖|MoonBless'!DQ15</f>
        <v>2</v>
      </c>
      <c r="AY15" s="1">
        <f>'抽奖|MoonBless'!DR15</f>
        <v>1007</v>
      </c>
      <c r="AZ15" s="1">
        <f>'抽奖|MoonBless'!DS15</f>
        <v>1</v>
      </c>
      <c r="BA15" s="1">
        <f t="shared" si="22"/>
        <v>5000000</v>
      </c>
    </row>
    <row r="16" spans="1:53" ht="16.2" x14ac:dyDescent="0.35">
      <c r="A16" s="1">
        <v>12</v>
      </c>
      <c r="B16" s="86">
        <f t="shared" si="11"/>
        <v>2140</v>
      </c>
      <c r="C16" s="39" t="str">
        <f t="shared" si="12"/>
        <v>1|1|2</v>
      </c>
      <c r="D16" s="39" t="str">
        <f t="shared" si="13"/>
        <v>2|1002|1</v>
      </c>
      <c r="E16" s="39" t="str">
        <f t="shared" si="14"/>
        <v>2|1004|1</v>
      </c>
      <c r="F16" s="39" t="str">
        <f t="shared" si="15"/>
        <v/>
      </c>
      <c r="G16" s="39" t="str">
        <f t="shared" si="16"/>
        <v/>
      </c>
      <c r="H16" s="39">
        <v>0</v>
      </c>
      <c r="I16" s="39"/>
      <c r="J16" s="39"/>
      <c r="L16" s="1">
        <v>6.2</v>
      </c>
      <c r="M16" s="1">
        <f>SUM($L$5:L16)</f>
        <v>49.5</v>
      </c>
      <c r="N16" s="463">
        <f t="shared" si="17"/>
        <v>0.20624999999999999</v>
      </c>
      <c r="O16" s="1">
        <v>0.96</v>
      </c>
      <c r="P16" s="1">
        <f t="shared" si="0"/>
        <v>345.59999999999997</v>
      </c>
      <c r="Q16" s="1">
        <f t="shared" si="18"/>
        <v>2140</v>
      </c>
      <c r="T16" s="6" t="s">
        <v>1369</v>
      </c>
      <c r="U16" s="70">
        <f t="shared" si="1"/>
        <v>1</v>
      </c>
      <c r="V16" s="70">
        <f t="shared" si="2"/>
        <v>1</v>
      </c>
      <c r="W16" s="469">
        <v>2</v>
      </c>
      <c r="X16" s="68" t="s">
        <v>1402</v>
      </c>
      <c r="Y16" s="6">
        <f t="shared" si="3"/>
        <v>2</v>
      </c>
      <c r="Z16" s="6">
        <f t="shared" si="4"/>
        <v>1002</v>
      </c>
      <c r="AA16" s="6">
        <v>1</v>
      </c>
      <c r="AB16" s="68" t="s">
        <v>1405</v>
      </c>
      <c r="AC16" s="6">
        <f t="shared" si="5"/>
        <v>2</v>
      </c>
      <c r="AD16" s="6">
        <f t="shared" si="6"/>
        <v>1004</v>
      </c>
      <c r="AE16" s="6">
        <v>1</v>
      </c>
      <c r="AG16" s="86">
        <v>12</v>
      </c>
      <c r="AI16" s="11" t="str">
        <f t="shared" si="7"/>
        <v>物品类型</v>
      </c>
      <c r="AJ16" s="11" t="str">
        <f t="shared" si="8"/>
        <v>id</v>
      </c>
      <c r="AK16" s="86" t="s">
        <v>1403</v>
      </c>
      <c r="AL16" s="86">
        <f t="shared" si="19"/>
        <v>0</v>
      </c>
      <c r="AM16" s="1">
        <f t="shared" si="20"/>
        <v>0</v>
      </c>
      <c r="AN16" s="1" t="str">
        <f t="shared" si="9"/>
        <v>物品类型</v>
      </c>
      <c r="AO16" s="1" t="str">
        <f t="shared" si="10"/>
        <v>id</v>
      </c>
      <c r="AP16" s="503"/>
      <c r="AQ16" s="1">
        <f t="shared" si="21"/>
        <v>0</v>
      </c>
      <c r="AU16" s="1" t="str">
        <f>'抽奖|MoonBless'!DN16</f>
        <v>超级武器4</v>
      </c>
      <c r="AV16" s="1">
        <f>'抽奖|MoonBless'!DO16</f>
        <v>50</v>
      </c>
      <c r="AW16" s="1">
        <f>'抽奖|MoonBless'!DP16</f>
        <v>1000</v>
      </c>
      <c r="AX16" s="1">
        <f>'抽奖|MoonBless'!DQ16</f>
        <v>2</v>
      </c>
      <c r="AY16" s="1">
        <f>'抽奖|MoonBless'!DR16</f>
        <v>1008</v>
      </c>
      <c r="AZ16" s="1">
        <f>'抽奖|MoonBless'!DS16</f>
        <v>1</v>
      </c>
      <c r="BA16" s="1">
        <f t="shared" si="22"/>
        <v>10000000</v>
      </c>
    </row>
    <row r="17" spans="1:53" ht="16.2" x14ac:dyDescent="0.35">
      <c r="A17" s="1">
        <v>13</v>
      </c>
      <c r="B17" s="86">
        <f t="shared" si="11"/>
        <v>2250</v>
      </c>
      <c r="C17" s="39" t="str">
        <f t="shared" si="12"/>
        <v>1|1|2</v>
      </c>
      <c r="D17" s="39" t="str">
        <f t="shared" si="13"/>
        <v>2|1001|1</v>
      </c>
      <c r="E17" s="39" t="str">
        <f t="shared" si="14"/>
        <v>2|1004|1</v>
      </c>
      <c r="F17" s="39" t="str">
        <f t="shared" si="15"/>
        <v>1|1|2</v>
      </c>
      <c r="G17" s="39" t="str">
        <f t="shared" si="16"/>
        <v>1|1|100</v>
      </c>
      <c r="H17" s="39">
        <v>0</v>
      </c>
      <c r="I17" s="39"/>
      <c r="J17" s="39"/>
      <c r="L17" s="1">
        <v>6.5</v>
      </c>
      <c r="M17" s="1">
        <f>SUM($L$5:L17)</f>
        <v>56</v>
      </c>
      <c r="N17" s="463">
        <f t="shared" si="17"/>
        <v>0.23333333333333334</v>
      </c>
      <c r="O17" s="1">
        <v>0.96</v>
      </c>
      <c r="P17" s="1">
        <f t="shared" si="0"/>
        <v>345.59999999999997</v>
      </c>
      <c r="Q17" s="1">
        <f t="shared" si="18"/>
        <v>2250</v>
      </c>
      <c r="T17" s="6" t="s">
        <v>1369</v>
      </c>
      <c r="U17" s="70">
        <f t="shared" si="1"/>
        <v>1</v>
      </c>
      <c r="V17" s="70">
        <f t="shared" si="2"/>
        <v>1</v>
      </c>
      <c r="W17" s="469">
        <v>2</v>
      </c>
      <c r="X17" s="68" t="s">
        <v>1401</v>
      </c>
      <c r="Y17" s="6">
        <f t="shared" si="3"/>
        <v>2</v>
      </c>
      <c r="Z17" s="6">
        <f t="shared" si="4"/>
        <v>1001</v>
      </c>
      <c r="AA17" s="6">
        <v>1</v>
      </c>
      <c r="AB17" s="68" t="s">
        <v>1405</v>
      </c>
      <c r="AC17" s="6">
        <f t="shared" si="5"/>
        <v>2</v>
      </c>
      <c r="AD17" s="6">
        <f t="shared" si="6"/>
        <v>1004</v>
      </c>
      <c r="AE17" s="6">
        <v>1</v>
      </c>
      <c r="AG17" s="59">
        <v>13</v>
      </c>
      <c r="AH17" s="1" t="s">
        <v>1369</v>
      </c>
      <c r="AI17" s="11">
        <f t="shared" si="7"/>
        <v>1</v>
      </c>
      <c r="AJ17" s="11">
        <f t="shared" si="8"/>
        <v>1</v>
      </c>
      <c r="AK17" s="86">
        <v>2</v>
      </c>
      <c r="AL17" s="86">
        <f t="shared" si="19"/>
        <v>40000</v>
      </c>
      <c r="AM17" s="1" t="str">
        <f t="shared" si="20"/>
        <v>钻石</v>
      </c>
      <c r="AN17" s="1">
        <f t="shared" si="9"/>
        <v>1</v>
      </c>
      <c r="AO17" s="1">
        <f t="shared" si="10"/>
        <v>1</v>
      </c>
      <c r="AP17" s="503">
        <v>100</v>
      </c>
      <c r="AQ17" s="1">
        <f t="shared" si="21"/>
        <v>2000000</v>
      </c>
      <c r="AU17" s="1" t="str">
        <f>'抽奖|MoonBless'!DN17</f>
        <v>5元话费卡</v>
      </c>
      <c r="AV17" s="1">
        <f>'抽奖|MoonBless'!DO17</f>
        <v>5</v>
      </c>
      <c r="AW17" s="1">
        <f>'抽奖|MoonBless'!DP17</f>
        <v>100</v>
      </c>
      <c r="AX17" s="1">
        <f>'抽奖|MoonBless'!DQ17</f>
        <v>2</v>
      </c>
      <c r="AY17" s="1">
        <f>'抽奖|MoonBless'!DR17</f>
        <v>1206</v>
      </c>
      <c r="AZ17" s="1">
        <f>'抽奖|MoonBless'!DS17</f>
        <v>1</v>
      </c>
      <c r="BA17" s="1">
        <f t="shared" si="22"/>
        <v>999999.99999999988</v>
      </c>
    </row>
    <row r="18" spans="1:53" ht="16.2" x14ac:dyDescent="0.35">
      <c r="A18" s="1">
        <v>14</v>
      </c>
      <c r="B18" s="86">
        <f t="shared" si="11"/>
        <v>2420</v>
      </c>
      <c r="C18" s="39" t="str">
        <f t="shared" si="12"/>
        <v>1|1|2</v>
      </c>
      <c r="D18" s="39" t="str">
        <f t="shared" si="13"/>
        <v>2|1002|1</v>
      </c>
      <c r="E18" s="39" t="str">
        <f t="shared" si="14"/>
        <v>2|1003|1</v>
      </c>
      <c r="F18" s="39" t="str">
        <f t="shared" si="15"/>
        <v/>
      </c>
      <c r="G18" s="39" t="str">
        <f t="shared" si="16"/>
        <v/>
      </c>
      <c r="H18" s="39">
        <v>0</v>
      </c>
      <c r="I18" s="39"/>
      <c r="J18" s="39"/>
      <c r="L18" s="1">
        <v>7</v>
      </c>
      <c r="M18" s="464">
        <f>SUM($L$5:L18)</f>
        <v>63</v>
      </c>
      <c r="N18" s="463">
        <f t="shared" si="17"/>
        <v>0.26250000000000001</v>
      </c>
      <c r="O18" s="1">
        <v>0.96</v>
      </c>
      <c r="P18" s="1">
        <f t="shared" si="0"/>
        <v>345.59999999999997</v>
      </c>
      <c r="Q18" s="1">
        <f t="shared" si="18"/>
        <v>2420</v>
      </c>
      <c r="T18" s="6" t="s">
        <v>1369</v>
      </c>
      <c r="U18" s="70">
        <f t="shared" si="1"/>
        <v>1</v>
      </c>
      <c r="V18" s="70">
        <f t="shared" si="2"/>
        <v>1</v>
      </c>
      <c r="W18" s="469">
        <v>2</v>
      </c>
      <c r="X18" s="68" t="s">
        <v>1402</v>
      </c>
      <c r="Y18" s="6">
        <f t="shared" si="3"/>
        <v>2</v>
      </c>
      <c r="Z18" s="6">
        <f t="shared" si="4"/>
        <v>1002</v>
      </c>
      <c r="AA18" s="6">
        <v>1</v>
      </c>
      <c r="AB18" s="68" t="s">
        <v>1406</v>
      </c>
      <c r="AC18" s="6">
        <f t="shared" si="5"/>
        <v>2</v>
      </c>
      <c r="AD18" s="6">
        <f t="shared" si="6"/>
        <v>1003</v>
      </c>
      <c r="AE18" s="6">
        <v>1</v>
      </c>
      <c r="AG18" s="86">
        <v>14</v>
      </c>
      <c r="AI18" s="11" t="str">
        <f t="shared" si="7"/>
        <v>物品类型</v>
      </c>
      <c r="AJ18" s="11" t="str">
        <f t="shared" si="8"/>
        <v>id</v>
      </c>
      <c r="AK18" s="86" t="s">
        <v>1403</v>
      </c>
      <c r="AL18" s="86">
        <f t="shared" si="19"/>
        <v>0</v>
      </c>
      <c r="AM18" s="1">
        <f t="shared" si="20"/>
        <v>0</v>
      </c>
      <c r="AN18" s="1" t="str">
        <f t="shared" si="9"/>
        <v>物品类型</v>
      </c>
      <c r="AO18" s="1" t="str">
        <f t="shared" si="10"/>
        <v>id</v>
      </c>
      <c r="AP18" s="503"/>
      <c r="AQ18" s="1">
        <f t="shared" si="21"/>
        <v>0</v>
      </c>
      <c r="AU18" s="1" t="str">
        <f>'抽奖|MoonBless'!DN18</f>
        <v>2元话费卡</v>
      </c>
      <c r="AV18" s="1">
        <f>'抽奖|MoonBless'!DO18</f>
        <v>2</v>
      </c>
      <c r="AW18" s="1">
        <f>'抽奖|MoonBless'!DP18</f>
        <v>40</v>
      </c>
      <c r="AX18" s="1">
        <f>'抽奖|MoonBless'!DQ18</f>
        <v>2</v>
      </c>
      <c r="AY18" s="1">
        <f>'抽奖|MoonBless'!DR18</f>
        <v>1205</v>
      </c>
      <c r="AZ18" s="1">
        <f>'抽奖|MoonBless'!DS18</f>
        <v>1</v>
      </c>
      <c r="BA18" s="1">
        <f t="shared" si="22"/>
        <v>399999.99999999994</v>
      </c>
    </row>
    <row r="19" spans="1:53" ht="16.2" x14ac:dyDescent="0.35">
      <c r="A19" s="1">
        <v>15</v>
      </c>
      <c r="B19" s="86">
        <f t="shared" si="11"/>
        <v>3460</v>
      </c>
      <c r="C19" s="39" t="str">
        <f t="shared" si="12"/>
        <v>1|1|2</v>
      </c>
      <c r="D19" s="39" t="str">
        <f t="shared" si="13"/>
        <v>2|1001|1</v>
      </c>
      <c r="E19" s="39" t="str">
        <f t="shared" si="14"/>
        <v>2|1002|1</v>
      </c>
      <c r="F19" s="39" t="str">
        <f t="shared" si="15"/>
        <v>1|2|30000</v>
      </c>
      <c r="G19" s="39" t="str">
        <f t="shared" si="16"/>
        <v>1|2|3000000</v>
      </c>
      <c r="H19" s="39">
        <v>0</v>
      </c>
      <c r="I19" s="39"/>
      <c r="J19" s="39"/>
      <c r="L19" s="1">
        <v>10</v>
      </c>
      <c r="M19" s="1">
        <f>SUM($L$5:L19)</f>
        <v>73</v>
      </c>
      <c r="N19" s="463">
        <f t="shared" si="17"/>
        <v>0.30416666666666664</v>
      </c>
      <c r="O19" s="1">
        <v>0.96</v>
      </c>
      <c r="P19" s="1">
        <f t="shared" si="0"/>
        <v>345.59999999999997</v>
      </c>
      <c r="Q19" s="1">
        <f t="shared" si="18"/>
        <v>3460</v>
      </c>
      <c r="T19" s="6" t="s">
        <v>1369</v>
      </c>
      <c r="U19" s="70">
        <f t="shared" si="1"/>
        <v>1</v>
      </c>
      <c r="V19" s="70">
        <f t="shared" si="2"/>
        <v>1</v>
      </c>
      <c r="W19" s="469">
        <v>2</v>
      </c>
      <c r="X19" s="68" t="s">
        <v>1401</v>
      </c>
      <c r="Y19" s="6">
        <f t="shared" si="3"/>
        <v>2</v>
      </c>
      <c r="Z19" s="6">
        <f t="shared" si="4"/>
        <v>1001</v>
      </c>
      <c r="AA19" s="6">
        <v>1</v>
      </c>
      <c r="AB19" s="68" t="s">
        <v>1402</v>
      </c>
      <c r="AC19" s="6">
        <f t="shared" si="5"/>
        <v>2</v>
      </c>
      <c r="AD19" s="6">
        <f t="shared" si="6"/>
        <v>1002</v>
      </c>
      <c r="AE19" s="6">
        <v>1</v>
      </c>
      <c r="AG19" s="59">
        <v>15</v>
      </c>
      <c r="AH19" s="1" t="s">
        <v>177</v>
      </c>
      <c r="AI19" s="11">
        <f t="shared" si="7"/>
        <v>1</v>
      </c>
      <c r="AJ19" s="11">
        <f t="shared" si="8"/>
        <v>2</v>
      </c>
      <c r="AK19" s="86">
        <v>30000</v>
      </c>
      <c r="AL19" s="86">
        <f t="shared" si="19"/>
        <v>30000</v>
      </c>
      <c r="AM19" s="1" t="str">
        <f t="shared" si="20"/>
        <v>金币</v>
      </c>
      <c r="AN19" s="1">
        <f t="shared" si="9"/>
        <v>1</v>
      </c>
      <c r="AO19" s="1">
        <f t="shared" si="10"/>
        <v>2</v>
      </c>
      <c r="AP19" s="503">
        <v>3000000</v>
      </c>
      <c r="AQ19" s="1">
        <f t="shared" si="21"/>
        <v>3000000</v>
      </c>
      <c r="AU19" s="1" t="str">
        <f>'抽奖|MoonBless'!DN19</f>
        <v>高压锅</v>
      </c>
      <c r="AV19" s="1">
        <f>'抽奖|MoonBless'!DO19</f>
        <v>200</v>
      </c>
      <c r="AW19" s="1">
        <f>'抽奖|MoonBless'!DP19</f>
        <v>4000</v>
      </c>
      <c r="AX19" s="1">
        <f>'抽奖|MoonBless'!DQ19</f>
        <v>2</v>
      </c>
      <c r="AY19" s="1">
        <f>'抽奖|MoonBless'!DR19</f>
        <v>1208</v>
      </c>
      <c r="AZ19" s="1">
        <f>'抽奖|MoonBless'!DS19</f>
        <v>1</v>
      </c>
      <c r="BA19" s="1">
        <f t="shared" si="22"/>
        <v>40000000</v>
      </c>
    </row>
    <row r="20" spans="1:53" ht="16.2" x14ac:dyDescent="0.35">
      <c r="A20" s="1">
        <v>16</v>
      </c>
      <c r="B20" s="86">
        <f t="shared" si="11"/>
        <v>6910</v>
      </c>
      <c r="C20" s="39" t="str">
        <f t="shared" si="12"/>
        <v>1|1|2</v>
      </c>
      <c r="D20" s="39" t="str">
        <f t="shared" si="13"/>
        <v>2|1002|1</v>
      </c>
      <c r="E20" s="39" t="str">
        <f t="shared" si="14"/>
        <v>2|1004|1</v>
      </c>
      <c r="F20" s="39" t="str">
        <f t="shared" si="15"/>
        <v/>
      </c>
      <c r="G20" s="39" t="str">
        <f t="shared" si="16"/>
        <v/>
      </c>
      <c r="H20" s="39">
        <v>0</v>
      </c>
      <c r="I20" s="39"/>
      <c r="J20" s="39"/>
      <c r="L20" s="1">
        <v>20</v>
      </c>
      <c r="M20" s="1">
        <f>SUM($L$5:L20)</f>
        <v>93</v>
      </c>
      <c r="N20" s="463">
        <f t="shared" si="17"/>
        <v>0.38750000000000001</v>
      </c>
      <c r="O20" s="1">
        <v>0.96</v>
      </c>
      <c r="P20" s="1">
        <f t="shared" si="0"/>
        <v>345.59999999999997</v>
      </c>
      <c r="Q20" s="1">
        <f t="shared" si="18"/>
        <v>6910</v>
      </c>
      <c r="T20" s="6" t="s">
        <v>1369</v>
      </c>
      <c r="U20" s="70">
        <f t="shared" si="1"/>
        <v>1</v>
      </c>
      <c r="V20" s="70">
        <f t="shared" si="2"/>
        <v>1</v>
      </c>
      <c r="W20" s="469">
        <v>2</v>
      </c>
      <c r="X20" s="68" t="s">
        <v>1402</v>
      </c>
      <c r="Y20" s="6">
        <f t="shared" si="3"/>
        <v>2</v>
      </c>
      <c r="Z20" s="6">
        <f t="shared" si="4"/>
        <v>1002</v>
      </c>
      <c r="AA20" s="6">
        <v>1</v>
      </c>
      <c r="AB20" s="68" t="s">
        <v>1405</v>
      </c>
      <c r="AC20" s="6">
        <f t="shared" si="5"/>
        <v>2</v>
      </c>
      <c r="AD20" s="6">
        <f t="shared" si="6"/>
        <v>1004</v>
      </c>
      <c r="AE20" s="6">
        <v>1</v>
      </c>
      <c r="AG20" s="86">
        <v>16</v>
      </c>
      <c r="AI20" s="11" t="str">
        <f t="shared" si="7"/>
        <v>物品类型</v>
      </c>
      <c r="AJ20" s="11" t="str">
        <f t="shared" si="8"/>
        <v>id</v>
      </c>
      <c r="AK20" s="86" t="s">
        <v>1403</v>
      </c>
      <c r="AL20" s="86">
        <f t="shared" si="19"/>
        <v>0</v>
      </c>
      <c r="AM20" s="1">
        <f t="shared" si="20"/>
        <v>0</v>
      </c>
      <c r="AN20" s="1" t="str">
        <f t="shared" si="9"/>
        <v>物品类型</v>
      </c>
      <c r="AO20" s="1" t="str">
        <f t="shared" si="10"/>
        <v>id</v>
      </c>
      <c r="AP20" s="503"/>
      <c r="AQ20" s="1">
        <f t="shared" si="21"/>
        <v>0</v>
      </c>
      <c r="AU20" s="1" t="str">
        <f>'抽奖|MoonBless'!DN20</f>
        <v>30元话费卡</v>
      </c>
      <c r="AV20" s="1">
        <f>'抽奖|MoonBless'!DO20</f>
        <v>30</v>
      </c>
      <c r="AW20" s="1">
        <f>'抽奖|MoonBless'!DP20</f>
        <v>600</v>
      </c>
      <c r="AX20" s="1">
        <f>'抽奖|MoonBless'!DQ20</f>
        <v>2</v>
      </c>
      <c r="AY20" s="1">
        <f>'抽奖|MoonBless'!DR20</f>
        <v>1209</v>
      </c>
      <c r="AZ20" s="1">
        <f>'抽奖|MoonBless'!DS20</f>
        <v>1</v>
      </c>
      <c r="BA20" s="1">
        <f t="shared" si="22"/>
        <v>5999999.9999999991</v>
      </c>
    </row>
    <row r="21" spans="1:53" ht="16.2" x14ac:dyDescent="0.35">
      <c r="A21" s="1">
        <v>17</v>
      </c>
      <c r="B21" s="86">
        <f t="shared" si="11"/>
        <v>10370</v>
      </c>
      <c r="C21" s="39" t="str">
        <f t="shared" si="12"/>
        <v>1|1|2</v>
      </c>
      <c r="D21" s="39" t="str">
        <f t="shared" si="13"/>
        <v>2|1001|1</v>
      </c>
      <c r="E21" s="39" t="str">
        <f t="shared" si="14"/>
        <v>2|1004|1</v>
      </c>
      <c r="F21" s="39" t="str">
        <f t="shared" si="15"/>
        <v/>
      </c>
      <c r="G21" s="39" t="str">
        <f t="shared" si="16"/>
        <v/>
      </c>
      <c r="H21" s="39">
        <v>0</v>
      </c>
      <c r="I21" s="39"/>
      <c r="J21" s="39"/>
      <c r="L21" s="1">
        <v>30</v>
      </c>
      <c r="M21" s="1">
        <f>SUM($L$5:L21)</f>
        <v>123</v>
      </c>
      <c r="N21" s="463">
        <f t="shared" si="17"/>
        <v>0.51249999999999996</v>
      </c>
      <c r="O21" s="1">
        <v>0.96</v>
      </c>
      <c r="P21" s="1">
        <f t="shared" si="0"/>
        <v>345.59999999999997</v>
      </c>
      <c r="Q21" s="1">
        <f t="shared" si="18"/>
        <v>10370</v>
      </c>
      <c r="T21" s="6" t="s">
        <v>1369</v>
      </c>
      <c r="U21" s="70">
        <f t="shared" si="1"/>
        <v>1</v>
      </c>
      <c r="V21" s="70">
        <f t="shared" si="2"/>
        <v>1</v>
      </c>
      <c r="W21" s="469">
        <v>2</v>
      </c>
      <c r="X21" s="68" t="s">
        <v>1401</v>
      </c>
      <c r="Y21" s="6">
        <f t="shared" si="3"/>
        <v>2</v>
      </c>
      <c r="Z21" s="6">
        <f t="shared" si="4"/>
        <v>1001</v>
      </c>
      <c r="AA21" s="6">
        <v>1</v>
      </c>
      <c r="AB21" s="68" t="s">
        <v>1405</v>
      </c>
      <c r="AC21" s="6">
        <f t="shared" si="5"/>
        <v>2</v>
      </c>
      <c r="AD21" s="6">
        <f t="shared" si="6"/>
        <v>1004</v>
      </c>
      <c r="AE21" s="6">
        <v>1</v>
      </c>
      <c r="AG21" s="86">
        <v>17</v>
      </c>
      <c r="AI21" s="11" t="str">
        <f t="shared" si="7"/>
        <v>物品类型</v>
      </c>
      <c r="AJ21" s="11" t="str">
        <f t="shared" si="8"/>
        <v>id</v>
      </c>
      <c r="AK21" s="86" t="s">
        <v>1403</v>
      </c>
      <c r="AL21" s="86">
        <f t="shared" si="19"/>
        <v>0</v>
      </c>
      <c r="AM21" s="1">
        <f t="shared" si="20"/>
        <v>0</v>
      </c>
      <c r="AN21" s="1" t="str">
        <f t="shared" si="9"/>
        <v>物品类型</v>
      </c>
      <c r="AO21" s="1" t="str">
        <f t="shared" si="10"/>
        <v>id</v>
      </c>
      <c r="AP21" s="503"/>
      <c r="AQ21" s="1">
        <f t="shared" si="21"/>
        <v>0</v>
      </c>
      <c r="AU21" s="1" t="str">
        <f>'抽奖|MoonBless'!DN21</f>
        <v>50元话费卡</v>
      </c>
      <c r="AV21" s="1">
        <f>'抽奖|MoonBless'!DO21</f>
        <v>50</v>
      </c>
      <c r="AW21" s="1">
        <f>'抽奖|MoonBless'!DP21</f>
        <v>1000</v>
      </c>
      <c r="AX21" s="1">
        <f>'抽奖|MoonBless'!DQ21</f>
        <v>2</v>
      </c>
      <c r="AY21" s="1">
        <f>'抽奖|MoonBless'!DR21</f>
        <v>1210</v>
      </c>
      <c r="AZ21" s="1">
        <f>'抽奖|MoonBless'!DS21</f>
        <v>1</v>
      </c>
      <c r="BA21" s="1">
        <f t="shared" si="22"/>
        <v>10000000</v>
      </c>
    </row>
    <row r="22" spans="1:53" ht="16.2" x14ac:dyDescent="0.35">
      <c r="A22" s="1">
        <v>18</v>
      </c>
      <c r="B22" s="86">
        <f t="shared" si="11"/>
        <v>12100</v>
      </c>
      <c r="C22" s="39" t="str">
        <f t="shared" si="12"/>
        <v>1|1|2</v>
      </c>
      <c r="D22" s="39" t="str">
        <f t="shared" si="13"/>
        <v>2|1002|1</v>
      </c>
      <c r="E22" s="39" t="str">
        <f t="shared" si="14"/>
        <v>2|1004|1</v>
      </c>
      <c r="F22" s="39" t="str">
        <f t="shared" si="15"/>
        <v>1|2|50000</v>
      </c>
      <c r="G22" s="39" t="str">
        <f t="shared" si="16"/>
        <v>1|2|4000000</v>
      </c>
      <c r="H22" s="39">
        <v>0</v>
      </c>
      <c r="I22" s="39"/>
      <c r="J22" s="39"/>
      <c r="L22" s="1">
        <v>35</v>
      </c>
      <c r="M22" s="1">
        <f>SUM($L$5:L22)</f>
        <v>158</v>
      </c>
      <c r="N22" s="463">
        <f t="shared" si="17"/>
        <v>0.65833333333333333</v>
      </c>
      <c r="O22" s="1">
        <v>0.96</v>
      </c>
      <c r="P22" s="1">
        <f t="shared" si="0"/>
        <v>345.59999999999997</v>
      </c>
      <c r="Q22" s="1">
        <f t="shared" si="18"/>
        <v>12100</v>
      </c>
      <c r="T22" s="6" t="s">
        <v>1369</v>
      </c>
      <c r="U22" s="70">
        <f t="shared" si="1"/>
        <v>1</v>
      </c>
      <c r="V22" s="70">
        <f t="shared" si="2"/>
        <v>1</v>
      </c>
      <c r="W22" s="469">
        <v>2</v>
      </c>
      <c r="X22" s="68" t="s">
        <v>1402</v>
      </c>
      <c r="Y22" s="6">
        <f t="shared" si="3"/>
        <v>2</v>
      </c>
      <c r="Z22" s="6">
        <f t="shared" si="4"/>
        <v>1002</v>
      </c>
      <c r="AA22" s="6">
        <v>1</v>
      </c>
      <c r="AB22" s="68" t="s">
        <v>1405</v>
      </c>
      <c r="AC22" s="6">
        <f t="shared" si="5"/>
        <v>2</v>
      </c>
      <c r="AD22" s="6">
        <f t="shared" si="6"/>
        <v>1004</v>
      </c>
      <c r="AE22" s="6">
        <v>1</v>
      </c>
      <c r="AG22" s="59">
        <v>18</v>
      </c>
      <c r="AH22" s="1" t="s">
        <v>177</v>
      </c>
      <c r="AI22" s="11">
        <f t="shared" si="7"/>
        <v>1</v>
      </c>
      <c r="AJ22" s="11">
        <f t="shared" si="8"/>
        <v>2</v>
      </c>
      <c r="AK22" s="86">
        <v>50000</v>
      </c>
      <c r="AL22" s="86">
        <f t="shared" si="19"/>
        <v>50000</v>
      </c>
      <c r="AM22" s="1" t="str">
        <f t="shared" si="20"/>
        <v>金币</v>
      </c>
      <c r="AN22" s="1">
        <f t="shared" si="9"/>
        <v>1</v>
      </c>
      <c r="AO22" s="1">
        <f t="shared" si="10"/>
        <v>2</v>
      </c>
      <c r="AP22" s="503">
        <v>4000000</v>
      </c>
      <c r="AQ22" s="1">
        <f t="shared" si="21"/>
        <v>4000000</v>
      </c>
      <c r="AU22" s="1" t="str">
        <f>'抽奖|MoonBless'!DN22</f>
        <v>活跃度</v>
      </c>
      <c r="AV22" s="1">
        <f>'抽奖|MoonBless'!DO22</f>
        <v>1</v>
      </c>
      <c r="AW22" s="1">
        <f>'抽奖|MoonBless'!DP22</f>
        <v>20</v>
      </c>
      <c r="AX22" s="1">
        <f>'抽奖|MoonBless'!DQ22</f>
        <v>1</v>
      </c>
      <c r="AY22" s="1">
        <f>'抽奖|MoonBless'!DR22</f>
        <v>6</v>
      </c>
      <c r="AZ22" s="1">
        <f>'抽奖|MoonBless'!DS22</f>
        <v>1</v>
      </c>
      <c r="BA22" s="1">
        <f t="shared" si="22"/>
        <v>199999.99999999997</v>
      </c>
    </row>
    <row r="23" spans="1:53" ht="16.2" x14ac:dyDescent="0.35">
      <c r="A23" s="1">
        <v>19</v>
      </c>
      <c r="B23" s="86">
        <f t="shared" si="11"/>
        <v>13820</v>
      </c>
      <c r="C23" s="39" t="str">
        <f t="shared" si="12"/>
        <v>1|1|2</v>
      </c>
      <c r="D23" s="39" t="str">
        <f t="shared" si="13"/>
        <v>2|1001|1</v>
      </c>
      <c r="E23" s="39" t="str">
        <f t="shared" si="14"/>
        <v>2|1003|1</v>
      </c>
      <c r="F23" s="39" t="str">
        <f t="shared" si="15"/>
        <v/>
      </c>
      <c r="G23" s="39" t="str">
        <f t="shared" si="16"/>
        <v/>
      </c>
      <c r="H23" s="39">
        <v>0</v>
      </c>
      <c r="I23" s="39"/>
      <c r="J23" s="39"/>
      <c r="L23" s="1">
        <v>40</v>
      </c>
      <c r="M23" s="1">
        <f>SUM($L$5:L23)</f>
        <v>198</v>
      </c>
      <c r="N23" s="463">
        <f t="shared" si="17"/>
        <v>0.82499999999999996</v>
      </c>
      <c r="O23" s="1">
        <v>0.96</v>
      </c>
      <c r="P23" s="1">
        <f t="shared" si="0"/>
        <v>345.59999999999997</v>
      </c>
      <c r="Q23" s="1">
        <f t="shared" si="18"/>
        <v>13820</v>
      </c>
      <c r="T23" s="6" t="s">
        <v>1369</v>
      </c>
      <c r="U23" s="70">
        <f t="shared" si="1"/>
        <v>1</v>
      </c>
      <c r="V23" s="70">
        <f t="shared" si="2"/>
        <v>1</v>
      </c>
      <c r="W23" s="469">
        <v>2</v>
      </c>
      <c r="X23" s="68" t="s">
        <v>1401</v>
      </c>
      <c r="Y23" s="6">
        <f t="shared" si="3"/>
        <v>2</v>
      </c>
      <c r="Z23" s="6">
        <f t="shared" si="4"/>
        <v>1001</v>
      </c>
      <c r="AA23" s="6">
        <v>1</v>
      </c>
      <c r="AB23" s="68" t="s">
        <v>1406</v>
      </c>
      <c r="AC23" s="6">
        <f t="shared" si="5"/>
        <v>2</v>
      </c>
      <c r="AD23" s="6">
        <f t="shared" si="6"/>
        <v>1003</v>
      </c>
      <c r="AE23" s="6">
        <v>1</v>
      </c>
      <c r="AG23" s="86">
        <v>19</v>
      </c>
      <c r="AI23" s="11" t="str">
        <f t="shared" si="7"/>
        <v>物品类型</v>
      </c>
      <c r="AJ23" s="11" t="str">
        <f t="shared" si="8"/>
        <v>id</v>
      </c>
      <c r="AK23" s="86" t="s">
        <v>1403</v>
      </c>
      <c r="AL23" s="86">
        <f t="shared" si="19"/>
        <v>0</v>
      </c>
      <c r="AM23" s="1">
        <f t="shared" si="20"/>
        <v>0</v>
      </c>
      <c r="AN23" s="1" t="str">
        <f t="shared" si="9"/>
        <v>物品类型</v>
      </c>
      <c r="AO23" s="1" t="str">
        <f t="shared" si="10"/>
        <v>id</v>
      </c>
      <c r="AP23" s="503"/>
      <c r="AQ23" s="1">
        <f t="shared" si="21"/>
        <v>0</v>
      </c>
      <c r="AU23" s="1" t="str">
        <f>'抽奖|MoonBless'!DN23</f>
        <v>红包【恭】</v>
      </c>
      <c r="AV23" s="1">
        <f>'抽奖|MoonBless'!DO23</f>
        <v>1</v>
      </c>
      <c r="AW23" s="1">
        <f>'抽奖|MoonBless'!DP23</f>
        <v>20</v>
      </c>
      <c r="AX23" s="1">
        <f>'抽奖|MoonBless'!DQ23</f>
        <v>2</v>
      </c>
      <c r="AY23" s="1">
        <f>'抽奖|MoonBless'!DR23</f>
        <v>1301</v>
      </c>
      <c r="AZ23" s="1">
        <f>'抽奖|MoonBless'!DS23</f>
        <v>1</v>
      </c>
      <c r="BA23" s="1">
        <f t="shared" si="22"/>
        <v>199999.99999999997</v>
      </c>
    </row>
    <row r="24" spans="1:53" ht="16.2" x14ac:dyDescent="0.35">
      <c r="A24" s="1">
        <v>20</v>
      </c>
      <c r="B24" s="86">
        <f t="shared" si="11"/>
        <v>15550</v>
      </c>
      <c r="C24" s="39" t="str">
        <f t="shared" si="12"/>
        <v>1|1|2</v>
      </c>
      <c r="D24" s="39" t="str">
        <f t="shared" si="13"/>
        <v>2|1002|1</v>
      </c>
      <c r="E24" s="39" t="str">
        <f t="shared" si="14"/>
        <v>2|1004|1</v>
      </c>
      <c r="F24" s="39" t="str">
        <f t="shared" si="15"/>
        <v>1|2|75000</v>
      </c>
      <c r="G24" s="39" t="str">
        <f t="shared" si="16"/>
        <v>2|1007|1</v>
      </c>
      <c r="H24" s="39">
        <v>0</v>
      </c>
      <c r="I24" s="39"/>
      <c r="J24" s="39"/>
      <c r="L24" s="1">
        <v>45</v>
      </c>
      <c r="M24" s="1">
        <f>SUM($L$5:L24)</f>
        <v>243</v>
      </c>
      <c r="N24" s="463">
        <f t="shared" si="17"/>
        <v>1.0125</v>
      </c>
      <c r="O24" s="1">
        <v>0.96</v>
      </c>
      <c r="P24" s="1">
        <f t="shared" si="0"/>
        <v>345.59999999999997</v>
      </c>
      <c r="Q24" s="1">
        <f t="shared" si="18"/>
        <v>15550</v>
      </c>
      <c r="T24" s="6" t="s">
        <v>1369</v>
      </c>
      <c r="U24" s="70">
        <f t="shared" si="1"/>
        <v>1</v>
      </c>
      <c r="V24" s="70">
        <f t="shared" si="2"/>
        <v>1</v>
      </c>
      <c r="W24" s="469">
        <v>2</v>
      </c>
      <c r="X24" s="68" t="s">
        <v>1402</v>
      </c>
      <c r="Y24" s="6">
        <f t="shared" si="3"/>
        <v>2</v>
      </c>
      <c r="Z24" s="6">
        <f t="shared" si="4"/>
        <v>1002</v>
      </c>
      <c r="AA24" s="6">
        <v>1</v>
      </c>
      <c r="AB24" s="68" t="s">
        <v>1405</v>
      </c>
      <c r="AC24" s="6">
        <f t="shared" si="5"/>
        <v>2</v>
      </c>
      <c r="AD24" s="6">
        <f t="shared" si="6"/>
        <v>1004</v>
      </c>
      <c r="AE24" s="6">
        <v>1</v>
      </c>
      <c r="AG24" s="59">
        <v>20</v>
      </c>
      <c r="AH24" s="1" t="s">
        <v>177</v>
      </c>
      <c r="AI24" s="11">
        <f t="shared" si="7"/>
        <v>1</v>
      </c>
      <c r="AJ24" s="11">
        <f t="shared" si="8"/>
        <v>2</v>
      </c>
      <c r="AK24" s="86">
        <v>75000</v>
      </c>
      <c r="AL24" s="86">
        <f t="shared" si="19"/>
        <v>75000</v>
      </c>
      <c r="AM24" s="1" t="s">
        <v>1381</v>
      </c>
      <c r="AN24" s="1">
        <f t="shared" si="9"/>
        <v>2</v>
      </c>
      <c r="AO24" s="1">
        <f t="shared" si="10"/>
        <v>1007</v>
      </c>
      <c r="AP24" s="504">
        <v>1</v>
      </c>
      <c r="AQ24" s="1">
        <f t="shared" si="21"/>
        <v>5000000</v>
      </c>
      <c r="AU24" s="1" t="str">
        <f>'抽奖|MoonBless'!DN24</f>
        <v>红包【喜】</v>
      </c>
      <c r="AV24" s="1">
        <f>'抽奖|MoonBless'!DO24</f>
        <v>1</v>
      </c>
      <c r="AW24" s="1">
        <f>'抽奖|MoonBless'!DP24</f>
        <v>20</v>
      </c>
      <c r="AX24" s="1">
        <f>'抽奖|MoonBless'!DQ24</f>
        <v>2</v>
      </c>
      <c r="AY24" s="1">
        <f>'抽奖|MoonBless'!DR24</f>
        <v>1302</v>
      </c>
      <c r="AZ24" s="1">
        <f>'抽奖|MoonBless'!DS24</f>
        <v>1</v>
      </c>
      <c r="BA24" s="1">
        <f t="shared" si="22"/>
        <v>199999.99999999997</v>
      </c>
    </row>
    <row r="25" spans="1:53" ht="16.2" x14ac:dyDescent="0.35">
      <c r="A25" s="1">
        <v>21</v>
      </c>
      <c r="B25" s="86">
        <f t="shared" si="11"/>
        <v>17280</v>
      </c>
      <c r="C25" s="39" t="str">
        <f t="shared" si="12"/>
        <v>1|1|2</v>
      </c>
      <c r="D25" s="39" t="str">
        <f t="shared" si="13"/>
        <v>2|1001|1</v>
      </c>
      <c r="E25" s="39" t="str">
        <f t="shared" si="14"/>
        <v>2|1002|1</v>
      </c>
      <c r="F25" s="39" t="str">
        <f t="shared" si="15"/>
        <v/>
      </c>
      <c r="G25" s="39" t="str">
        <f t="shared" si="16"/>
        <v/>
      </c>
      <c r="H25" s="39">
        <v>0</v>
      </c>
      <c r="I25" s="39"/>
      <c r="J25" s="39"/>
      <c r="L25" s="1">
        <v>50</v>
      </c>
      <c r="M25" s="1">
        <f>SUM($L$5:L25)</f>
        <v>293</v>
      </c>
      <c r="N25" s="463">
        <f t="shared" si="17"/>
        <v>1.2208333333333334</v>
      </c>
      <c r="O25" s="1">
        <v>0.96</v>
      </c>
      <c r="P25" s="1">
        <f t="shared" si="0"/>
        <v>345.59999999999997</v>
      </c>
      <c r="Q25" s="1">
        <f t="shared" si="18"/>
        <v>17280</v>
      </c>
      <c r="T25" s="6" t="s">
        <v>1369</v>
      </c>
      <c r="U25" s="70">
        <f t="shared" si="1"/>
        <v>1</v>
      </c>
      <c r="V25" s="70">
        <f t="shared" si="2"/>
        <v>1</v>
      </c>
      <c r="W25" s="469">
        <v>2</v>
      </c>
      <c r="X25" s="68" t="s">
        <v>1401</v>
      </c>
      <c r="Y25" s="6">
        <f t="shared" si="3"/>
        <v>2</v>
      </c>
      <c r="Z25" s="6">
        <f t="shared" si="4"/>
        <v>1001</v>
      </c>
      <c r="AA25" s="6">
        <v>1</v>
      </c>
      <c r="AB25" s="68" t="s">
        <v>1402</v>
      </c>
      <c r="AC25" s="6">
        <f t="shared" si="5"/>
        <v>2</v>
      </c>
      <c r="AD25" s="6">
        <f t="shared" si="6"/>
        <v>1002</v>
      </c>
      <c r="AE25" s="6">
        <v>1</v>
      </c>
      <c r="AG25" s="86">
        <v>21</v>
      </c>
      <c r="AI25" s="11" t="str">
        <f t="shared" si="7"/>
        <v>物品类型</v>
      </c>
      <c r="AJ25" s="11" t="str">
        <f t="shared" si="8"/>
        <v>id</v>
      </c>
      <c r="AK25" s="86" t="s">
        <v>1403</v>
      </c>
      <c r="AL25" s="86">
        <f t="shared" si="19"/>
        <v>0</v>
      </c>
      <c r="AM25" s="1">
        <f t="shared" si="20"/>
        <v>0</v>
      </c>
      <c r="AN25" s="1" t="str">
        <f t="shared" si="9"/>
        <v>物品类型</v>
      </c>
      <c r="AO25" s="1" t="str">
        <f t="shared" si="10"/>
        <v>id</v>
      </c>
      <c r="AP25" s="503"/>
      <c r="AQ25" s="1">
        <f t="shared" si="21"/>
        <v>0</v>
      </c>
      <c r="AU25" s="1" t="str">
        <f>'抽奖|MoonBless'!DN25</f>
        <v>红包【发】</v>
      </c>
      <c r="AV25" s="1">
        <f>'抽奖|MoonBless'!DO25</f>
        <v>1</v>
      </c>
      <c r="AW25" s="1">
        <f>'抽奖|MoonBless'!DP25</f>
        <v>20</v>
      </c>
      <c r="AX25" s="1">
        <f>'抽奖|MoonBless'!DQ25</f>
        <v>2</v>
      </c>
      <c r="AY25" s="1">
        <f>'抽奖|MoonBless'!DR25</f>
        <v>1303</v>
      </c>
      <c r="AZ25" s="1">
        <f>'抽奖|MoonBless'!DS25</f>
        <v>1</v>
      </c>
      <c r="BA25" s="1">
        <f t="shared" si="22"/>
        <v>199999.99999999997</v>
      </c>
    </row>
    <row r="26" spans="1:53" ht="16.2" x14ac:dyDescent="0.35">
      <c r="A26" s="1">
        <v>22</v>
      </c>
      <c r="B26" s="86">
        <f t="shared" si="11"/>
        <v>19010</v>
      </c>
      <c r="C26" s="39" t="str">
        <f t="shared" si="12"/>
        <v>1|1|2</v>
      </c>
      <c r="D26" s="39" t="str">
        <f t="shared" si="13"/>
        <v>2|1002|1</v>
      </c>
      <c r="E26" s="39" t="str">
        <f t="shared" si="14"/>
        <v>2|1004|1</v>
      </c>
      <c r="F26" s="39" t="str">
        <f t="shared" si="15"/>
        <v/>
      </c>
      <c r="G26" s="39" t="str">
        <f t="shared" si="16"/>
        <v/>
      </c>
      <c r="H26" s="39">
        <v>0</v>
      </c>
      <c r="I26" s="39"/>
      <c r="J26" s="39"/>
      <c r="L26" s="1">
        <v>55</v>
      </c>
      <c r="M26" s="1">
        <f>SUM($L$5:L26)</f>
        <v>348</v>
      </c>
      <c r="N26" s="463">
        <f t="shared" si="17"/>
        <v>1.45</v>
      </c>
      <c r="O26" s="1">
        <v>0.96</v>
      </c>
      <c r="P26" s="1">
        <f t="shared" si="0"/>
        <v>345.59999999999997</v>
      </c>
      <c r="Q26" s="1">
        <f t="shared" si="18"/>
        <v>19010</v>
      </c>
      <c r="T26" s="6" t="s">
        <v>1369</v>
      </c>
      <c r="U26" s="70">
        <f t="shared" si="1"/>
        <v>1</v>
      </c>
      <c r="V26" s="70">
        <f t="shared" si="2"/>
        <v>1</v>
      </c>
      <c r="W26" s="469">
        <v>2</v>
      </c>
      <c r="X26" s="68" t="s">
        <v>1402</v>
      </c>
      <c r="Y26" s="6">
        <f t="shared" si="3"/>
        <v>2</v>
      </c>
      <c r="Z26" s="6">
        <f t="shared" si="4"/>
        <v>1002</v>
      </c>
      <c r="AA26" s="6">
        <v>1</v>
      </c>
      <c r="AB26" s="68" t="s">
        <v>1405</v>
      </c>
      <c r="AC26" s="6">
        <f t="shared" si="5"/>
        <v>2</v>
      </c>
      <c r="AD26" s="6">
        <f t="shared" si="6"/>
        <v>1004</v>
      </c>
      <c r="AE26" s="6">
        <v>1</v>
      </c>
      <c r="AG26" s="86">
        <v>22</v>
      </c>
      <c r="AI26" s="11" t="str">
        <f t="shared" si="7"/>
        <v>物品类型</v>
      </c>
      <c r="AJ26" s="11" t="str">
        <f t="shared" si="8"/>
        <v>id</v>
      </c>
      <c r="AK26" s="86" t="s">
        <v>1403</v>
      </c>
      <c r="AL26" s="86">
        <f t="shared" si="19"/>
        <v>0</v>
      </c>
      <c r="AM26" s="1">
        <f t="shared" si="20"/>
        <v>0</v>
      </c>
      <c r="AN26" s="1" t="str">
        <f t="shared" si="9"/>
        <v>物品类型</v>
      </c>
      <c r="AO26" s="1" t="str">
        <f t="shared" si="10"/>
        <v>id</v>
      </c>
      <c r="AP26" s="503"/>
      <c r="AQ26" s="1">
        <f t="shared" si="21"/>
        <v>0</v>
      </c>
      <c r="AU26" s="1" t="str">
        <f>'抽奖|MoonBless'!DN26</f>
        <v>红包【财】</v>
      </c>
      <c r="AV26" s="1">
        <f>'抽奖|MoonBless'!DO26</f>
        <v>1</v>
      </c>
      <c r="AW26" s="1">
        <f>'抽奖|MoonBless'!DP26</f>
        <v>20</v>
      </c>
      <c r="AX26" s="1">
        <f>'抽奖|MoonBless'!DQ26</f>
        <v>2</v>
      </c>
      <c r="AY26" s="1">
        <f>'抽奖|MoonBless'!DR26</f>
        <v>1304</v>
      </c>
      <c r="AZ26" s="1">
        <f>'抽奖|MoonBless'!DS26</f>
        <v>1</v>
      </c>
      <c r="BA26" s="1">
        <f t="shared" si="22"/>
        <v>199999.99999999997</v>
      </c>
    </row>
    <row r="27" spans="1:53" ht="16.2" x14ac:dyDescent="0.35">
      <c r="A27" s="1">
        <v>23</v>
      </c>
      <c r="B27" s="86">
        <f t="shared" si="11"/>
        <v>20740</v>
      </c>
      <c r="C27" s="39" t="str">
        <f t="shared" si="12"/>
        <v>1|1|2</v>
      </c>
      <c r="D27" s="39" t="str">
        <f t="shared" si="13"/>
        <v>2|1001|1</v>
      </c>
      <c r="E27" s="39" t="str">
        <f t="shared" si="14"/>
        <v>2|1004|1</v>
      </c>
      <c r="F27" s="39" t="str">
        <f t="shared" si="15"/>
        <v>1|2|100000</v>
      </c>
      <c r="G27" s="39" t="str">
        <f t="shared" si="16"/>
        <v>1|2|6000000</v>
      </c>
      <c r="H27" s="39">
        <v>0</v>
      </c>
      <c r="I27" s="39"/>
      <c r="J27" s="39"/>
      <c r="L27" s="1">
        <v>60</v>
      </c>
      <c r="M27" s="1">
        <f>SUM($L$5:L27)</f>
        <v>408</v>
      </c>
      <c r="N27" s="463">
        <f t="shared" si="17"/>
        <v>1.7</v>
      </c>
      <c r="O27" s="1">
        <v>0.96</v>
      </c>
      <c r="P27" s="1">
        <f t="shared" si="0"/>
        <v>345.59999999999997</v>
      </c>
      <c r="Q27" s="1">
        <f t="shared" si="18"/>
        <v>20740</v>
      </c>
      <c r="T27" s="6" t="s">
        <v>1369</v>
      </c>
      <c r="U27" s="70">
        <f t="shared" si="1"/>
        <v>1</v>
      </c>
      <c r="V27" s="70">
        <f t="shared" si="2"/>
        <v>1</v>
      </c>
      <c r="W27" s="469">
        <v>2</v>
      </c>
      <c r="X27" s="68" t="s">
        <v>1401</v>
      </c>
      <c r="Y27" s="6">
        <f t="shared" si="3"/>
        <v>2</v>
      </c>
      <c r="Z27" s="6">
        <f t="shared" si="4"/>
        <v>1001</v>
      </c>
      <c r="AA27" s="6">
        <v>1</v>
      </c>
      <c r="AB27" s="68" t="s">
        <v>1405</v>
      </c>
      <c r="AC27" s="6">
        <f t="shared" si="5"/>
        <v>2</v>
      </c>
      <c r="AD27" s="6">
        <f t="shared" si="6"/>
        <v>1004</v>
      </c>
      <c r="AE27" s="6">
        <v>1</v>
      </c>
      <c r="AG27" s="59">
        <v>23</v>
      </c>
      <c r="AH27" s="1" t="s">
        <v>177</v>
      </c>
      <c r="AI27" s="11">
        <f t="shared" si="7"/>
        <v>1</v>
      </c>
      <c r="AJ27" s="11">
        <f t="shared" si="8"/>
        <v>2</v>
      </c>
      <c r="AK27" s="86">
        <v>100000</v>
      </c>
      <c r="AL27" s="86">
        <f t="shared" si="19"/>
        <v>100000</v>
      </c>
      <c r="AM27" s="1" t="str">
        <f t="shared" si="20"/>
        <v>金币</v>
      </c>
      <c r="AN27" s="1">
        <f t="shared" si="9"/>
        <v>1</v>
      </c>
      <c r="AO27" s="1">
        <f t="shared" si="10"/>
        <v>2</v>
      </c>
      <c r="AP27" s="503">
        <v>6000000</v>
      </c>
      <c r="AQ27" s="1">
        <f t="shared" si="21"/>
        <v>6000000</v>
      </c>
      <c r="AU27" s="1" t="str">
        <f>'抽奖|MoonBless'!DN27</f>
        <v>双轮</v>
      </c>
      <c r="AV27" s="1">
        <f>'抽奖|MoonBless'!DO27</f>
        <v>30</v>
      </c>
      <c r="AW27" s="1">
        <f>'抽奖|MoonBless'!DP27</f>
        <v>600</v>
      </c>
      <c r="AX27" s="1">
        <f>'抽奖|MoonBless'!DQ27</f>
        <v>2</v>
      </c>
      <c r="AY27" s="1">
        <f>'抽奖|MoonBless'!DR27</f>
        <v>1500</v>
      </c>
      <c r="AZ27" s="1">
        <f>'抽奖|MoonBless'!DS27</f>
        <v>1</v>
      </c>
      <c r="BA27" s="1">
        <f t="shared" si="22"/>
        <v>5999999.9999999991</v>
      </c>
    </row>
    <row r="28" spans="1:53" ht="16.2" x14ac:dyDescent="0.35">
      <c r="A28" s="1">
        <v>24</v>
      </c>
      <c r="B28" s="86">
        <f t="shared" si="11"/>
        <v>22460</v>
      </c>
      <c r="C28" s="39" t="str">
        <f t="shared" si="12"/>
        <v>1|1|2</v>
      </c>
      <c r="D28" s="39" t="str">
        <f t="shared" si="13"/>
        <v>2|1002|1</v>
      </c>
      <c r="E28" s="39" t="str">
        <f t="shared" si="14"/>
        <v>2|1003|1</v>
      </c>
      <c r="F28" s="39" t="str">
        <f t="shared" si="15"/>
        <v/>
      </c>
      <c r="G28" s="39" t="str">
        <f t="shared" si="16"/>
        <v/>
      </c>
      <c r="H28" s="39">
        <v>0</v>
      </c>
      <c r="I28" s="39"/>
      <c r="J28" s="39"/>
      <c r="L28" s="1">
        <v>65</v>
      </c>
      <c r="M28" s="1">
        <f>SUM($L$5:L28)</f>
        <v>473</v>
      </c>
      <c r="N28" s="463">
        <f t="shared" si="17"/>
        <v>1.9708333333333334</v>
      </c>
      <c r="O28" s="1">
        <v>0.96</v>
      </c>
      <c r="P28" s="1">
        <f t="shared" si="0"/>
        <v>345.59999999999997</v>
      </c>
      <c r="Q28" s="1">
        <f t="shared" si="18"/>
        <v>22460</v>
      </c>
      <c r="T28" s="6" t="s">
        <v>1369</v>
      </c>
      <c r="U28" s="70">
        <f t="shared" si="1"/>
        <v>1</v>
      </c>
      <c r="V28" s="70">
        <f t="shared" si="2"/>
        <v>1</v>
      </c>
      <c r="W28" s="469">
        <v>2</v>
      </c>
      <c r="X28" s="68" t="s">
        <v>1402</v>
      </c>
      <c r="Y28" s="6">
        <f t="shared" si="3"/>
        <v>2</v>
      </c>
      <c r="Z28" s="6">
        <f t="shared" si="4"/>
        <v>1002</v>
      </c>
      <c r="AA28" s="6">
        <v>1</v>
      </c>
      <c r="AB28" s="68" t="s">
        <v>1406</v>
      </c>
      <c r="AC28" s="6">
        <f t="shared" si="5"/>
        <v>2</v>
      </c>
      <c r="AD28" s="6">
        <f t="shared" si="6"/>
        <v>1003</v>
      </c>
      <c r="AE28" s="6">
        <v>1</v>
      </c>
      <c r="AG28" s="86">
        <v>24</v>
      </c>
      <c r="AI28" s="11" t="str">
        <f t="shared" si="7"/>
        <v>物品类型</v>
      </c>
      <c r="AJ28" s="11" t="str">
        <f t="shared" si="8"/>
        <v>id</v>
      </c>
      <c r="AK28" s="86" t="s">
        <v>1403</v>
      </c>
      <c r="AL28" s="86">
        <f t="shared" si="19"/>
        <v>0</v>
      </c>
      <c r="AM28" s="1">
        <f t="shared" si="20"/>
        <v>0</v>
      </c>
      <c r="AN28" s="1" t="str">
        <f t="shared" si="9"/>
        <v>物品类型</v>
      </c>
      <c r="AO28" s="1" t="str">
        <f t="shared" si="10"/>
        <v>id</v>
      </c>
      <c r="AP28" s="503"/>
      <c r="AQ28" s="1">
        <f t="shared" si="21"/>
        <v>0</v>
      </c>
      <c r="AU28" s="1" t="str">
        <f>'抽奖|MoonBless'!DN28</f>
        <v>橄榄油</v>
      </c>
      <c r="AV28" s="1">
        <f>'抽奖|MoonBless'!DO28</f>
        <v>60</v>
      </c>
      <c r="AW28" s="1">
        <f>'抽奖|MoonBless'!DP28</f>
        <v>1200</v>
      </c>
      <c r="AX28" s="1">
        <f>'抽奖|MoonBless'!DQ28</f>
        <v>2</v>
      </c>
      <c r="AY28" s="1">
        <f>'抽奖|MoonBless'!DR28</f>
        <v>1503</v>
      </c>
      <c r="AZ28" s="1">
        <f>'抽奖|MoonBless'!DS28</f>
        <v>1</v>
      </c>
      <c r="BA28" s="1">
        <f t="shared" si="22"/>
        <v>11999999.999999998</v>
      </c>
    </row>
    <row r="29" spans="1:53" ht="16.2" x14ac:dyDescent="0.35">
      <c r="A29" s="1">
        <v>25</v>
      </c>
      <c r="B29" s="86">
        <f t="shared" si="11"/>
        <v>24190</v>
      </c>
      <c r="C29" s="39" t="str">
        <f t="shared" si="12"/>
        <v>1|1|2</v>
      </c>
      <c r="D29" s="39" t="str">
        <f t="shared" si="13"/>
        <v>2|1001|1</v>
      </c>
      <c r="E29" s="39" t="str">
        <f t="shared" si="14"/>
        <v>2|1002|1</v>
      </c>
      <c r="F29" s="39" t="str">
        <f t="shared" si="15"/>
        <v>1|1|5</v>
      </c>
      <c r="G29" s="39" t="str">
        <f t="shared" si="16"/>
        <v>1|1|350</v>
      </c>
      <c r="H29" s="39">
        <v>0</v>
      </c>
      <c r="I29" s="39"/>
      <c r="J29" s="39"/>
      <c r="L29" s="1">
        <v>70</v>
      </c>
      <c r="M29" s="1">
        <f>SUM($L$5:L29)</f>
        <v>543</v>
      </c>
      <c r="N29" s="463">
        <f t="shared" si="17"/>
        <v>2.2625000000000002</v>
      </c>
      <c r="O29" s="1">
        <v>0.96</v>
      </c>
      <c r="P29" s="1">
        <f t="shared" si="0"/>
        <v>345.59999999999997</v>
      </c>
      <c r="Q29" s="1">
        <f t="shared" si="18"/>
        <v>24190</v>
      </c>
      <c r="T29" s="6" t="s">
        <v>1369</v>
      </c>
      <c r="U29" s="70">
        <f t="shared" si="1"/>
        <v>1</v>
      </c>
      <c r="V29" s="70">
        <f t="shared" si="2"/>
        <v>1</v>
      </c>
      <c r="W29" s="469">
        <v>2</v>
      </c>
      <c r="X29" s="68" t="s">
        <v>1401</v>
      </c>
      <c r="Y29" s="6">
        <f t="shared" si="3"/>
        <v>2</v>
      </c>
      <c r="Z29" s="6">
        <f t="shared" si="4"/>
        <v>1001</v>
      </c>
      <c r="AA29" s="6">
        <v>1</v>
      </c>
      <c r="AB29" s="68" t="s">
        <v>1402</v>
      </c>
      <c r="AC29" s="6">
        <f t="shared" si="5"/>
        <v>2</v>
      </c>
      <c r="AD29" s="6">
        <f t="shared" si="6"/>
        <v>1002</v>
      </c>
      <c r="AE29" s="6">
        <v>1</v>
      </c>
      <c r="AG29" s="59">
        <v>25</v>
      </c>
      <c r="AH29" s="1" t="s">
        <v>1369</v>
      </c>
      <c r="AI29" s="11">
        <f t="shared" si="7"/>
        <v>1</v>
      </c>
      <c r="AJ29" s="11">
        <f t="shared" si="8"/>
        <v>1</v>
      </c>
      <c r="AK29" s="86">
        <v>5</v>
      </c>
      <c r="AL29" s="86">
        <f t="shared" si="19"/>
        <v>100000</v>
      </c>
      <c r="AM29" s="1" t="str">
        <f t="shared" si="20"/>
        <v>钻石</v>
      </c>
      <c r="AN29" s="1">
        <f t="shared" si="9"/>
        <v>1</v>
      </c>
      <c r="AO29" s="1">
        <f t="shared" si="10"/>
        <v>1</v>
      </c>
      <c r="AP29" s="503">
        <v>350</v>
      </c>
      <c r="AQ29" s="1">
        <f t="shared" si="21"/>
        <v>7000000</v>
      </c>
      <c r="AU29" s="1" t="str">
        <f>'抽奖|MoonBless'!DN29</f>
        <v>米面礼包</v>
      </c>
      <c r="AV29" s="1">
        <f>'抽奖|MoonBless'!DO29</f>
        <v>82.5</v>
      </c>
      <c r="AW29" s="1">
        <f>'抽奖|MoonBless'!DP29</f>
        <v>1650</v>
      </c>
      <c r="AX29" s="1">
        <f>'抽奖|MoonBless'!DQ29</f>
        <v>2</v>
      </c>
      <c r="AY29" s="1">
        <f>'抽奖|MoonBless'!DR29</f>
        <v>1504</v>
      </c>
      <c r="AZ29" s="1">
        <f>'抽奖|MoonBless'!DS29</f>
        <v>1</v>
      </c>
      <c r="BA29" s="1">
        <f t="shared" si="22"/>
        <v>16499999.999999998</v>
      </c>
    </row>
    <row r="30" spans="1:53" ht="16.2" x14ac:dyDescent="0.35">
      <c r="A30" s="1">
        <v>26</v>
      </c>
      <c r="B30" s="86">
        <f t="shared" si="11"/>
        <v>25920</v>
      </c>
      <c r="C30" s="39" t="str">
        <f t="shared" si="12"/>
        <v>1|1|2</v>
      </c>
      <c r="D30" s="39" t="str">
        <f t="shared" si="13"/>
        <v>2|1002|1</v>
      </c>
      <c r="E30" s="39" t="str">
        <f t="shared" si="14"/>
        <v>2|1004|1</v>
      </c>
      <c r="F30" s="39" t="str">
        <f t="shared" si="15"/>
        <v/>
      </c>
      <c r="G30" s="39" t="str">
        <f t="shared" si="16"/>
        <v/>
      </c>
      <c r="H30" s="39">
        <v>0</v>
      </c>
      <c r="I30" s="39"/>
      <c r="J30" s="39"/>
      <c r="L30" s="1">
        <v>75</v>
      </c>
      <c r="M30" s="1">
        <f>SUM($L$5:L30)</f>
        <v>618</v>
      </c>
      <c r="N30" s="463">
        <f t="shared" si="17"/>
        <v>2.5750000000000002</v>
      </c>
      <c r="O30" s="1">
        <v>0.96</v>
      </c>
      <c r="P30" s="1">
        <f t="shared" si="0"/>
        <v>345.59999999999997</v>
      </c>
      <c r="Q30" s="1">
        <f t="shared" si="18"/>
        <v>25920</v>
      </c>
      <c r="T30" s="6" t="s">
        <v>1369</v>
      </c>
      <c r="U30" s="70">
        <f t="shared" si="1"/>
        <v>1</v>
      </c>
      <c r="V30" s="70">
        <f t="shared" si="2"/>
        <v>1</v>
      </c>
      <c r="W30" s="469">
        <v>2</v>
      </c>
      <c r="X30" s="68" t="s">
        <v>1402</v>
      </c>
      <c r="Y30" s="6">
        <f t="shared" si="3"/>
        <v>2</v>
      </c>
      <c r="Z30" s="6">
        <f t="shared" si="4"/>
        <v>1002</v>
      </c>
      <c r="AA30" s="6">
        <v>1</v>
      </c>
      <c r="AB30" s="68" t="s">
        <v>1405</v>
      </c>
      <c r="AC30" s="6">
        <f t="shared" si="5"/>
        <v>2</v>
      </c>
      <c r="AD30" s="6">
        <f t="shared" si="6"/>
        <v>1004</v>
      </c>
      <c r="AE30" s="6">
        <v>1</v>
      </c>
      <c r="AG30" s="86">
        <v>26</v>
      </c>
      <c r="AI30" s="11" t="str">
        <f t="shared" si="7"/>
        <v>物品类型</v>
      </c>
      <c r="AJ30" s="11" t="str">
        <f t="shared" si="8"/>
        <v>id</v>
      </c>
      <c r="AK30" s="86" t="s">
        <v>1403</v>
      </c>
      <c r="AL30" s="86">
        <f t="shared" si="19"/>
        <v>0</v>
      </c>
      <c r="AM30" s="1">
        <f t="shared" si="20"/>
        <v>0</v>
      </c>
      <c r="AN30" s="1" t="str">
        <f t="shared" si="9"/>
        <v>物品类型</v>
      </c>
      <c r="AO30" s="1" t="str">
        <f t="shared" si="10"/>
        <v>id</v>
      </c>
      <c r="AP30" s="503"/>
      <c r="AQ30" s="1">
        <f t="shared" si="21"/>
        <v>0</v>
      </c>
      <c r="AU30" s="1" t="str">
        <f>'抽奖|MoonBless'!DN30</f>
        <v>买单券</v>
      </c>
      <c r="AV30" s="1">
        <f>'抽奖|MoonBless'!DO30</f>
        <v>0.75</v>
      </c>
      <c r="AW30" s="1">
        <f>'抽奖|MoonBless'!DP30</f>
        <v>15</v>
      </c>
      <c r="AX30" s="1">
        <f>'抽奖|MoonBless'!DQ30</f>
        <v>2</v>
      </c>
      <c r="AY30" s="1">
        <f>'抽奖|MoonBless'!DR30</f>
        <v>1213</v>
      </c>
      <c r="AZ30" s="1">
        <f>'抽奖|MoonBless'!DS30</f>
        <v>1</v>
      </c>
      <c r="BA30" s="1">
        <f t="shared" si="22"/>
        <v>150000</v>
      </c>
    </row>
    <row r="31" spans="1:53" ht="16.2" x14ac:dyDescent="0.35">
      <c r="A31" s="1">
        <v>27</v>
      </c>
      <c r="B31" s="86">
        <f t="shared" si="11"/>
        <v>27650</v>
      </c>
      <c r="C31" s="39" t="str">
        <f t="shared" si="12"/>
        <v>1|1|2</v>
      </c>
      <c r="D31" s="39" t="str">
        <f t="shared" si="13"/>
        <v>2|1001|1</v>
      </c>
      <c r="E31" s="39" t="str">
        <f t="shared" si="14"/>
        <v>2|1004|1</v>
      </c>
      <c r="F31" s="39" t="str">
        <f t="shared" si="15"/>
        <v/>
      </c>
      <c r="G31" s="39" t="str">
        <f t="shared" si="16"/>
        <v/>
      </c>
      <c r="H31" s="39">
        <v>0</v>
      </c>
      <c r="I31" s="39"/>
      <c r="J31" s="39"/>
      <c r="L31" s="1">
        <v>80</v>
      </c>
      <c r="M31" s="1">
        <f>SUM($L$5:L31)</f>
        <v>698</v>
      </c>
      <c r="N31" s="463">
        <f t="shared" si="17"/>
        <v>2.9083333333333332</v>
      </c>
      <c r="O31" s="1">
        <v>0.96</v>
      </c>
      <c r="P31" s="1">
        <f t="shared" si="0"/>
        <v>345.59999999999997</v>
      </c>
      <c r="Q31" s="1">
        <f t="shared" si="18"/>
        <v>27650</v>
      </c>
      <c r="T31" s="6" t="s">
        <v>1369</v>
      </c>
      <c r="U31" s="70">
        <f t="shared" si="1"/>
        <v>1</v>
      </c>
      <c r="V31" s="70">
        <f t="shared" si="2"/>
        <v>1</v>
      </c>
      <c r="W31" s="469">
        <v>2</v>
      </c>
      <c r="X31" s="68" t="s">
        <v>1401</v>
      </c>
      <c r="Y31" s="6">
        <f t="shared" si="3"/>
        <v>2</v>
      </c>
      <c r="Z31" s="6">
        <f t="shared" si="4"/>
        <v>1001</v>
      </c>
      <c r="AA31" s="6">
        <v>1</v>
      </c>
      <c r="AB31" s="68" t="s">
        <v>1405</v>
      </c>
      <c r="AC31" s="6">
        <f t="shared" si="5"/>
        <v>2</v>
      </c>
      <c r="AD31" s="6">
        <f t="shared" si="6"/>
        <v>1004</v>
      </c>
      <c r="AE31" s="6">
        <v>1</v>
      </c>
      <c r="AG31" s="86">
        <v>27</v>
      </c>
      <c r="AI31" s="11" t="str">
        <f t="shared" si="7"/>
        <v>物品类型</v>
      </c>
      <c r="AJ31" s="11" t="str">
        <f t="shared" si="8"/>
        <v>id</v>
      </c>
      <c r="AK31" s="86" t="s">
        <v>1403</v>
      </c>
      <c r="AL31" s="86">
        <f t="shared" si="19"/>
        <v>0</v>
      </c>
      <c r="AM31" s="1">
        <f t="shared" si="20"/>
        <v>0</v>
      </c>
      <c r="AN31" s="1" t="str">
        <f t="shared" si="9"/>
        <v>物品类型</v>
      </c>
      <c r="AO31" s="1" t="str">
        <f t="shared" si="10"/>
        <v>id</v>
      </c>
      <c r="AP31" s="503"/>
      <c r="AQ31" s="1">
        <f t="shared" si="21"/>
        <v>0</v>
      </c>
    </row>
    <row r="32" spans="1:53" ht="16.2" x14ac:dyDescent="0.35">
      <c r="A32" s="1">
        <v>28</v>
      </c>
      <c r="B32" s="86">
        <f t="shared" si="11"/>
        <v>29380</v>
      </c>
      <c r="C32" s="39" t="str">
        <f t="shared" si="12"/>
        <v>1|1|2</v>
      </c>
      <c r="D32" s="39" t="str">
        <f t="shared" si="13"/>
        <v>2|1002|1</v>
      </c>
      <c r="E32" s="39" t="str">
        <f t="shared" si="14"/>
        <v>2|1004|1</v>
      </c>
      <c r="F32" s="39" t="str">
        <f t="shared" si="15"/>
        <v>1|2|120000</v>
      </c>
      <c r="G32" s="39" t="str">
        <f t="shared" si="16"/>
        <v>1|2|8000000</v>
      </c>
      <c r="H32" s="39">
        <v>0</v>
      </c>
      <c r="I32" s="39"/>
      <c r="J32" s="39"/>
      <c r="L32" s="1">
        <v>85</v>
      </c>
      <c r="M32" s="1">
        <f>SUM($L$5:L32)</f>
        <v>783</v>
      </c>
      <c r="N32" s="463">
        <f t="shared" si="17"/>
        <v>3.2625000000000002</v>
      </c>
      <c r="O32" s="1">
        <v>0.96</v>
      </c>
      <c r="P32" s="1">
        <f t="shared" si="0"/>
        <v>345.59999999999997</v>
      </c>
      <c r="Q32" s="1">
        <f t="shared" si="18"/>
        <v>29380</v>
      </c>
      <c r="T32" s="6" t="s">
        <v>1369</v>
      </c>
      <c r="U32" s="70">
        <f t="shared" si="1"/>
        <v>1</v>
      </c>
      <c r="V32" s="70">
        <f t="shared" si="2"/>
        <v>1</v>
      </c>
      <c r="W32" s="469">
        <v>2</v>
      </c>
      <c r="X32" s="68" t="s">
        <v>1402</v>
      </c>
      <c r="Y32" s="6">
        <f t="shared" si="3"/>
        <v>2</v>
      </c>
      <c r="Z32" s="6">
        <f t="shared" si="4"/>
        <v>1002</v>
      </c>
      <c r="AA32" s="6">
        <v>1</v>
      </c>
      <c r="AB32" s="68" t="s">
        <v>1405</v>
      </c>
      <c r="AC32" s="6">
        <f t="shared" si="5"/>
        <v>2</v>
      </c>
      <c r="AD32" s="6">
        <f t="shared" si="6"/>
        <v>1004</v>
      </c>
      <c r="AE32" s="6">
        <v>1</v>
      </c>
      <c r="AG32" s="59">
        <v>28</v>
      </c>
      <c r="AH32" s="1" t="s">
        <v>177</v>
      </c>
      <c r="AI32" s="11">
        <f t="shared" si="7"/>
        <v>1</v>
      </c>
      <c r="AJ32" s="11">
        <f t="shared" si="8"/>
        <v>2</v>
      </c>
      <c r="AK32" s="86">
        <v>120000</v>
      </c>
      <c r="AL32" s="86">
        <f t="shared" si="19"/>
        <v>120000</v>
      </c>
      <c r="AM32" s="1" t="str">
        <f t="shared" si="20"/>
        <v>金币</v>
      </c>
      <c r="AN32" s="1">
        <f t="shared" si="9"/>
        <v>1</v>
      </c>
      <c r="AO32" s="1">
        <f t="shared" si="10"/>
        <v>2</v>
      </c>
      <c r="AP32" s="503">
        <v>8000000</v>
      </c>
      <c r="AQ32" s="1">
        <f t="shared" si="21"/>
        <v>8000000</v>
      </c>
    </row>
    <row r="33" spans="1:43" ht="16.2" x14ac:dyDescent="0.35">
      <c r="A33" s="1">
        <v>29</v>
      </c>
      <c r="B33" s="86">
        <f t="shared" si="11"/>
        <v>31100</v>
      </c>
      <c r="C33" s="39" t="str">
        <f t="shared" si="12"/>
        <v>1|1|2</v>
      </c>
      <c r="D33" s="39" t="str">
        <f t="shared" si="13"/>
        <v>2|1001|1</v>
      </c>
      <c r="E33" s="39" t="str">
        <f t="shared" si="14"/>
        <v>2|1003|1</v>
      </c>
      <c r="F33" s="39" t="str">
        <f t="shared" si="15"/>
        <v/>
      </c>
      <c r="G33" s="39" t="str">
        <f t="shared" si="16"/>
        <v/>
      </c>
      <c r="H33" s="39">
        <v>0</v>
      </c>
      <c r="I33" s="39"/>
      <c r="J33" s="39"/>
      <c r="L33" s="1">
        <v>90</v>
      </c>
      <c r="M33" s="1">
        <f>SUM($L$5:L33)</f>
        <v>873</v>
      </c>
      <c r="N33" s="463">
        <f t="shared" si="17"/>
        <v>3.6375000000000002</v>
      </c>
      <c r="O33" s="1">
        <v>0.96</v>
      </c>
      <c r="P33" s="1">
        <f t="shared" si="0"/>
        <v>345.59999999999997</v>
      </c>
      <c r="Q33" s="1">
        <f t="shared" si="18"/>
        <v>31100</v>
      </c>
      <c r="T33" s="6" t="s">
        <v>1369</v>
      </c>
      <c r="U33" s="70">
        <f t="shared" si="1"/>
        <v>1</v>
      </c>
      <c r="V33" s="70">
        <f t="shared" si="2"/>
        <v>1</v>
      </c>
      <c r="W33" s="469">
        <v>2</v>
      </c>
      <c r="X33" s="68" t="s">
        <v>1401</v>
      </c>
      <c r="Y33" s="6">
        <f t="shared" si="3"/>
        <v>2</v>
      </c>
      <c r="Z33" s="6">
        <f t="shared" si="4"/>
        <v>1001</v>
      </c>
      <c r="AA33" s="6">
        <v>1</v>
      </c>
      <c r="AB33" s="68" t="s">
        <v>1406</v>
      </c>
      <c r="AC33" s="6">
        <f t="shared" si="5"/>
        <v>2</v>
      </c>
      <c r="AD33" s="6">
        <f t="shared" si="6"/>
        <v>1003</v>
      </c>
      <c r="AE33" s="6">
        <v>1</v>
      </c>
      <c r="AG33" s="86">
        <v>29</v>
      </c>
      <c r="AI33" s="11" t="str">
        <f t="shared" si="7"/>
        <v>物品类型</v>
      </c>
      <c r="AJ33" s="11" t="str">
        <f t="shared" si="8"/>
        <v>id</v>
      </c>
      <c r="AK33" s="86" t="s">
        <v>1403</v>
      </c>
      <c r="AL33" s="86">
        <f t="shared" si="19"/>
        <v>0</v>
      </c>
      <c r="AM33" s="1">
        <f t="shared" si="20"/>
        <v>0</v>
      </c>
      <c r="AN33" s="1" t="str">
        <f t="shared" si="9"/>
        <v>物品类型</v>
      </c>
      <c r="AO33" s="1" t="str">
        <f t="shared" si="10"/>
        <v>id</v>
      </c>
      <c r="AP33" s="503"/>
      <c r="AQ33" s="1">
        <f t="shared" si="21"/>
        <v>0</v>
      </c>
    </row>
    <row r="34" spans="1:43" ht="16.2" x14ac:dyDescent="0.35">
      <c r="A34" s="1">
        <v>30</v>
      </c>
      <c r="B34" s="86">
        <f t="shared" si="11"/>
        <v>32830</v>
      </c>
      <c r="C34" s="39" t="str">
        <f t="shared" si="12"/>
        <v>1|1|3</v>
      </c>
      <c r="D34" s="39" t="str">
        <f t="shared" si="13"/>
        <v>2|1002|1</v>
      </c>
      <c r="E34" s="39" t="str">
        <f t="shared" si="14"/>
        <v>2|1004|1</v>
      </c>
      <c r="F34" s="39" t="str">
        <f t="shared" si="15"/>
        <v>1|2|150000</v>
      </c>
      <c r="G34" s="39" t="str">
        <f t="shared" si="16"/>
        <v>2|1007|2</v>
      </c>
      <c r="H34" s="39">
        <v>0</v>
      </c>
      <c r="I34" s="39"/>
      <c r="J34" s="39"/>
      <c r="L34" s="1">
        <v>95</v>
      </c>
      <c r="M34" s="1">
        <f>SUM($L$5:L34)</f>
        <v>968</v>
      </c>
      <c r="N34" s="463">
        <f t="shared" si="17"/>
        <v>4.0333333333333332</v>
      </c>
      <c r="O34" s="1">
        <v>0.96</v>
      </c>
      <c r="P34" s="1">
        <f t="shared" si="0"/>
        <v>345.59999999999997</v>
      </c>
      <c r="Q34" s="1">
        <f t="shared" si="18"/>
        <v>32830</v>
      </c>
      <c r="T34" s="6" t="s">
        <v>1369</v>
      </c>
      <c r="U34" s="70">
        <f t="shared" si="1"/>
        <v>1</v>
      </c>
      <c r="V34" s="70">
        <f t="shared" si="2"/>
        <v>1</v>
      </c>
      <c r="W34" s="469">
        <v>3</v>
      </c>
      <c r="X34" s="68" t="s">
        <v>1402</v>
      </c>
      <c r="Y34" s="6">
        <f t="shared" si="3"/>
        <v>2</v>
      </c>
      <c r="Z34" s="6">
        <f t="shared" si="4"/>
        <v>1002</v>
      </c>
      <c r="AA34" s="6">
        <v>1</v>
      </c>
      <c r="AB34" s="68" t="s">
        <v>1405</v>
      </c>
      <c r="AC34" s="6">
        <f t="shared" si="5"/>
        <v>2</v>
      </c>
      <c r="AD34" s="6">
        <f t="shared" si="6"/>
        <v>1004</v>
      </c>
      <c r="AE34" s="6">
        <v>1</v>
      </c>
      <c r="AG34" s="59">
        <v>30</v>
      </c>
      <c r="AH34" s="1" t="s">
        <v>177</v>
      </c>
      <c r="AI34" s="11">
        <f t="shared" si="7"/>
        <v>1</v>
      </c>
      <c r="AJ34" s="11">
        <f t="shared" si="8"/>
        <v>2</v>
      </c>
      <c r="AK34" s="86">
        <v>150000</v>
      </c>
      <c r="AL34" s="86">
        <f t="shared" si="19"/>
        <v>150000</v>
      </c>
      <c r="AM34" s="1" t="s">
        <v>1381</v>
      </c>
      <c r="AN34" s="1">
        <f t="shared" si="9"/>
        <v>2</v>
      </c>
      <c r="AO34" s="1">
        <f t="shared" si="10"/>
        <v>1007</v>
      </c>
      <c r="AP34" s="504">
        <v>2</v>
      </c>
      <c r="AQ34" s="1">
        <f t="shared" si="21"/>
        <v>10000000</v>
      </c>
    </row>
    <row r="35" spans="1:43" ht="16.2" x14ac:dyDescent="0.35">
      <c r="A35" s="1">
        <v>31</v>
      </c>
      <c r="B35" s="86">
        <f t="shared" si="11"/>
        <v>34560</v>
      </c>
      <c r="C35" s="39" t="str">
        <f t="shared" si="12"/>
        <v>1|1|3</v>
      </c>
      <c r="D35" s="39" t="str">
        <f t="shared" si="13"/>
        <v>2|1001|1</v>
      </c>
      <c r="E35" s="39" t="str">
        <f t="shared" si="14"/>
        <v>2|1002|1</v>
      </c>
      <c r="F35" s="39" t="str">
        <f t="shared" si="15"/>
        <v/>
      </c>
      <c r="G35" s="39" t="str">
        <f t="shared" si="16"/>
        <v/>
      </c>
      <c r="H35" s="39">
        <v>0</v>
      </c>
      <c r="I35" s="39"/>
      <c r="J35" s="39"/>
      <c r="L35" s="1">
        <v>100</v>
      </c>
      <c r="M35" s="1">
        <f>SUM($L$5:L35)</f>
        <v>1068</v>
      </c>
      <c r="N35" s="463">
        <f t="shared" si="17"/>
        <v>4.45</v>
      </c>
      <c r="O35" s="1">
        <v>0.96</v>
      </c>
      <c r="P35" s="1">
        <f t="shared" si="0"/>
        <v>345.59999999999997</v>
      </c>
      <c r="Q35" s="1">
        <f t="shared" si="18"/>
        <v>34560</v>
      </c>
      <c r="T35" s="6" t="s">
        <v>1369</v>
      </c>
      <c r="U35" s="70">
        <f t="shared" si="1"/>
        <v>1</v>
      </c>
      <c r="V35" s="70">
        <f t="shared" si="2"/>
        <v>1</v>
      </c>
      <c r="W35" s="469">
        <v>3</v>
      </c>
      <c r="X35" s="68" t="s">
        <v>1401</v>
      </c>
      <c r="Y35" s="6">
        <f t="shared" si="3"/>
        <v>2</v>
      </c>
      <c r="Z35" s="6">
        <f t="shared" si="4"/>
        <v>1001</v>
      </c>
      <c r="AA35" s="6">
        <v>1</v>
      </c>
      <c r="AB35" s="68" t="s">
        <v>1402</v>
      </c>
      <c r="AC35" s="6">
        <f t="shared" si="5"/>
        <v>2</v>
      </c>
      <c r="AD35" s="6">
        <f t="shared" si="6"/>
        <v>1002</v>
      </c>
      <c r="AE35" s="6">
        <v>1</v>
      </c>
      <c r="AG35" s="86">
        <v>31</v>
      </c>
      <c r="AI35" s="11" t="str">
        <f t="shared" si="7"/>
        <v>物品类型</v>
      </c>
      <c r="AJ35" s="11" t="str">
        <f t="shared" si="8"/>
        <v>id</v>
      </c>
      <c r="AK35" s="86" t="s">
        <v>1403</v>
      </c>
      <c r="AL35" s="86">
        <f t="shared" si="19"/>
        <v>0</v>
      </c>
      <c r="AM35" s="1">
        <f t="shared" si="20"/>
        <v>0</v>
      </c>
      <c r="AN35" s="1" t="str">
        <f t="shared" si="9"/>
        <v>物品类型</v>
      </c>
      <c r="AO35" s="1" t="str">
        <f t="shared" si="10"/>
        <v>id</v>
      </c>
      <c r="AP35" s="503"/>
      <c r="AQ35" s="1">
        <f t="shared" si="21"/>
        <v>0</v>
      </c>
    </row>
    <row r="36" spans="1:43" ht="16.2" x14ac:dyDescent="0.35">
      <c r="A36" s="1">
        <v>32</v>
      </c>
      <c r="B36" s="86">
        <f t="shared" si="11"/>
        <v>36290</v>
      </c>
      <c r="C36" s="39" t="str">
        <f t="shared" si="12"/>
        <v>1|1|3</v>
      </c>
      <c r="D36" s="39" t="str">
        <f t="shared" si="13"/>
        <v>2|1002|1</v>
      </c>
      <c r="E36" s="39" t="str">
        <f t="shared" si="14"/>
        <v>2|1004|1</v>
      </c>
      <c r="F36" s="39" t="str">
        <f t="shared" si="15"/>
        <v/>
      </c>
      <c r="G36" s="39" t="str">
        <f t="shared" si="16"/>
        <v/>
      </c>
      <c r="H36" s="39">
        <v>0</v>
      </c>
      <c r="I36" s="39"/>
      <c r="J36" s="39"/>
      <c r="L36" s="1">
        <v>105</v>
      </c>
      <c r="M36" s="1">
        <f>SUM($L$5:L36)</f>
        <v>1173</v>
      </c>
      <c r="N36" s="463">
        <f t="shared" si="17"/>
        <v>4.8875000000000002</v>
      </c>
      <c r="O36" s="1">
        <v>0.96</v>
      </c>
      <c r="P36" s="1">
        <f t="shared" si="0"/>
        <v>345.59999999999997</v>
      </c>
      <c r="Q36" s="1">
        <f t="shared" si="18"/>
        <v>36290</v>
      </c>
      <c r="T36" s="6" t="s">
        <v>1369</v>
      </c>
      <c r="U36" s="70">
        <f t="shared" si="1"/>
        <v>1</v>
      </c>
      <c r="V36" s="70">
        <f t="shared" si="2"/>
        <v>1</v>
      </c>
      <c r="W36" s="469">
        <v>3</v>
      </c>
      <c r="X36" s="68" t="s">
        <v>1402</v>
      </c>
      <c r="Y36" s="6">
        <f t="shared" si="3"/>
        <v>2</v>
      </c>
      <c r="Z36" s="6">
        <f t="shared" si="4"/>
        <v>1002</v>
      </c>
      <c r="AA36" s="6">
        <v>1</v>
      </c>
      <c r="AB36" s="68" t="s">
        <v>1405</v>
      </c>
      <c r="AC36" s="6">
        <f t="shared" si="5"/>
        <v>2</v>
      </c>
      <c r="AD36" s="6">
        <f t="shared" si="6"/>
        <v>1004</v>
      </c>
      <c r="AE36" s="6">
        <v>1</v>
      </c>
      <c r="AG36" s="86">
        <v>32</v>
      </c>
      <c r="AI36" s="11" t="str">
        <f t="shared" si="7"/>
        <v>物品类型</v>
      </c>
      <c r="AJ36" s="11" t="str">
        <f t="shared" si="8"/>
        <v>id</v>
      </c>
      <c r="AK36" s="86" t="s">
        <v>1403</v>
      </c>
      <c r="AL36" s="86">
        <f t="shared" si="19"/>
        <v>0</v>
      </c>
      <c r="AM36" s="1">
        <f t="shared" si="20"/>
        <v>0</v>
      </c>
      <c r="AN36" s="1" t="str">
        <f t="shared" si="9"/>
        <v>物品类型</v>
      </c>
      <c r="AO36" s="1" t="str">
        <f t="shared" si="10"/>
        <v>id</v>
      </c>
      <c r="AP36" s="503"/>
      <c r="AQ36" s="1">
        <f t="shared" si="21"/>
        <v>0</v>
      </c>
    </row>
    <row r="37" spans="1:43" ht="16.2" x14ac:dyDescent="0.35">
      <c r="A37" s="1">
        <v>33</v>
      </c>
      <c r="B37" s="86">
        <f t="shared" si="11"/>
        <v>38020</v>
      </c>
      <c r="C37" s="39" t="str">
        <f t="shared" si="12"/>
        <v>1|1|3</v>
      </c>
      <c r="D37" s="39" t="str">
        <f t="shared" si="13"/>
        <v>2|1001|1</v>
      </c>
      <c r="E37" s="39" t="str">
        <f t="shared" si="14"/>
        <v>2|1004|1</v>
      </c>
      <c r="F37" s="39" t="str">
        <f t="shared" si="15"/>
        <v>1|2|200000</v>
      </c>
      <c r="G37" s="39" t="str">
        <f t="shared" si="16"/>
        <v>1|2|15000000</v>
      </c>
      <c r="H37" s="39">
        <v>0</v>
      </c>
      <c r="I37" s="39"/>
      <c r="J37" s="39"/>
      <c r="L37" s="1">
        <v>110</v>
      </c>
      <c r="M37" s="1">
        <f>SUM($L$5:L37)</f>
        <v>1283</v>
      </c>
      <c r="N37" s="463">
        <f t="shared" si="17"/>
        <v>5.3458333333333332</v>
      </c>
      <c r="O37" s="1">
        <v>0.96</v>
      </c>
      <c r="P37" s="1">
        <f t="shared" ref="P37:P68" si="23">$M$3*O37*60</f>
        <v>345.59999999999997</v>
      </c>
      <c r="Q37" s="1">
        <f t="shared" si="18"/>
        <v>38020</v>
      </c>
      <c r="T37" s="6" t="s">
        <v>1369</v>
      </c>
      <c r="U37" s="70">
        <f t="shared" si="1"/>
        <v>1</v>
      </c>
      <c r="V37" s="70">
        <f t="shared" si="2"/>
        <v>1</v>
      </c>
      <c r="W37" s="469">
        <v>3</v>
      </c>
      <c r="X37" s="68" t="s">
        <v>1401</v>
      </c>
      <c r="Y37" s="6">
        <f t="shared" si="3"/>
        <v>2</v>
      </c>
      <c r="Z37" s="6">
        <f t="shared" si="4"/>
        <v>1001</v>
      </c>
      <c r="AA37" s="6">
        <v>1</v>
      </c>
      <c r="AB37" s="68" t="s">
        <v>1405</v>
      </c>
      <c r="AC37" s="6">
        <f t="shared" si="5"/>
        <v>2</v>
      </c>
      <c r="AD37" s="6">
        <f t="shared" si="6"/>
        <v>1004</v>
      </c>
      <c r="AE37" s="6">
        <v>1</v>
      </c>
      <c r="AG37" s="59">
        <v>33</v>
      </c>
      <c r="AH37" s="1" t="s">
        <v>177</v>
      </c>
      <c r="AI37" s="11">
        <f t="shared" si="7"/>
        <v>1</v>
      </c>
      <c r="AJ37" s="11">
        <f t="shared" si="8"/>
        <v>2</v>
      </c>
      <c r="AK37" s="86">
        <v>200000</v>
      </c>
      <c r="AL37" s="86">
        <f t="shared" si="19"/>
        <v>200000</v>
      </c>
      <c r="AM37" s="1" t="str">
        <f t="shared" si="20"/>
        <v>金币</v>
      </c>
      <c r="AN37" s="1">
        <f t="shared" si="9"/>
        <v>1</v>
      </c>
      <c r="AO37" s="1">
        <f t="shared" si="10"/>
        <v>2</v>
      </c>
      <c r="AP37" s="503">
        <v>15000000</v>
      </c>
      <c r="AQ37" s="1">
        <f t="shared" si="21"/>
        <v>15000000</v>
      </c>
    </row>
    <row r="38" spans="1:43" ht="16.2" x14ac:dyDescent="0.35">
      <c r="A38" s="1">
        <v>34</v>
      </c>
      <c r="B38" s="86">
        <f t="shared" si="11"/>
        <v>39740</v>
      </c>
      <c r="C38" s="39" t="str">
        <f t="shared" si="12"/>
        <v>1|1|3</v>
      </c>
      <c r="D38" s="39" t="str">
        <f t="shared" si="13"/>
        <v>2|1002|1</v>
      </c>
      <c r="E38" s="39" t="str">
        <f t="shared" si="14"/>
        <v>2|1003|1</v>
      </c>
      <c r="F38" s="39" t="str">
        <f t="shared" si="15"/>
        <v/>
      </c>
      <c r="G38" s="39" t="str">
        <f t="shared" si="16"/>
        <v/>
      </c>
      <c r="H38" s="39">
        <v>0</v>
      </c>
      <c r="I38" s="39"/>
      <c r="J38" s="39"/>
      <c r="L38" s="1">
        <v>115</v>
      </c>
      <c r="M38" s="1">
        <f>SUM($L$5:L38)</f>
        <v>1398</v>
      </c>
      <c r="N38" s="463">
        <f t="shared" si="17"/>
        <v>5.8250000000000002</v>
      </c>
      <c r="O38" s="1">
        <v>0.96</v>
      </c>
      <c r="P38" s="1">
        <f t="shared" si="23"/>
        <v>345.59999999999997</v>
      </c>
      <c r="Q38" s="1">
        <f t="shared" si="18"/>
        <v>39740</v>
      </c>
      <c r="T38" s="6" t="s">
        <v>1369</v>
      </c>
      <c r="U38" s="70">
        <f t="shared" si="1"/>
        <v>1</v>
      </c>
      <c r="V38" s="70">
        <f t="shared" si="2"/>
        <v>1</v>
      </c>
      <c r="W38" s="469">
        <v>3</v>
      </c>
      <c r="X38" s="68" t="s">
        <v>1402</v>
      </c>
      <c r="Y38" s="6">
        <f t="shared" si="3"/>
        <v>2</v>
      </c>
      <c r="Z38" s="6">
        <f t="shared" si="4"/>
        <v>1002</v>
      </c>
      <c r="AA38" s="6">
        <v>1</v>
      </c>
      <c r="AB38" s="68" t="s">
        <v>1406</v>
      </c>
      <c r="AC38" s="6">
        <f t="shared" si="5"/>
        <v>2</v>
      </c>
      <c r="AD38" s="6">
        <f t="shared" si="6"/>
        <v>1003</v>
      </c>
      <c r="AE38" s="6">
        <v>1</v>
      </c>
      <c r="AG38" s="86">
        <v>34</v>
      </c>
      <c r="AI38" s="11" t="str">
        <f t="shared" si="7"/>
        <v>物品类型</v>
      </c>
      <c r="AJ38" s="11" t="str">
        <f t="shared" si="8"/>
        <v>id</v>
      </c>
      <c r="AK38" s="86" t="s">
        <v>1403</v>
      </c>
      <c r="AL38" s="86">
        <f t="shared" si="19"/>
        <v>0</v>
      </c>
      <c r="AN38" s="1" t="str">
        <f t="shared" si="9"/>
        <v>物品类型</v>
      </c>
      <c r="AO38" s="1" t="str">
        <f t="shared" si="10"/>
        <v>id</v>
      </c>
      <c r="AP38" s="503"/>
      <c r="AQ38" s="1">
        <f t="shared" si="21"/>
        <v>0</v>
      </c>
    </row>
    <row r="39" spans="1:43" ht="16.2" x14ac:dyDescent="0.35">
      <c r="A39" s="1">
        <v>35</v>
      </c>
      <c r="B39" s="86">
        <f t="shared" si="11"/>
        <v>41470</v>
      </c>
      <c r="C39" s="39" t="str">
        <f t="shared" si="12"/>
        <v>1|1|3</v>
      </c>
      <c r="D39" s="39" t="str">
        <f t="shared" si="13"/>
        <v>2|1001|2</v>
      </c>
      <c r="E39" s="39" t="str">
        <f t="shared" si="14"/>
        <v>2|1002|2</v>
      </c>
      <c r="F39" s="39" t="str">
        <f t="shared" si="15"/>
        <v>1|1|10</v>
      </c>
      <c r="G39" s="39" t="str">
        <f t="shared" si="16"/>
        <v>2|1003|50</v>
      </c>
      <c r="H39" s="39">
        <v>0</v>
      </c>
      <c r="I39" s="39"/>
      <c r="J39" s="39"/>
      <c r="L39" s="1">
        <v>120</v>
      </c>
      <c r="M39" s="1">
        <f>SUM($L$5:L39)</f>
        <v>1518</v>
      </c>
      <c r="N39" s="463">
        <f t="shared" si="17"/>
        <v>6.3250000000000002</v>
      </c>
      <c r="O39" s="1">
        <v>0.96</v>
      </c>
      <c r="P39" s="1">
        <f t="shared" si="23"/>
        <v>345.59999999999997</v>
      </c>
      <c r="Q39" s="1">
        <f t="shared" si="18"/>
        <v>41470</v>
      </c>
      <c r="T39" s="6" t="s">
        <v>1369</v>
      </c>
      <c r="U39" s="70">
        <f t="shared" si="1"/>
        <v>1</v>
      </c>
      <c r="V39" s="70">
        <f t="shared" si="2"/>
        <v>1</v>
      </c>
      <c r="W39" s="469">
        <v>3</v>
      </c>
      <c r="X39" s="68" t="s">
        <v>1401</v>
      </c>
      <c r="Y39" s="6">
        <f t="shared" si="3"/>
        <v>2</v>
      </c>
      <c r="Z39" s="6">
        <f t="shared" si="4"/>
        <v>1001</v>
      </c>
      <c r="AA39" s="6">
        <v>2</v>
      </c>
      <c r="AB39" s="68" t="s">
        <v>1402</v>
      </c>
      <c r="AC39" s="6">
        <f t="shared" si="5"/>
        <v>2</v>
      </c>
      <c r="AD39" s="6">
        <f t="shared" si="6"/>
        <v>1002</v>
      </c>
      <c r="AE39" s="6">
        <v>2</v>
      </c>
      <c r="AG39" s="59">
        <v>35</v>
      </c>
      <c r="AH39" s="1" t="s">
        <v>1369</v>
      </c>
      <c r="AI39" s="11">
        <f t="shared" si="7"/>
        <v>1</v>
      </c>
      <c r="AJ39" s="11">
        <f t="shared" si="8"/>
        <v>1</v>
      </c>
      <c r="AK39" s="86">
        <v>10</v>
      </c>
      <c r="AL39" s="86">
        <f t="shared" si="19"/>
        <v>200000</v>
      </c>
      <c r="AM39" s="1" t="s">
        <v>1406</v>
      </c>
      <c r="AN39" s="1">
        <f t="shared" si="9"/>
        <v>2</v>
      </c>
      <c r="AO39" s="1">
        <f t="shared" si="10"/>
        <v>1003</v>
      </c>
      <c r="AP39" s="504">
        <v>50</v>
      </c>
      <c r="AQ39" s="1">
        <f t="shared" si="21"/>
        <v>4999999.9999999991</v>
      </c>
    </row>
    <row r="40" spans="1:43" ht="16.2" x14ac:dyDescent="0.35">
      <c r="A40" s="1">
        <v>36</v>
      </c>
      <c r="B40" s="86">
        <f t="shared" si="11"/>
        <v>43200</v>
      </c>
      <c r="C40" s="39" t="str">
        <f t="shared" si="12"/>
        <v>1|1|3</v>
      </c>
      <c r="D40" s="39" t="str">
        <f t="shared" si="13"/>
        <v>2|1002|2</v>
      </c>
      <c r="E40" s="39" t="str">
        <f t="shared" si="14"/>
        <v>2|1004|2</v>
      </c>
      <c r="F40" s="39" t="str">
        <f t="shared" si="15"/>
        <v/>
      </c>
      <c r="G40" s="39" t="str">
        <f t="shared" si="16"/>
        <v/>
      </c>
      <c r="H40" s="39">
        <v>0</v>
      </c>
      <c r="I40" s="39"/>
      <c r="J40" s="39"/>
      <c r="L40" s="1">
        <v>125</v>
      </c>
      <c r="M40" s="1">
        <f>SUM($L$5:L40)</f>
        <v>1643</v>
      </c>
      <c r="N40" s="463">
        <f t="shared" si="17"/>
        <v>6.8458333333333332</v>
      </c>
      <c r="O40" s="1">
        <v>0.96</v>
      </c>
      <c r="P40" s="1">
        <f t="shared" si="23"/>
        <v>345.59999999999997</v>
      </c>
      <c r="Q40" s="1">
        <f t="shared" si="18"/>
        <v>43200</v>
      </c>
      <c r="T40" s="6" t="s">
        <v>1369</v>
      </c>
      <c r="U40" s="70">
        <f t="shared" si="1"/>
        <v>1</v>
      </c>
      <c r="V40" s="70">
        <f t="shared" si="2"/>
        <v>1</v>
      </c>
      <c r="W40" s="469">
        <v>3</v>
      </c>
      <c r="X40" s="68" t="s">
        <v>1402</v>
      </c>
      <c r="Y40" s="6">
        <f t="shared" si="3"/>
        <v>2</v>
      </c>
      <c r="Z40" s="6">
        <f t="shared" si="4"/>
        <v>1002</v>
      </c>
      <c r="AA40" s="6">
        <v>2</v>
      </c>
      <c r="AB40" s="68" t="s">
        <v>1405</v>
      </c>
      <c r="AC40" s="6">
        <f t="shared" si="5"/>
        <v>2</v>
      </c>
      <c r="AD40" s="6">
        <f t="shared" si="6"/>
        <v>1004</v>
      </c>
      <c r="AE40" s="6">
        <v>2</v>
      </c>
      <c r="AG40" s="86">
        <v>36</v>
      </c>
      <c r="AI40" s="11" t="str">
        <f t="shared" si="7"/>
        <v>物品类型</v>
      </c>
      <c r="AJ40" s="11" t="str">
        <f t="shared" si="8"/>
        <v>id</v>
      </c>
      <c r="AK40" s="86" t="s">
        <v>1403</v>
      </c>
      <c r="AL40" s="86">
        <f t="shared" si="19"/>
        <v>0</v>
      </c>
      <c r="AM40" s="1">
        <f t="shared" si="20"/>
        <v>0</v>
      </c>
      <c r="AN40" s="1" t="str">
        <f t="shared" si="9"/>
        <v>物品类型</v>
      </c>
      <c r="AO40" s="1" t="str">
        <f t="shared" si="10"/>
        <v>id</v>
      </c>
      <c r="AP40" s="503"/>
      <c r="AQ40" s="1">
        <f t="shared" si="21"/>
        <v>0</v>
      </c>
    </row>
    <row r="41" spans="1:43" ht="16.2" x14ac:dyDescent="0.35">
      <c r="A41" s="1">
        <v>37</v>
      </c>
      <c r="B41" s="86">
        <f t="shared" si="11"/>
        <v>44930</v>
      </c>
      <c r="C41" s="39" t="str">
        <f t="shared" si="12"/>
        <v>1|1|3</v>
      </c>
      <c r="D41" s="39" t="str">
        <f t="shared" si="13"/>
        <v>2|1001|2</v>
      </c>
      <c r="E41" s="39" t="str">
        <f t="shared" si="14"/>
        <v>2|1004|2</v>
      </c>
      <c r="F41" s="39" t="str">
        <f t="shared" si="15"/>
        <v/>
      </c>
      <c r="G41" s="39" t="str">
        <f t="shared" si="16"/>
        <v/>
      </c>
      <c r="H41" s="39">
        <v>0</v>
      </c>
      <c r="I41" s="39"/>
      <c r="J41" s="39"/>
      <c r="L41" s="1">
        <v>130</v>
      </c>
      <c r="M41" s="1">
        <f>SUM($L$5:L41)</f>
        <v>1773</v>
      </c>
      <c r="N41" s="463">
        <f t="shared" si="17"/>
        <v>7.3875000000000002</v>
      </c>
      <c r="O41" s="1">
        <v>0.96</v>
      </c>
      <c r="P41" s="1">
        <f t="shared" si="23"/>
        <v>345.59999999999997</v>
      </c>
      <c r="Q41" s="1">
        <f t="shared" si="18"/>
        <v>44930</v>
      </c>
      <c r="T41" s="6" t="s">
        <v>1369</v>
      </c>
      <c r="U41" s="70">
        <f t="shared" si="1"/>
        <v>1</v>
      </c>
      <c r="V41" s="70">
        <f t="shared" si="2"/>
        <v>1</v>
      </c>
      <c r="W41" s="469">
        <v>3</v>
      </c>
      <c r="X41" s="68" t="s">
        <v>1401</v>
      </c>
      <c r="Y41" s="6">
        <f t="shared" si="3"/>
        <v>2</v>
      </c>
      <c r="Z41" s="6">
        <f t="shared" si="4"/>
        <v>1001</v>
      </c>
      <c r="AA41" s="6">
        <v>2</v>
      </c>
      <c r="AB41" s="68" t="s">
        <v>1405</v>
      </c>
      <c r="AC41" s="6">
        <f t="shared" si="5"/>
        <v>2</v>
      </c>
      <c r="AD41" s="6">
        <f t="shared" si="6"/>
        <v>1004</v>
      </c>
      <c r="AE41" s="6">
        <v>2</v>
      </c>
      <c r="AG41" s="86">
        <v>37</v>
      </c>
      <c r="AI41" s="11" t="str">
        <f t="shared" si="7"/>
        <v>物品类型</v>
      </c>
      <c r="AJ41" s="11" t="str">
        <f t="shared" si="8"/>
        <v>id</v>
      </c>
      <c r="AK41" s="86" t="s">
        <v>1403</v>
      </c>
      <c r="AL41" s="86">
        <f t="shared" si="19"/>
        <v>0</v>
      </c>
      <c r="AN41" s="1" t="str">
        <f t="shared" si="9"/>
        <v>物品类型</v>
      </c>
      <c r="AO41" s="1" t="str">
        <f t="shared" si="10"/>
        <v>id</v>
      </c>
      <c r="AP41" s="503"/>
      <c r="AQ41" s="1">
        <f t="shared" si="21"/>
        <v>0</v>
      </c>
    </row>
    <row r="42" spans="1:43" ht="16.2" x14ac:dyDescent="0.35">
      <c r="A42" s="1">
        <v>38</v>
      </c>
      <c r="B42" s="86">
        <f t="shared" si="11"/>
        <v>46660</v>
      </c>
      <c r="C42" s="39" t="str">
        <f t="shared" si="12"/>
        <v>1|1|3</v>
      </c>
      <c r="D42" s="39" t="str">
        <f t="shared" si="13"/>
        <v>2|1002|2</v>
      </c>
      <c r="E42" s="39" t="str">
        <f t="shared" si="14"/>
        <v>2|1004|2</v>
      </c>
      <c r="F42" s="39" t="str">
        <f t="shared" si="15"/>
        <v>1|2|300000</v>
      </c>
      <c r="G42" s="39" t="str">
        <f t="shared" si="16"/>
        <v>1|2|30000000</v>
      </c>
      <c r="H42" s="39">
        <v>0</v>
      </c>
      <c r="I42" s="39"/>
      <c r="J42" s="39"/>
      <c r="L42" s="1">
        <v>135</v>
      </c>
      <c r="M42" s="1">
        <f>SUM($L$5:L42)</f>
        <v>1908</v>
      </c>
      <c r="N42" s="463">
        <f t="shared" si="17"/>
        <v>7.95</v>
      </c>
      <c r="O42" s="1">
        <v>0.96</v>
      </c>
      <c r="P42" s="1">
        <f t="shared" si="23"/>
        <v>345.59999999999997</v>
      </c>
      <c r="Q42" s="1">
        <f t="shared" si="18"/>
        <v>46660</v>
      </c>
      <c r="T42" s="6" t="s">
        <v>1369</v>
      </c>
      <c r="U42" s="70">
        <f t="shared" si="1"/>
        <v>1</v>
      </c>
      <c r="V42" s="70">
        <f t="shared" si="2"/>
        <v>1</v>
      </c>
      <c r="W42" s="469">
        <v>3</v>
      </c>
      <c r="X42" s="68" t="s">
        <v>1402</v>
      </c>
      <c r="Y42" s="6">
        <f t="shared" si="3"/>
        <v>2</v>
      </c>
      <c r="Z42" s="6">
        <f t="shared" si="4"/>
        <v>1002</v>
      </c>
      <c r="AA42" s="6">
        <v>2</v>
      </c>
      <c r="AB42" s="68" t="s">
        <v>1405</v>
      </c>
      <c r="AC42" s="6">
        <f t="shared" si="5"/>
        <v>2</v>
      </c>
      <c r="AD42" s="6">
        <f t="shared" si="6"/>
        <v>1004</v>
      </c>
      <c r="AE42" s="6">
        <v>2</v>
      </c>
      <c r="AG42" s="59">
        <v>38</v>
      </c>
      <c r="AH42" s="1" t="s">
        <v>177</v>
      </c>
      <c r="AI42" s="11">
        <f t="shared" si="7"/>
        <v>1</v>
      </c>
      <c r="AJ42" s="11">
        <f t="shared" si="8"/>
        <v>2</v>
      </c>
      <c r="AK42" s="86">
        <v>300000</v>
      </c>
      <c r="AL42" s="86">
        <f t="shared" si="19"/>
        <v>300000</v>
      </c>
      <c r="AM42" s="1" t="str">
        <f t="shared" si="20"/>
        <v>金币</v>
      </c>
      <c r="AN42" s="1">
        <f t="shared" si="9"/>
        <v>1</v>
      </c>
      <c r="AO42" s="1">
        <f t="shared" si="10"/>
        <v>2</v>
      </c>
      <c r="AP42" s="503">
        <v>30000000</v>
      </c>
      <c r="AQ42" s="1">
        <f t="shared" si="21"/>
        <v>30000000</v>
      </c>
    </row>
    <row r="43" spans="1:43" ht="16.2" x14ac:dyDescent="0.35">
      <c r="A43" s="1">
        <v>39</v>
      </c>
      <c r="B43" s="86">
        <f t="shared" si="11"/>
        <v>48380</v>
      </c>
      <c r="C43" s="39" t="str">
        <f t="shared" si="12"/>
        <v>1|1|3</v>
      </c>
      <c r="D43" s="39" t="str">
        <f t="shared" si="13"/>
        <v>2|1001|2</v>
      </c>
      <c r="E43" s="39" t="str">
        <f t="shared" si="14"/>
        <v>2|1003|1</v>
      </c>
      <c r="F43" s="39" t="str">
        <f t="shared" si="15"/>
        <v/>
      </c>
      <c r="G43" s="39" t="str">
        <f t="shared" si="16"/>
        <v/>
      </c>
      <c r="H43" s="39">
        <v>0</v>
      </c>
      <c r="I43" s="39"/>
      <c r="J43" s="39"/>
      <c r="L43" s="1">
        <v>140</v>
      </c>
      <c r="M43" s="1">
        <f>SUM($L$5:L43)</f>
        <v>2048</v>
      </c>
      <c r="N43" s="463">
        <f t="shared" si="17"/>
        <v>8.5333333333333332</v>
      </c>
      <c r="O43" s="1">
        <v>0.96</v>
      </c>
      <c r="P43" s="1">
        <f t="shared" si="23"/>
        <v>345.59999999999997</v>
      </c>
      <c r="Q43" s="1">
        <f t="shared" si="18"/>
        <v>48380</v>
      </c>
      <c r="T43" s="6" t="s">
        <v>1369</v>
      </c>
      <c r="U43" s="70">
        <f t="shared" si="1"/>
        <v>1</v>
      </c>
      <c r="V43" s="70">
        <f t="shared" si="2"/>
        <v>1</v>
      </c>
      <c r="W43" s="469">
        <v>3</v>
      </c>
      <c r="X43" s="68" t="s">
        <v>1401</v>
      </c>
      <c r="Y43" s="6">
        <f t="shared" si="3"/>
        <v>2</v>
      </c>
      <c r="Z43" s="6">
        <f t="shared" si="4"/>
        <v>1001</v>
      </c>
      <c r="AA43" s="6">
        <v>2</v>
      </c>
      <c r="AB43" s="68" t="s">
        <v>1406</v>
      </c>
      <c r="AC43" s="6">
        <f t="shared" si="5"/>
        <v>2</v>
      </c>
      <c r="AD43" s="6">
        <f t="shared" si="6"/>
        <v>1003</v>
      </c>
      <c r="AE43" s="6">
        <v>1</v>
      </c>
      <c r="AG43" s="86">
        <v>39</v>
      </c>
      <c r="AI43" s="11" t="str">
        <f t="shared" si="7"/>
        <v>物品类型</v>
      </c>
      <c r="AJ43" s="11" t="str">
        <f t="shared" si="8"/>
        <v>id</v>
      </c>
      <c r="AK43" s="86" t="s">
        <v>1403</v>
      </c>
      <c r="AL43" s="86">
        <f t="shared" si="19"/>
        <v>0</v>
      </c>
      <c r="AM43" s="1">
        <f t="shared" si="20"/>
        <v>0</v>
      </c>
      <c r="AN43" s="1" t="str">
        <f t="shared" si="9"/>
        <v>物品类型</v>
      </c>
      <c r="AO43" s="1" t="str">
        <f t="shared" si="10"/>
        <v>id</v>
      </c>
      <c r="AP43" s="503"/>
      <c r="AQ43" s="1">
        <f t="shared" si="21"/>
        <v>0</v>
      </c>
    </row>
    <row r="44" spans="1:43" ht="16.2" x14ac:dyDescent="0.35">
      <c r="A44" s="1">
        <v>40</v>
      </c>
      <c r="B44" s="86">
        <f t="shared" si="11"/>
        <v>50110</v>
      </c>
      <c r="C44" s="39" t="str">
        <f t="shared" si="12"/>
        <v>1|1|3</v>
      </c>
      <c r="D44" s="39" t="str">
        <f t="shared" si="13"/>
        <v>2|1002|2</v>
      </c>
      <c r="E44" s="39" t="str">
        <f t="shared" si="14"/>
        <v>2|1004|2</v>
      </c>
      <c r="F44" s="39" t="str">
        <f t="shared" si="15"/>
        <v>1|2|350000</v>
      </c>
      <c r="G44" s="39" t="str">
        <f t="shared" si="16"/>
        <v>2|1007|8</v>
      </c>
      <c r="H44" s="39">
        <v>0</v>
      </c>
      <c r="I44" s="39"/>
      <c r="J44" s="39"/>
      <c r="L44" s="1">
        <v>145</v>
      </c>
      <c r="M44" s="1">
        <f>SUM($L$5:L44)</f>
        <v>2193</v>
      </c>
      <c r="N44" s="463">
        <f t="shared" si="17"/>
        <v>9.1374999999999993</v>
      </c>
      <c r="O44" s="1">
        <v>0.96</v>
      </c>
      <c r="P44" s="1">
        <f t="shared" si="23"/>
        <v>345.59999999999997</v>
      </c>
      <c r="Q44" s="1">
        <f t="shared" si="18"/>
        <v>50110</v>
      </c>
      <c r="T44" s="6" t="s">
        <v>1369</v>
      </c>
      <c r="U44" s="70">
        <f t="shared" si="1"/>
        <v>1</v>
      </c>
      <c r="V44" s="70">
        <f t="shared" si="2"/>
        <v>1</v>
      </c>
      <c r="W44" s="469">
        <v>3</v>
      </c>
      <c r="X44" s="68" t="s">
        <v>1402</v>
      </c>
      <c r="Y44" s="6">
        <f t="shared" si="3"/>
        <v>2</v>
      </c>
      <c r="Z44" s="6">
        <f t="shared" si="4"/>
        <v>1002</v>
      </c>
      <c r="AA44" s="6">
        <v>2</v>
      </c>
      <c r="AB44" s="68" t="s">
        <v>1405</v>
      </c>
      <c r="AC44" s="6">
        <f t="shared" si="5"/>
        <v>2</v>
      </c>
      <c r="AD44" s="6">
        <f t="shared" si="6"/>
        <v>1004</v>
      </c>
      <c r="AE44" s="6">
        <v>2</v>
      </c>
      <c r="AG44" s="59">
        <v>40</v>
      </c>
      <c r="AH44" s="1" t="s">
        <v>177</v>
      </c>
      <c r="AI44" s="11">
        <f t="shared" si="7"/>
        <v>1</v>
      </c>
      <c r="AJ44" s="11">
        <f t="shared" si="8"/>
        <v>2</v>
      </c>
      <c r="AK44" s="86">
        <v>350000</v>
      </c>
      <c r="AL44" s="86">
        <f t="shared" si="19"/>
        <v>350000</v>
      </c>
      <c r="AM44" s="1" t="s">
        <v>1381</v>
      </c>
      <c r="AN44" s="1">
        <f t="shared" si="9"/>
        <v>2</v>
      </c>
      <c r="AO44" s="1">
        <f t="shared" si="10"/>
        <v>1007</v>
      </c>
      <c r="AP44" s="504">
        <v>8</v>
      </c>
      <c r="AQ44" s="1">
        <f t="shared" si="21"/>
        <v>40000000</v>
      </c>
    </row>
    <row r="45" spans="1:43" ht="16.2" x14ac:dyDescent="0.35">
      <c r="A45" s="1">
        <v>41</v>
      </c>
      <c r="B45" s="86">
        <f t="shared" si="11"/>
        <v>51840</v>
      </c>
      <c r="C45" s="39" t="str">
        <f t="shared" si="12"/>
        <v>1|1|3</v>
      </c>
      <c r="D45" s="39" t="str">
        <f t="shared" ref="D45:D103" si="24">Y45&amp;"|"&amp;Z45&amp;"|"&amp;AA45</f>
        <v>2|1001|2</v>
      </c>
      <c r="E45" s="39" t="str">
        <f t="shared" ref="E45:E103" si="25">AC45&amp;"|"&amp;AD45&amp;"|"&amp;AE45</f>
        <v>2|1002|2</v>
      </c>
      <c r="F45" s="39" t="str">
        <f t="shared" ref="F45:F54" si="26">TRIM(IF(AH45&lt;&gt;"",AI45&amp;"|"&amp;AJ45&amp;"|"&amp;AK45,""))</f>
        <v/>
      </c>
      <c r="G45" s="39" t="str">
        <f t="shared" si="16"/>
        <v/>
      </c>
      <c r="H45" s="39">
        <v>0</v>
      </c>
      <c r="L45" s="1">
        <v>150</v>
      </c>
      <c r="M45" s="1">
        <f>SUM($L$5:L45)</f>
        <v>2343</v>
      </c>
      <c r="N45" s="463">
        <f t="shared" si="17"/>
        <v>9.7624999999999993</v>
      </c>
      <c r="O45" s="1">
        <v>0.96</v>
      </c>
      <c r="P45" s="1">
        <f t="shared" si="23"/>
        <v>345.59999999999997</v>
      </c>
      <c r="Q45" s="1">
        <f t="shared" si="18"/>
        <v>51840</v>
      </c>
      <c r="T45" s="6" t="s">
        <v>1369</v>
      </c>
      <c r="U45" s="70">
        <f t="shared" ref="U45:U84" si="27">VLOOKUP(T45,AU:AZ,4,0)</f>
        <v>1</v>
      </c>
      <c r="V45" s="70">
        <f t="shared" ref="V45:V84" si="28">VLOOKUP(T45,AU:AZ,5,0)</f>
        <v>1</v>
      </c>
      <c r="W45" s="469">
        <v>3</v>
      </c>
      <c r="X45" s="68" t="s">
        <v>1401</v>
      </c>
      <c r="Y45" s="6">
        <f t="shared" ref="Y45:Y84" si="29">VLOOKUP(X45,AU:AZ,4,0)</f>
        <v>2</v>
      </c>
      <c r="Z45" s="6">
        <f t="shared" ref="Z45:Z84" si="30">VLOOKUP(X45,AU:AZ,5,0)</f>
        <v>1001</v>
      </c>
      <c r="AA45" s="6">
        <v>2</v>
      </c>
      <c r="AB45" s="68" t="s">
        <v>1402</v>
      </c>
      <c r="AC45" s="6">
        <f t="shared" ref="AC45:AC84" si="31">VLOOKUP(AB45,AU:AZ,4,0)</f>
        <v>2</v>
      </c>
      <c r="AD45" s="6">
        <f t="shared" ref="AD45:AD84" si="32">VLOOKUP(AB45,AU:AZ,5,0)</f>
        <v>1002</v>
      </c>
      <c r="AE45" s="6">
        <v>2</v>
      </c>
      <c r="AG45" s="86">
        <v>41</v>
      </c>
      <c r="AI45" s="11" t="str">
        <f t="shared" si="7"/>
        <v>物品类型</v>
      </c>
      <c r="AJ45" s="11" t="str">
        <f t="shared" si="8"/>
        <v>id</v>
      </c>
      <c r="AK45" s="86" t="s">
        <v>1403</v>
      </c>
      <c r="AL45" s="86">
        <f t="shared" si="19"/>
        <v>0</v>
      </c>
      <c r="AM45" s="1">
        <f t="shared" ref="AM45:AM52" si="33">AH45</f>
        <v>0</v>
      </c>
      <c r="AN45" s="1" t="str">
        <f t="shared" si="9"/>
        <v>物品类型</v>
      </c>
      <c r="AO45" s="1" t="str">
        <f t="shared" si="10"/>
        <v>id</v>
      </c>
      <c r="AP45" s="503"/>
      <c r="AQ45" s="1">
        <f t="shared" si="21"/>
        <v>0</v>
      </c>
    </row>
    <row r="46" spans="1:43" ht="16.2" x14ac:dyDescent="0.35">
      <c r="A46" s="1">
        <v>42</v>
      </c>
      <c r="B46" s="86">
        <f t="shared" si="11"/>
        <v>53570</v>
      </c>
      <c r="C46" s="39" t="str">
        <f t="shared" si="12"/>
        <v>1|1|3</v>
      </c>
      <c r="D46" s="39" t="str">
        <f t="shared" si="24"/>
        <v>2|1002|2</v>
      </c>
      <c r="E46" s="39" t="str">
        <f t="shared" si="25"/>
        <v>2|1004|2</v>
      </c>
      <c r="F46" s="39" t="str">
        <f t="shared" si="26"/>
        <v/>
      </c>
      <c r="G46" s="39" t="str">
        <f t="shared" si="16"/>
        <v/>
      </c>
      <c r="H46" s="39">
        <v>0</v>
      </c>
      <c r="L46" s="1">
        <v>155</v>
      </c>
      <c r="M46" s="1">
        <f>SUM($L$5:L46)</f>
        <v>2498</v>
      </c>
      <c r="N46" s="463">
        <f t="shared" si="17"/>
        <v>10.408333333333333</v>
      </c>
      <c r="O46" s="1">
        <v>0.96</v>
      </c>
      <c r="P46" s="1">
        <f t="shared" si="23"/>
        <v>345.59999999999997</v>
      </c>
      <c r="Q46" s="1">
        <f t="shared" si="18"/>
        <v>53570</v>
      </c>
      <c r="T46" s="6" t="s">
        <v>1369</v>
      </c>
      <c r="U46" s="70">
        <f t="shared" si="27"/>
        <v>1</v>
      </c>
      <c r="V46" s="70">
        <f t="shared" si="28"/>
        <v>1</v>
      </c>
      <c r="W46" s="469">
        <v>3</v>
      </c>
      <c r="X46" s="68" t="s">
        <v>1402</v>
      </c>
      <c r="Y46" s="6">
        <f t="shared" si="29"/>
        <v>2</v>
      </c>
      <c r="Z46" s="6">
        <f t="shared" si="30"/>
        <v>1002</v>
      </c>
      <c r="AA46" s="6">
        <v>2</v>
      </c>
      <c r="AB46" s="68" t="s">
        <v>1405</v>
      </c>
      <c r="AC46" s="6">
        <f t="shared" si="31"/>
        <v>2</v>
      </c>
      <c r="AD46" s="6">
        <f t="shared" si="32"/>
        <v>1004</v>
      </c>
      <c r="AE46" s="6">
        <v>2</v>
      </c>
      <c r="AG46" s="86">
        <v>42</v>
      </c>
      <c r="AI46" s="11" t="str">
        <f t="shared" si="7"/>
        <v>物品类型</v>
      </c>
      <c r="AJ46" s="11" t="str">
        <f t="shared" si="8"/>
        <v>id</v>
      </c>
      <c r="AK46" s="86" t="s">
        <v>1403</v>
      </c>
      <c r="AL46" s="86">
        <f t="shared" si="19"/>
        <v>0</v>
      </c>
      <c r="AM46" s="1">
        <f t="shared" si="33"/>
        <v>0</v>
      </c>
      <c r="AN46" s="1" t="str">
        <f t="shared" si="9"/>
        <v>物品类型</v>
      </c>
      <c r="AO46" s="1" t="str">
        <f t="shared" si="10"/>
        <v>id</v>
      </c>
      <c r="AP46" s="503"/>
      <c r="AQ46" s="1">
        <f t="shared" si="21"/>
        <v>0</v>
      </c>
    </row>
    <row r="47" spans="1:43" ht="16.2" x14ac:dyDescent="0.35">
      <c r="A47" s="1">
        <v>43</v>
      </c>
      <c r="B47" s="86">
        <f t="shared" si="11"/>
        <v>55300</v>
      </c>
      <c r="C47" s="39" t="str">
        <f t="shared" si="12"/>
        <v>1|1|3</v>
      </c>
      <c r="D47" s="39" t="str">
        <f t="shared" si="24"/>
        <v>2|1001|2</v>
      </c>
      <c r="E47" s="39" t="str">
        <f t="shared" si="25"/>
        <v>2|1004|2</v>
      </c>
      <c r="F47" s="39" t="str">
        <f t="shared" si="26"/>
        <v>1|2|400000</v>
      </c>
      <c r="G47" s="39" t="str">
        <f t="shared" si="16"/>
        <v>1|2|40000000</v>
      </c>
      <c r="H47" s="39">
        <v>0</v>
      </c>
      <c r="L47" s="1">
        <v>160</v>
      </c>
      <c r="M47" s="1">
        <f>SUM($L$5:L47)</f>
        <v>2658</v>
      </c>
      <c r="N47" s="463">
        <f t="shared" si="17"/>
        <v>11.074999999999999</v>
      </c>
      <c r="O47" s="1">
        <v>0.96</v>
      </c>
      <c r="P47" s="1">
        <f t="shared" si="23"/>
        <v>345.59999999999997</v>
      </c>
      <c r="Q47" s="1">
        <f t="shared" si="18"/>
        <v>55300</v>
      </c>
      <c r="T47" s="6" t="s">
        <v>1369</v>
      </c>
      <c r="U47" s="70">
        <f t="shared" si="27"/>
        <v>1</v>
      </c>
      <c r="V47" s="70">
        <f t="shared" si="28"/>
        <v>1</v>
      </c>
      <c r="W47" s="469">
        <v>3</v>
      </c>
      <c r="X47" s="68" t="s">
        <v>1401</v>
      </c>
      <c r="Y47" s="6">
        <f t="shared" si="29"/>
        <v>2</v>
      </c>
      <c r="Z47" s="6">
        <f t="shared" si="30"/>
        <v>1001</v>
      </c>
      <c r="AA47" s="6">
        <v>2</v>
      </c>
      <c r="AB47" s="68" t="s">
        <v>1405</v>
      </c>
      <c r="AC47" s="6">
        <f t="shared" si="31"/>
        <v>2</v>
      </c>
      <c r="AD47" s="6">
        <f t="shared" si="32"/>
        <v>1004</v>
      </c>
      <c r="AE47" s="6">
        <v>2</v>
      </c>
      <c r="AG47" s="59">
        <v>43</v>
      </c>
      <c r="AH47" s="1" t="s">
        <v>177</v>
      </c>
      <c r="AI47" s="11">
        <f t="shared" si="7"/>
        <v>1</v>
      </c>
      <c r="AJ47" s="11">
        <f t="shared" si="8"/>
        <v>2</v>
      </c>
      <c r="AK47" s="86">
        <v>400000</v>
      </c>
      <c r="AL47" s="86">
        <f t="shared" si="19"/>
        <v>400000</v>
      </c>
      <c r="AM47" s="1" t="str">
        <f t="shared" si="33"/>
        <v>金币</v>
      </c>
      <c r="AN47" s="1">
        <f t="shared" si="9"/>
        <v>1</v>
      </c>
      <c r="AO47" s="1">
        <f t="shared" si="10"/>
        <v>2</v>
      </c>
      <c r="AP47" s="503">
        <v>40000000</v>
      </c>
      <c r="AQ47" s="1">
        <f t="shared" si="21"/>
        <v>40000000</v>
      </c>
    </row>
    <row r="48" spans="1:43" ht="16.2" x14ac:dyDescent="0.35">
      <c r="A48" s="1">
        <v>44</v>
      </c>
      <c r="B48" s="86">
        <f t="shared" si="11"/>
        <v>57020</v>
      </c>
      <c r="C48" s="39" t="str">
        <f t="shared" si="12"/>
        <v>1|1|3</v>
      </c>
      <c r="D48" s="39" t="str">
        <f t="shared" si="24"/>
        <v>2|1002|2</v>
      </c>
      <c r="E48" s="39" t="str">
        <f t="shared" si="25"/>
        <v>2|1003|1</v>
      </c>
      <c r="F48" s="39" t="str">
        <f t="shared" si="26"/>
        <v/>
      </c>
      <c r="G48" s="39" t="str">
        <f t="shared" si="16"/>
        <v/>
      </c>
      <c r="H48" s="39">
        <v>0</v>
      </c>
      <c r="L48" s="1">
        <v>165</v>
      </c>
      <c r="M48" s="1">
        <f>SUM($L$5:L48)</f>
        <v>2823</v>
      </c>
      <c r="N48" s="463">
        <f t="shared" si="17"/>
        <v>11.762499999999999</v>
      </c>
      <c r="O48" s="1">
        <v>0.96</v>
      </c>
      <c r="P48" s="1">
        <f t="shared" si="23"/>
        <v>345.59999999999997</v>
      </c>
      <c r="Q48" s="1">
        <f t="shared" si="18"/>
        <v>57020</v>
      </c>
      <c r="T48" s="6" t="s">
        <v>1369</v>
      </c>
      <c r="U48" s="70">
        <f t="shared" si="27"/>
        <v>1</v>
      </c>
      <c r="V48" s="70">
        <f t="shared" si="28"/>
        <v>1</v>
      </c>
      <c r="W48" s="469">
        <v>3</v>
      </c>
      <c r="X48" s="68" t="s">
        <v>1402</v>
      </c>
      <c r="Y48" s="6">
        <f t="shared" si="29"/>
        <v>2</v>
      </c>
      <c r="Z48" s="6">
        <f t="shared" si="30"/>
        <v>1002</v>
      </c>
      <c r="AA48" s="6">
        <v>2</v>
      </c>
      <c r="AB48" s="68" t="s">
        <v>1406</v>
      </c>
      <c r="AC48" s="6">
        <f t="shared" si="31"/>
        <v>2</v>
      </c>
      <c r="AD48" s="6">
        <f t="shared" si="32"/>
        <v>1003</v>
      </c>
      <c r="AE48" s="6">
        <v>1</v>
      </c>
      <c r="AG48" s="86">
        <v>44</v>
      </c>
      <c r="AI48" s="11" t="str">
        <f t="shared" si="7"/>
        <v>物品类型</v>
      </c>
      <c r="AJ48" s="11" t="str">
        <f t="shared" si="8"/>
        <v>id</v>
      </c>
      <c r="AK48" s="86"/>
      <c r="AL48" s="86">
        <f t="shared" si="19"/>
        <v>0</v>
      </c>
      <c r="AM48" s="1">
        <f t="shared" si="33"/>
        <v>0</v>
      </c>
      <c r="AN48" s="1" t="str">
        <f t="shared" si="9"/>
        <v>物品类型</v>
      </c>
      <c r="AO48" s="1" t="str">
        <f t="shared" si="10"/>
        <v>id</v>
      </c>
      <c r="AP48" s="503"/>
      <c r="AQ48" s="1">
        <f t="shared" si="21"/>
        <v>0</v>
      </c>
    </row>
    <row r="49" spans="1:43" ht="16.2" x14ac:dyDescent="0.35">
      <c r="A49" s="1">
        <v>45</v>
      </c>
      <c r="B49" s="86">
        <f t="shared" si="11"/>
        <v>58750</v>
      </c>
      <c r="C49" s="39" t="str">
        <f t="shared" si="12"/>
        <v>1|1|3</v>
      </c>
      <c r="D49" s="39" t="str">
        <f t="shared" si="24"/>
        <v>2|1001|2</v>
      </c>
      <c r="E49" s="39" t="str">
        <f t="shared" si="25"/>
        <v>2|1002|2</v>
      </c>
      <c r="F49" s="39" t="str">
        <f t="shared" si="26"/>
        <v>2|1003|2</v>
      </c>
      <c r="G49" s="39" t="str">
        <f t="shared" si="16"/>
        <v>2|1003|100</v>
      </c>
      <c r="H49" s="39">
        <v>0</v>
      </c>
      <c r="L49" s="1">
        <v>170</v>
      </c>
      <c r="M49" s="1">
        <f>SUM($L$5:L49)</f>
        <v>2993</v>
      </c>
      <c r="N49" s="463">
        <f t="shared" si="17"/>
        <v>12.470833333333333</v>
      </c>
      <c r="O49" s="1">
        <v>0.96</v>
      </c>
      <c r="P49" s="1">
        <f t="shared" si="23"/>
        <v>345.59999999999997</v>
      </c>
      <c r="Q49" s="1">
        <f t="shared" si="18"/>
        <v>58750</v>
      </c>
      <c r="T49" s="6" t="s">
        <v>1369</v>
      </c>
      <c r="U49" s="70">
        <f t="shared" si="27"/>
        <v>1</v>
      </c>
      <c r="V49" s="70">
        <f t="shared" si="28"/>
        <v>1</v>
      </c>
      <c r="W49" s="469">
        <v>3</v>
      </c>
      <c r="X49" s="68" t="s">
        <v>1401</v>
      </c>
      <c r="Y49" s="6">
        <f t="shared" si="29"/>
        <v>2</v>
      </c>
      <c r="Z49" s="6">
        <f t="shared" si="30"/>
        <v>1001</v>
      </c>
      <c r="AA49" s="6">
        <v>2</v>
      </c>
      <c r="AB49" s="68" t="s">
        <v>1402</v>
      </c>
      <c r="AC49" s="6">
        <f t="shared" si="31"/>
        <v>2</v>
      </c>
      <c r="AD49" s="6">
        <f t="shared" si="32"/>
        <v>1002</v>
      </c>
      <c r="AE49" s="6">
        <v>2</v>
      </c>
      <c r="AG49" s="59">
        <v>45</v>
      </c>
      <c r="AH49" s="1" t="s">
        <v>1406</v>
      </c>
      <c r="AI49" s="11">
        <f t="shared" si="7"/>
        <v>2</v>
      </c>
      <c r="AJ49" s="11">
        <f t="shared" si="8"/>
        <v>1003</v>
      </c>
      <c r="AK49" s="86">
        <v>2</v>
      </c>
      <c r="AL49" s="86">
        <f t="shared" si="19"/>
        <v>199999.99999999997</v>
      </c>
      <c r="AM49" s="1" t="str">
        <f t="shared" si="33"/>
        <v>狂暴</v>
      </c>
      <c r="AN49" s="1">
        <f t="shared" si="9"/>
        <v>2</v>
      </c>
      <c r="AO49" s="1">
        <f t="shared" si="10"/>
        <v>1003</v>
      </c>
      <c r="AP49" s="503">
        <v>100</v>
      </c>
      <c r="AQ49" s="1">
        <f t="shared" si="21"/>
        <v>9999999.9999999981</v>
      </c>
    </row>
    <row r="50" spans="1:43" ht="16.2" x14ac:dyDescent="0.35">
      <c r="A50" s="1">
        <v>46</v>
      </c>
      <c r="B50" s="86">
        <f t="shared" si="11"/>
        <v>60480</v>
      </c>
      <c r="C50" s="39" t="str">
        <f t="shared" si="12"/>
        <v>1|1|3</v>
      </c>
      <c r="D50" s="39" t="str">
        <f t="shared" si="24"/>
        <v>2|1002|2</v>
      </c>
      <c r="E50" s="39" t="str">
        <f t="shared" si="25"/>
        <v>2|1004|2</v>
      </c>
      <c r="F50" s="39" t="str">
        <f t="shared" si="26"/>
        <v/>
      </c>
      <c r="G50" s="39" t="str">
        <f t="shared" si="16"/>
        <v/>
      </c>
      <c r="H50" s="39">
        <v>0</v>
      </c>
      <c r="L50" s="1">
        <v>175</v>
      </c>
      <c r="M50" s="1">
        <f>SUM($L$5:L50)</f>
        <v>3168</v>
      </c>
      <c r="N50" s="463">
        <f t="shared" si="17"/>
        <v>13.2</v>
      </c>
      <c r="O50" s="1">
        <v>0.96</v>
      </c>
      <c r="P50" s="1">
        <f t="shared" si="23"/>
        <v>345.59999999999997</v>
      </c>
      <c r="Q50" s="1">
        <f t="shared" si="18"/>
        <v>60480</v>
      </c>
      <c r="T50" s="6" t="s">
        <v>1369</v>
      </c>
      <c r="U50" s="70">
        <f t="shared" si="27"/>
        <v>1</v>
      </c>
      <c r="V50" s="70">
        <f t="shared" si="28"/>
        <v>1</v>
      </c>
      <c r="W50" s="469">
        <v>3</v>
      </c>
      <c r="X50" s="68" t="s">
        <v>1402</v>
      </c>
      <c r="Y50" s="6">
        <f t="shared" si="29"/>
        <v>2</v>
      </c>
      <c r="Z50" s="6">
        <f t="shared" si="30"/>
        <v>1002</v>
      </c>
      <c r="AA50" s="6">
        <v>2</v>
      </c>
      <c r="AB50" s="68" t="s">
        <v>1405</v>
      </c>
      <c r="AC50" s="6">
        <f t="shared" si="31"/>
        <v>2</v>
      </c>
      <c r="AD50" s="6">
        <f t="shared" si="32"/>
        <v>1004</v>
      </c>
      <c r="AE50" s="6">
        <v>2</v>
      </c>
      <c r="AG50" s="86">
        <v>46</v>
      </c>
      <c r="AI50" s="11" t="str">
        <f t="shared" si="7"/>
        <v>物品类型</v>
      </c>
      <c r="AJ50" s="11" t="str">
        <f t="shared" si="8"/>
        <v>id</v>
      </c>
      <c r="AK50" s="86" t="s">
        <v>1403</v>
      </c>
      <c r="AL50" s="86">
        <f t="shared" si="19"/>
        <v>0</v>
      </c>
      <c r="AM50" s="1">
        <f t="shared" si="33"/>
        <v>0</v>
      </c>
      <c r="AN50" s="1" t="str">
        <f t="shared" si="9"/>
        <v>物品类型</v>
      </c>
      <c r="AO50" s="1" t="str">
        <f t="shared" si="10"/>
        <v>id</v>
      </c>
      <c r="AP50" s="503"/>
      <c r="AQ50" s="1">
        <f t="shared" si="21"/>
        <v>0</v>
      </c>
    </row>
    <row r="51" spans="1:43" ht="16.2" x14ac:dyDescent="0.35">
      <c r="A51" s="1">
        <v>47</v>
      </c>
      <c r="B51" s="86">
        <f t="shared" si="11"/>
        <v>62210</v>
      </c>
      <c r="C51" s="39" t="str">
        <f t="shared" si="12"/>
        <v>1|1|3</v>
      </c>
      <c r="D51" s="39" t="str">
        <f t="shared" si="24"/>
        <v>2|1001|2</v>
      </c>
      <c r="E51" s="39" t="str">
        <f t="shared" si="25"/>
        <v>2|1004|2</v>
      </c>
      <c r="F51" s="39" t="str">
        <f t="shared" si="26"/>
        <v/>
      </c>
      <c r="G51" s="39" t="str">
        <f t="shared" si="16"/>
        <v/>
      </c>
      <c r="H51" s="39">
        <v>0</v>
      </c>
      <c r="L51" s="1">
        <v>180</v>
      </c>
      <c r="M51" s="1">
        <f>SUM($L$5:L51)</f>
        <v>3348</v>
      </c>
      <c r="N51" s="463">
        <f t="shared" si="17"/>
        <v>13.95</v>
      </c>
      <c r="O51" s="1">
        <v>0.96</v>
      </c>
      <c r="P51" s="1">
        <f t="shared" si="23"/>
        <v>345.59999999999997</v>
      </c>
      <c r="Q51" s="1">
        <f t="shared" si="18"/>
        <v>62210</v>
      </c>
      <c r="T51" s="6" t="s">
        <v>1369</v>
      </c>
      <c r="U51" s="70">
        <f t="shared" si="27"/>
        <v>1</v>
      </c>
      <c r="V51" s="70">
        <f t="shared" si="28"/>
        <v>1</v>
      </c>
      <c r="W51" s="469">
        <v>3</v>
      </c>
      <c r="X51" s="68" t="s">
        <v>1401</v>
      </c>
      <c r="Y51" s="6">
        <f t="shared" si="29"/>
        <v>2</v>
      </c>
      <c r="Z51" s="6">
        <f t="shared" si="30"/>
        <v>1001</v>
      </c>
      <c r="AA51" s="6">
        <v>2</v>
      </c>
      <c r="AB51" s="68" t="s">
        <v>1405</v>
      </c>
      <c r="AC51" s="6">
        <f t="shared" si="31"/>
        <v>2</v>
      </c>
      <c r="AD51" s="6">
        <f t="shared" si="32"/>
        <v>1004</v>
      </c>
      <c r="AE51" s="6">
        <v>2</v>
      </c>
      <c r="AG51" s="86">
        <v>47</v>
      </c>
      <c r="AI51" s="11" t="str">
        <f t="shared" si="7"/>
        <v>物品类型</v>
      </c>
      <c r="AJ51" s="11" t="str">
        <f t="shared" si="8"/>
        <v>id</v>
      </c>
      <c r="AK51" s="86" t="s">
        <v>1403</v>
      </c>
      <c r="AL51" s="86">
        <f t="shared" si="19"/>
        <v>0</v>
      </c>
      <c r="AM51" s="1">
        <f t="shared" si="33"/>
        <v>0</v>
      </c>
      <c r="AN51" s="1" t="str">
        <f t="shared" si="9"/>
        <v>物品类型</v>
      </c>
      <c r="AO51" s="1" t="str">
        <f t="shared" si="10"/>
        <v>id</v>
      </c>
      <c r="AP51" s="503"/>
      <c r="AQ51" s="1">
        <f t="shared" si="21"/>
        <v>0</v>
      </c>
    </row>
    <row r="52" spans="1:43" ht="16.2" x14ac:dyDescent="0.35">
      <c r="A52" s="1">
        <v>48</v>
      </c>
      <c r="B52" s="86">
        <f t="shared" si="11"/>
        <v>63940</v>
      </c>
      <c r="C52" s="39" t="str">
        <f t="shared" si="12"/>
        <v>1|1|3</v>
      </c>
      <c r="D52" s="39" t="str">
        <f t="shared" si="24"/>
        <v>2|1002|2</v>
      </c>
      <c r="E52" s="39" t="str">
        <f t="shared" si="25"/>
        <v>2|1004|2</v>
      </c>
      <c r="F52" s="39" t="str">
        <f t="shared" si="26"/>
        <v>1|2|450000</v>
      </c>
      <c r="G52" s="39" t="str">
        <f t="shared" si="16"/>
        <v>1|2|45000000</v>
      </c>
      <c r="H52" s="39">
        <v>0</v>
      </c>
      <c r="L52" s="1">
        <v>185</v>
      </c>
      <c r="M52" s="1">
        <f>SUM($L$5:L52)</f>
        <v>3533</v>
      </c>
      <c r="N52" s="463">
        <f t="shared" si="17"/>
        <v>14.720833333333333</v>
      </c>
      <c r="O52" s="1">
        <v>0.96</v>
      </c>
      <c r="P52" s="1">
        <f t="shared" si="23"/>
        <v>345.59999999999997</v>
      </c>
      <c r="Q52" s="1">
        <f t="shared" si="18"/>
        <v>63940</v>
      </c>
      <c r="T52" s="6" t="s">
        <v>1369</v>
      </c>
      <c r="U52" s="70">
        <f t="shared" si="27"/>
        <v>1</v>
      </c>
      <c r="V52" s="70">
        <f t="shared" si="28"/>
        <v>1</v>
      </c>
      <c r="W52" s="469">
        <v>3</v>
      </c>
      <c r="X52" s="68" t="s">
        <v>1402</v>
      </c>
      <c r="Y52" s="6">
        <f t="shared" si="29"/>
        <v>2</v>
      </c>
      <c r="Z52" s="6">
        <f t="shared" si="30"/>
        <v>1002</v>
      </c>
      <c r="AA52" s="6">
        <v>2</v>
      </c>
      <c r="AB52" s="68" t="s">
        <v>1405</v>
      </c>
      <c r="AC52" s="6">
        <f t="shared" si="31"/>
        <v>2</v>
      </c>
      <c r="AD52" s="6">
        <f t="shared" si="32"/>
        <v>1004</v>
      </c>
      <c r="AE52" s="6">
        <v>2</v>
      </c>
      <c r="AG52" s="59">
        <v>48</v>
      </c>
      <c r="AH52" s="1" t="s">
        <v>177</v>
      </c>
      <c r="AI52" s="11">
        <f t="shared" si="7"/>
        <v>1</v>
      </c>
      <c r="AJ52" s="11">
        <f t="shared" si="8"/>
        <v>2</v>
      </c>
      <c r="AK52" s="86">
        <v>450000</v>
      </c>
      <c r="AL52" s="86">
        <f t="shared" si="19"/>
        <v>450000</v>
      </c>
      <c r="AM52" s="1" t="str">
        <f t="shared" si="33"/>
        <v>金币</v>
      </c>
      <c r="AN52" s="1">
        <f t="shared" si="9"/>
        <v>1</v>
      </c>
      <c r="AO52" s="1">
        <f t="shared" si="10"/>
        <v>2</v>
      </c>
      <c r="AP52" s="503">
        <v>45000000</v>
      </c>
      <c r="AQ52" s="1">
        <f t="shared" si="21"/>
        <v>45000000</v>
      </c>
    </row>
    <row r="53" spans="1:43" ht="16.2" x14ac:dyDescent="0.35">
      <c r="A53" s="1">
        <v>49</v>
      </c>
      <c r="B53" s="86">
        <f t="shared" si="11"/>
        <v>65660</v>
      </c>
      <c r="C53" s="39" t="str">
        <f t="shared" si="12"/>
        <v>1|1|3</v>
      </c>
      <c r="D53" s="39" t="str">
        <f t="shared" si="24"/>
        <v>2|1001|2</v>
      </c>
      <c r="E53" s="39" t="str">
        <f t="shared" si="25"/>
        <v>2|1003|1</v>
      </c>
      <c r="F53" s="39" t="str">
        <f t="shared" si="26"/>
        <v/>
      </c>
      <c r="G53" s="39" t="str">
        <f t="shared" si="16"/>
        <v/>
      </c>
      <c r="H53" s="39">
        <v>0</v>
      </c>
      <c r="L53" s="1">
        <v>190</v>
      </c>
      <c r="M53" s="464">
        <f>SUM($L$5:L53)</f>
        <v>3723</v>
      </c>
      <c r="N53" s="463">
        <f t="shared" si="17"/>
        <v>15.512499999999999</v>
      </c>
      <c r="O53" s="1">
        <v>0.96</v>
      </c>
      <c r="P53" s="1">
        <f t="shared" si="23"/>
        <v>345.59999999999997</v>
      </c>
      <c r="Q53" s="1">
        <f t="shared" si="18"/>
        <v>65660</v>
      </c>
      <c r="T53" s="6" t="s">
        <v>1369</v>
      </c>
      <c r="U53" s="70">
        <f t="shared" si="27"/>
        <v>1</v>
      </c>
      <c r="V53" s="70">
        <f t="shared" si="28"/>
        <v>1</v>
      </c>
      <c r="W53" s="469">
        <v>3</v>
      </c>
      <c r="X53" s="68" t="s">
        <v>1401</v>
      </c>
      <c r="Y53" s="6">
        <f t="shared" si="29"/>
        <v>2</v>
      </c>
      <c r="Z53" s="6">
        <f t="shared" si="30"/>
        <v>1001</v>
      </c>
      <c r="AA53" s="6">
        <v>2</v>
      </c>
      <c r="AB53" s="68" t="s">
        <v>1406</v>
      </c>
      <c r="AC53" s="6">
        <f t="shared" si="31"/>
        <v>2</v>
      </c>
      <c r="AD53" s="6">
        <f t="shared" si="32"/>
        <v>1003</v>
      </c>
      <c r="AE53" s="6">
        <v>1</v>
      </c>
      <c r="AG53" s="86">
        <v>49</v>
      </c>
      <c r="AI53" s="11" t="str">
        <f t="shared" ref="AI53" si="34">VLOOKUP(AH53,AU:AZ,4,0)</f>
        <v>物品类型</v>
      </c>
      <c r="AJ53" s="11" t="str">
        <f t="shared" ref="AJ53" si="35">VLOOKUP(AH53,AU:AZ,5,0)</f>
        <v>id</v>
      </c>
      <c r="AK53" s="86"/>
      <c r="AL53" s="86">
        <f t="shared" ref="AL53" si="36">IF(AH53&lt;&gt;"",AK53*VLOOKUP(AH53,AU:BA,7,0),0)</f>
        <v>0</v>
      </c>
      <c r="AM53" s="1">
        <f t="shared" ref="AM53" si="37">AH53</f>
        <v>0</v>
      </c>
      <c r="AN53" s="1" t="str">
        <f t="shared" ref="AN53" si="38">VLOOKUP(AM53,AU:AZ,4,0)</f>
        <v>物品类型</v>
      </c>
      <c r="AO53" s="1" t="str">
        <f t="shared" ref="AO53" si="39">VLOOKUP(AM53,AU:AZ,5,0)</f>
        <v>id</v>
      </c>
      <c r="AP53" s="503">
        <v>0</v>
      </c>
      <c r="AQ53" s="1">
        <f t="shared" ref="AQ53" si="40">IF(OR(AM53=0,AM53=""),0,AP53*VLOOKUP(AM53,AU:BA,7,0))</f>
        <v>0</v>
      </c>
    </row>
    <row r="54" spans="1:43" ht="16.2" x14ac:dyDescent="0.35">
      <c r="A54" s="1">
        <v>50</v>
      </c>
      <c r="B54" s="86">
        <f t="shared" si="11"/>
        <v>76030</v>
      </c>
      <c r="C54" s="39" t="str">
        <f t="shared" si="12"/>
        <v>1|1|3</v>
      </c>
      <c r="D54" s="39" t="str">
        <f t="shared" si="24"/>
        <v>2|1002|2</v>
      </c>
      <c r="E54" s="39" t="str">
        <f t="shared" si="25"/>
        <v>2|1004|2</v>
      </c>
      <c r="F54" s="39" t="str">
        <f t="shared" si="26"/>
        <v>1|2|500000</v>
      </c>
      <c r="G54" s="39" t="str">
        <f t="shared" si="16"/>
        <v>2|1008|5</v>
      </c>
      <c r="H54" s="39">
        <v>0</v>
      </c>
      <c r="L54" s="1">
        <v>220</v>
      </c>
      <c r="M54" s="1">
        <f>SUM($L$5:L54)</f>
        <v>3943</v>
      </c>
      <c r="N54" s="463">
        <f t="shared" si="17"/>
        <v>16.429166666666667</v>
      </c>
      <c r="O54" s="1">
        <v>0.96</v>
      </c>
      <c r="P54" s="1">
        <f t="shared" si="23"/>
        <v>345.59999999999997</v>
      </c>
      <c r="Q54" s="1">
        <f t="shared" si="18"/>
        <v>76030</v>
      </c>
      <c r="T54" s="6" t="s">
        <v>1369</v>
      </c>
      <c r="U54" s="70">
        <f t="shared" si="27"/>
        <v>1</v>
      </c>
      <c r="V54" s="70">
        <f t="shared" si="28"/>
        <v>1</v>
      </c>
      <c r="W54" s="469">
        <v>3</v>
      </c>
      <c r="X54" s="68" t="s">
        <v>1402</v>
      </c>
      <c r="Y54" s="6">
        <f t="shared" si="29"/>
        <v>2</v>
      </c>
      <c r="Z54" s="6">
        <f t="shared" si="30"/>
        <v>1002</v>
      </c>
      <c r="AA54" s="6">
        <v>2</v>
      </c>
      <c r="AB54" s="68" t="s">
        <v>1405</v>
      </c>
      <c r="AC54" s="6">
        <f t="shared" si="31"/>
        <v>2</v>
      </c>
      <c r="AD54" s="6">
        <f t="shared" si="32"/>
        <v>1004</v>
      </c>
      <c r="AE54" s="6">
        <v>2</v>
      </c>
      <c r="AG54" s="59">
        <v>50</v>
      </c>
      <c r="AH54" s="1" t="s">
        <v>177</v>
      </c>
      <c r="AI54" s="11">
        <f t="shared" si="7"/>
        <v>1</v>
      </c>
      <c r="AJ54" s="11">
        <f t="shared" si="8"/>
        <v>2</v>
      </c>
      <c r="AK54" s="86">
        <v>500000</v>
      </c>
      <c r="AL54" s="86">
        <f t="shared" si="19"/>
        <v>500000</v>
      </c>
      <c r="AM54" s="1" t="s">
        <v>1370</v>
      </c>
      <c r="AN54" s="1">
        <f t="shared" si="9"/>
        <v>2</v>
      </c>
      <c r="AO54" s="1">
        <f t="shared" si="10"/>
        <v>1008</v>
      </c>
      <c r="AP54" s="504">
        <v>5</v>
      </c>
      <c r="AQ54" s="1">
        <f t="shared" si="21"/>
        <v>50000000</v>
      </c>
    </row>
    <row r="55" spans="1:43" ht="16.2" x14ac:dyDescent="0.35">
      <c r="A55" s="1">
        <v>51</v>
      </c>
      <c r="B55" s="86">
        <f t="shared" si="11"/>
        <v>89860</v>
      </c>
      <c r="C55" s="39" t="str">
        <f t="shared" si="12"/>
        <v>1|1|3</v>
      </c>
      <c r="D55" s="39" t="str">
        <f t="shared" si="24"/>
        <v>2|1001|2</v>
      </c>
      <c r="E55" s="39" t="str">
        <f t="shared" si="25"/>
        <v>2|1002|2</v>
      </c>
      <c r="F55" s="39" t="str">
        <f t="shared" ref="F55" si="41">TRIM(IF(AH55&lt;&gt;"",AI55&amp;"|"&amp;AJ55&amp;"|"&amp;AK55,""))</f>
        <v/>
      </c>
      <c r="G55" s="39" t="str">
        <f t="shared" ref="G55" si="42">TRIM(IF(OR(AM55="",AM55=0),"",AN55&amp;"|"&amp;AO55&amp;"|"&amp;AP55))</f>
        <v/>
      </c>
      <c r="H55" s="39">
        <v>0</v>
      </c>
      <c r="L55" s="1">
        <v>260</v>
      </c>
      <c r="M55" s="1">
        <f>SUM($L$5:L55)</f>
        <v>4203</v>
      </c>
      <c r="N55" s="463">
        <f t="shared" si="17"/>
        <v>17.512499999999999</v>
      </c>
      <c r="O55" s="1">
        <v>0.96</v>
      </c>
      <c r="P55" s="1">
        <f t="shared" si="23"/>
        <v>345.59999999999997</v>
      </c>
      <c r="Q55" s="1">
        <f t="shared" si="18"/>
        <v>89860</v>
      </c>
      <c r="T55" s="6" t="s">
        <v>1369</v>
      </c>
      <c r="U55" s="70">
        <f t="shared" si="27"/>
        <v>1</v>
      </c>
      <c r="V55" s="70">
        <f t="shared" si="28"/>
        <v>1</v>
      </c>
      <c r="W55" s="469">
        <v>3</v>
      </c>
      <c r="X55" s="68" t="s">
        <v>1401</v>
      </c>
      <c r="Y55" s="6">
        <f t="shared" si="29"/>
        <v>2</v>
      </c>
      <c r="Z55" s="6">
        <f t="shared" si="30"/>
        <v>1001</v>
      </c>
      <c r="AA55" s="6">
        <v>2</v>
      </c>
      <c r="AB55" s="68" t="s">
        <v>1402</v>
      </c>
      <c r="AC55" s="6">
        <f t="shared" si="31"/>
        <v>2</v>
      </c>
      <c r="AD55" s="6">
        <f t="shared" si="32"/>
        <v>1002</v>
      </c>
      <c r="AE55" s="6">
        <v>2</v>
      </c>
      <c r="AI55" s="11"/>
      <c r="AJ55" s="11"/>
      <c r="AK55" s="86"/>
      <c r="AL55" s="86"/>
      <c r="AP55" s="503"/>
    </row>
    <row r="56" spans="1:43" x14ac:dyDescent="0.35">
      <c r="A56" s="1">
        <v>52</v>
      </c>
      <c r="B56" s="86">
        <f t="shared" si="11"/>
        <v>103680</v>
      </c>
      <c r="C56" s="39" t="str">
        <f t="shared" si="12"/>
        <v>1|1|3</v>
      </c>
      <c r="D56" s="39" t="str">
        <f t="shared" si="24"/>
        <v>2|1002|2</v>
      </c>
      <c r="E56" s="39" t="str">
        <f t="shared" si="25"/>
        <v>2|1004|2</v>
      </c>
      <c r="F56" s="39" t="str">
        <f t="shared" ref="F56:F103" si="43">TRIM(IF(AH56&lt;&gt;"",AI56&amp;"|"&amp;AJ56&amp;"|"&amp;AK56,""))</f>
        <v/>
      </c>
      <c r="G56" s="39" t="str">
        <f t="shared" ref="G56:G103" si="44">TRIM(IF(OR(AM56="",AM56=0),"",AN56&amp;"|"&amp;AO56&amp;"|"&amp;AP56))</f>
        <v/>
      </c>
      <c r="H56" s="39">
        <v>0</v>
      </c>
      <c r="L56" s="1">
        <v>300</v>
      </c>
      <c r="M56" s="1">
        <f>SUM($L$5:L56)</f>
        <v>4503</v>
      </c>
      <c r="N56" s="463">
        <f t="shared" si="17"/>
        <v>18.762499999999999</v>
      </c>
      <c r="O56" s="1">
        <v>0.96</v>
      </c>
      <c r="P56" s="1">
        <f t="shared" si="23"/>
        <v>345.59999999999997</v>
      </c>
      <c r="Q56" s="1">
        <f t="shared" si="18"/>
        <v>103680</v>
      </c>
      <c r="T56" s="6" t="s">
        <v>1369</v>
      </c>
      <c r="U56" s="70">
        <f t="shared" si="27"/>
        <v>1</v>
      </c>
      <c r="V56" s="70">
        <f t="shared" si="28"/>
        <v>1</v>
      </c>
      <c r="W56" s="469">
        <v>3</v>
      </c>
      <c r="X56" s="68" t="s">
        <v>1402</v>
      </c>
      <c r="Y56" s="6">
        <f t="shared" si="29"/>
        <v>2</v>
      </c>
      <c r="Z56" s="6">
        <f t="shared" si="30"/>
        <v>1002</v>
      </c>
      <c r="AA56" s="6">
        <v>2</v>
      </c>
      <c r="AB56" s="68" t="s">
        <v>1405</v>
      </c>
      <c r="AC56" s="6">
        <f t="shared" si="31"/>
        <v>2</v>
      </c>
      <c r="AD56" s="6">
        <f t="shared" si="32"/>
        <v>1004</v>
      </c>
      <c r="AE56" s="6">
        <v>2</v>
      </c>
    </row>
    <row r="57" spans="1:43" x14ac:dyDescent="0.35">
      <c r="A57" s="1">
        <v>53</v>
      </c>
      <c r="B57" s="86">
        <f t="shared" si="11"/>
        <v>120960</v>
      </c>
      <c r="C57" s="39" t="str">
        <f t="shared" si="12"/>
        <v>1|1|3</v>
      </c>
      <c r="D57" s="39" t="str">
        <f t="shared" si="24"/>
        <v>2|1001|2</v>
      </c>
      <c r="E57" s="39" t="str">
        <f t="shared" si="25"/>
        <v>2|1004|2</v>
      </c>
      <c r="F57" s="39" t="str">
        <f t="shared" si="43"/>
        <v/>
      </c>
      <c r="G57" s="39" t="str">
        <f t="shared" si="44"/>
        <v/>
      </c>
      <c r="H57" s="39">
        <v>0</v>
      </c>
      <c r="L57" s="1">
        <v>350</v>
      </c>
      <c r="M57" s="1">
        <f>SUM($L$5:L57)</f>
        <v>4853</v>
      </c>
      <c r="N57" s="463">
        <f t="shared" si="17"/>
        <v>20.220833333333335</v>
      </c>
      <c r="O57" s="1">
        <v>0.96</v>
      </c>
      <c r="P57" s="1">
        <f t="shared" si="23"/>
        <v>345.59999999999997</v>
      </c>
      <c r="Q57" s="1">
        <f t="shared" si="18"/>
        <v>120960</v>
      </c>
      <c r="T57" s="6" t="s">
        <v>1369</v>
      </c>
      <c r="U57" s="70">
        <f t="shared" si="27"/>
        <v>1</v>
      </c>
      <c r="V57" s="70">
        <f t="shared" si="28"/>
        <v>1</v>
      </c>
      <c r="W57" s="469">
        <v>3</v>
      </c>
      <c r="X57" s="68" t="s">
        <v>1401</v>
      </c>
      <c r="Y57" s="6">
        <f t="shared" si="29"/>
        <v>2</v>
      </c>
      <c r="Z57" s="6">
        <f t="shared" si="30"/>
        <v>1001</v>
      </c>
      <c r="AA57" s="6">
        <v>2</v>
      </c>
      <c r="AB57" s="68" t="s">
        <v>1405</v>
      </c>
      <c r="AC57" s="6">
        <f t="shared" si="31"/>
        <v>2</v>
      </c>
      <c r="AD57" s="6">
        <f t="shared" si="32"/>
        <v>1004</v>
      </c>
      <c r="AE57" s="6">
        <v>2</v>
      </c>
    </row>
    <row r="58" spans="1:43" x14ac:dyDescent="0.35">
      <c r="A58" s="1">
        <v>54</v>
      </c>
      <c r="B58" s="86">
        <f t="shared" si="11"/>
        <v>138240</v>
      </c>
      <c r="C58" s="39" t="str">
        <f t="shared" si="12"/>
        <v>1|1|3</v>
      </c>
      <c r="D58" s="39" t="str">
        <f t="shared" si="24"/>
        <v>2|1002|2</v>
      </c>
      <c r="E58" s="39" t="str">
        <f t="shared" si="25"/>
        <v>2|1003|1</v>
      </c>
      <c r="F58" s="39" t="str">
        <f t="shared" si="43"/>
        <v/>
      </c>
      <c r="G58" s="39" t="str">
        <f t="shared" si="44"/>
        <v/>
      </c>
      <c r="H58" s="39">
        <v>0</v>
      </c>
      <c r="L58" s="1">
        <v>400</v>
      </c>
      <c r="M58" s="1">
        <f>SUM($L$5:L58)</f>
        <v>5253</v>
      </c>
      <c r="N58" s="463">
        <f t="shared" si="17"/>
        <v>21.887499999999999</v>
      </c>
      <c r="O58" s="1">
        <v>0.96</v>
      </c>
      <c r="P58" s="1">
        <f t="shared" si="23"/>
        <v>345.59999999999997</v>
      </c>
      <c r="Q58" s="1">
        <f t="shared" si="18"/>
        <v>138240</v>
      </c>
      <c r="T58" s="6" t="s">
        <v>1369</v>
      </c>
      <c r="U58" s="70">
        <f t="shared" si="27"/>
        <v>1</v>
      </c>
      <c r="V58" s="70">
        <f t="shared" si="28"/>
        <v>1</v>
      </c>
      <c r="W58" s="469">
        <v>3</v>
      </c>
      <c r="X58" s="68" t="s">
        <v>1402</v>
      </c>
      <c r="Y58" s="6">
        <f t="shared" si="29"/>
        <v>2</v>
      </c>
      <c r="Z58" s="6">
        <f t="shared" si="30"/>
        <v>1002</v>
      </c>
      <c r="AA58" s="6">
        <v>2</v>
      </c>
      <c r="AB58" s="68" t="s">
        <v>1406</v>
      </c>
      <c r="AC58" s="6">
        <f t="shared" si="31"/>
        <v>2</v>
      </c>
      <c r="AD58" s="6">
        <f t="shared" si="32"/>
        <v>1003</v>
      </c>
      <c r="AE58" s="6">
        <v>1</v>
      </c>
    </row>
    <row r="59" spans="1:43" x14ac:dyDescent="0.35">
      <c r="A59" s="1">
        <v>55</v>
      </c>
      <c r="B59" s="86">
        <f t="shared" si="11"/>
        <v>155520</v>
      </c>
      <c r="C59" s="39" t="str">
        <f t="shared" si="12"/>
        <v>1|1|3</v>
      </c>
      <c r="D59" s="39" t="str">
        <f t="shared" si="24"/>
        <v>2|1001|2</v>
      </c>
      <c r="E59" s="39" t="str">
        <f t="shared" si="25"/>
        <v>2|1002|2</v>
      </c>
      <c r="F59" s="39" t="str">
        <f t="shared" si="43"/>
        <v/>
      </c>
      <c r="G59" s="39" t="str">
        <f t="shared" si="44"/>
        <v/>
      </c>
      <c r="H59" s="39">
        <v>0</v>
      </c>
      <c r="L59" s="1">
        <v>450</v>
      </c>
      <c r="M59" s="1">
        <f>SUM($L$5:L59)</f>
        <v>5703</v>
      </c>
      <c r="N59" s="463">
        <f t="shared" si="17"/>
        <v>23.762499999999999</v>
      </c>
      <c r="O59" s="1">
        <v>0.96</v>
      </c>
      <c r="P59" s="1">
        <f t="shared" si="23"/>
        <v>345.59999999999997</v>
      </c>
      <c r="Q59" s="1">
        <f t="shared" si="18"/>
        <v>155520</v>
      </c>
      <c r="T59" s="6" t="s">
        <v>1369</v>
      </c>
      <c r="U59" s="70">
        <f t="shared" si="27"/>
        <v>1</v>
      </c>
      <c r="V59" s="70">
        <f t="shared" si="28"/>
        <v>1</v>
      </c>
      <c r="W59" s="469">
        <v>3</v>
      </c>
      <c r="X59" s="68" t="s">
        <v>1401</v>
      </c>
      <c r="Y59" s="6">
        <f t="shared" si="29"/>
        <v>2</v>
      </c>
      <c r="Z59" s="6">
        <f t="shared" si="30"/>
        <v>1001</v>
      </c>
      <c r="AA59" s="6">
        <v>2</v>
      </c>
      <c r="AB59" s="68" t="s">
        <v>1402</v>
      </c>
      <c r="AC59" s="6">
        <f t="shared" si="31"/>
        <v>2</v>
      </c>
      <c r="AD59" s="6">
        <f t="shared" si="32"/>
        <v>1002</v>
      </c>
      <c r="AE59" s="6">
        <v>2</v>
      </c>
    </row>
    <row r="60" spans="1:43" x14ac:dyDescent="0.35">
      <c r="A60" s="1">
        <v>56</v>
      </c>
      <c r="B60" s="86">
        <f t="shared" si="11"/>
        <v>172800</v>
      </c>
      <c r="C60" s="39" t="str">
        <f t="shared" si="12"/>
        <v>1|1|3</v>
      </c>
      <c r="D60" s="39" t="str">
        <f t="shared" si="24"/>
        <v>2|1002|2</v>
      </c>
      <c r="E60" s="39" t="str">
        <f t="shared" si="25"/>
        <v>2|1004|2</v>
      </c>
      <c r="F60" s="39" t="str">
        <f t="shared" si="43"/>
        <v/>
      </c>
      <c r="G60" s="39" t="str">
        <f t="shared" si="44"/>
        <v/>
      </c>
      <c r="H60" s="39">
        <v>0</v>
      </c>
      <c r="L60" s="1">
        <v>500</v>
      </c>
      <c r="M60" s="1">
        <f>SUM($L$5:L60)</f>
        <v>6203</v>
      </c>
      <c r="N60" s="463">
        <f t="shared" si="17"/>
        <v>25.845833333333335</v>
      </c>
      <c r="O60" s="1">
        <v>0.96</v>
      </c>
      <c r="P60" s="1">
        <f t="shared" si="23"/>
        <v>345.59999999999997</v>
      </c>
      <c r="Q60" s="1">
        <f t="shared" si="18"/>
        <v>172800</v>
      </c>
      <c r="T60" s="6" t="s">
        <v>1369</v>
      </c>
      <c r="U60" s="70">
        <f t="shared" si="27"/>
        <v>1</v>
      </c>
      <c r="V60" s="70">
        <f t="shared" si="28"/>
        <v>1</v>
      </c>
      <c r="W60" s="469">
        <v>3</v>
      </c>
      <c r="X60" s="68" t="s">
        <v>1402</v>
      </c>
      <c r="Y60" s="6">
        <f t="shared" si="29"/>
        <v>2</v>
      </c>
      <c r="Z60" s="6">
        <f t="shared" si="30"/>
        <v>1002</v>
      </c>
      <c r="AA60" s="6">
        <v>2</v>
      </c>
      <c r="AB60" s="68" t="s">
        <v>1405</v>
      </c>
      <c r="AC60" s="6">
        <f t="shared" si="31"/>
        <v>2</v>
      </c>
      <c r="AD60" s="6">
        <f t="shared" si="32"/>
        <v>1004</v>
      </c>
      <c r="AE60" s="6">
        <v>2</v>
      </c>
    </row>
    <row r="61" spans="1:43" x14ac:dyDescent="0.35">
      <c r="A61" s="1">
        <v>57</v>
      </c>
      <c r="B61" s="86">
        <f t="shared" si="11"/>
        <v>183170</v>
      </c>
      <c r="C61" s="39" t="str">
        <f t="shared" si="12"/>
        <v>1|1|3</v>
      </c>
      <c r="D61" s="39" t="str">
        <f t="shared" si="24"/>
        <v>2|1001|2</v>
      </c>
      <c r="E61" s="39" t="str">
        <f t="shared" si="25"/>
        <v>2|1004|2</v>
      </c>
      <c r="F61" s="39" t="str">
        <f t="shared" si="43"/>
        <v/>
      </c>
      <c r="G61" s="39" t="str">
        <f t="shared" si="44"/>
        <v/>
      </c>
      <c r="H61" s="39">
        <v>0</v>
      </c>
      <c r="L61" s="1">
        <v>530</v>
      </c>
      <c r="M61" s="1">
        <f>SUM($L$5:L61)</f>
        <v>6733</v>
      </c>
      <c r="N61" s="463">
        <f t="shared" si="17"/>
        <v>28.054166666666667</v>
      </c>
      <c r="O61" s="1">
        <v>0.96</v>
      </c>
      <c r="P61" s="1">
        <f t="shared" si="23"/>
        <v>345.59999999999997</v>
      </c>
      <c r="Q61" s="1">
        <f t="shared" si="18"/>
        <v>183170</v>
      </c>
      <c r="T61" s="6" t="s">
        <v>1369</v>
      </c>
      <c r="U61" s="70">
        <f t="shared" si="27"/>
        <v>1</v>
      </c>
      <c r="V61" s="70">
        <f t="shared" si="28"/>
        <v>1</v>
      </c>
      <c r="W61" s="469">
        <v>3</v>
      </c>
      <c r="X61" s="68" t="s">
        <v>1401</v>
      </c>
      <c r="Y61" s="6">
        <f t="shared" si="29"/>
        <v>2</v>
      </c>
      <c r="Z61" s="6">
        <f t="shared" si="30"/>
        <v>1001</v>
      </c>
      <c r="AA61" s="6">
        <v>2</v>
      </c>
      <c r="AB61" s="68" t="s">
        <v>1405</v>
      </c>
      <c r="AC61" s="6">
        <f t="shared" si="31"/>
        <v>2</v>
      </c>
      <c r="AD61" s="6">
        <f t="shared" si="32"/>
        <v>1004</v>
      </c>
      <c r="AE61" s="6">
        <v>2</v>
      </c>
    </row>
    <row r="62" spans="1:43" x14ac:dyDescent="0.35">
      <c r="A62" s="1">
        <v>58</v>
      </c>
      <c r="B62" s="86">
        <f t="shared" si="11"/>
        <v>193540</v>
      </c>
      <c r="C62" s="39" t="str">
        <f t="shared" si="12"/>
        <v>1|1|3</v>
      </c>
      <c r="D62" s="39" t="str">
        <f t="shared" si="24"/>
        <v>2|1002|2</v>
      </c>
      <c r="E62" s="39" t="str">
        <f t="shared" si="25"/>
        <v>2|1004|2</v>
      </c>
      <c r="F62" s="39" t="str">
        <f t="shared" si="43"/>
        <v/>
      </c>
      <c r="G62" s="39" t="str">
        <f t="shared" si="44"/>
        <v/>
      </c>
      <c r="H62" s="39">
        <v>0</v>
      </c>
      <c r="L62" s="1">
        <v>560</v>
      </c>
      <c r="M62" s="1">
        <f>SUM($L$5:L62)</f>
        <v>7293</v>
      </c>
      <c r="N62" s="463">
        <f t="shared" si="17"/>
        <v>30.387499999999999</v>
      </c>
      <c r="O62" s="1">
        <v>0.96</v>
      </c>
      <c r="P62" s="1">
        <f t="shared" si="23"/>
        <v>345.59999999999997</v>
      </c>
      <c r="Q62" s="1">
        <f t="shared" si="18"/>
        <v>193540</v>
      </c>
      <c r="T62" s="6" t="s">
        <v>1369</v>
      </c>
      <c r="U62" s="70">
        <f t="shared" si="27"/>
        <v>1</v>
      </c>
      <c r="V62" s="70">
        <f t="shared" si="28"/>
        <v>1</v>
      </c>
      <c r="W62" s="469">
        <v>3</v>
      </c>
      <c r="X62" s="68" t="s">
        <v>1402</v>
      </c>
      <c r="Y62" s="6">
        <f t="shared" si="29"/>
        <v>2</v>
      </c>
      <c r="Z62" s="6">
        <f t="shared" si="30"/>
        <v>1002</v>
      </c>
      <c r="AA62" s="6">
        <v>2</v>
      </c>
      <c r="AB62" s="68" t="s">
        <v>1405</v>
      </c>
      <c r="AC62" s="6">
        <f t="shared" si="31"/>
        <v>2</v>
      </c>
      <c r="AD62" s="6">
        <f t="shared" si="32"/>
        <v>1004</v>
      </c>
      <c r="AE62" s="6">
        <v>2</v>
      </c>
    </row>
    <row r="63" spans="1:43" x14ac:dyDescent="0.35">
      <c r="A63" s="1">
        <v>59</v>
      </c>
      <c r="B63" s="86">
        <f t="shared" si="11"/>
        <v>203900</v>
      </c>
      <c r="C63" s="39" t="str">
        <f t="shared" si="12"/>
        <v>1|1|3</v>
      </c>
      <c r="D63" s="39" t="str">
        <f t="shared" si="24"/>
        <v>2|1001|2</v>
      </c>
      <c r="E63" s="39" t="str">
        <f t="shared" si="25"/>
        <v>2|1003|1</v>
      </c>
      <c r="F63" s="39" t="str">
        <f t="shared" si="43"/>
        <v/>
      </c>
      <c r="G63" s="39" t="str">
        <f t="shared" si="44"/>
        <v/>
      </c>
      <c r="H63" s="39">
        <v>0</v>
      </c>
      <c r="L63" s="1">
        <v>590</v>
      </c>
      <c r="M63" s="464">
        <f>SUM($L$5:L63)</f>
        <v>7883</v>
      </c>
      <c r="N63" s="463">
        <f t="shared" si="17"/>
        <v>32.845833333333331</v>
      </c>
      <c r="O63" s="1">
        <v>0.96</v>
      </c>
      <c r="P63" s="1">
        <f t="shared" si="23"/>
        <v>345.59999999999997</v>
      </c>
      <c r="Q63" s="1">
        <f t="shared" si="18"/>
        <v>203900</v>
      </c>
      <c r="T63" s="6" t="s">
        <v>1369</v>
      </c>
      <c r="U63" s="70">
        <f t="shared" si="27"/>
        <v>1</v>
      </c>
      <c r="V63" s="70">
        <f t="shared" si="28"/>
        <v>1</v>
      </c>
      <c r="W63" s="469">
        <v>3</v>
      </c>
      <c r="X63" s="68" t="s">
        <v>1401</v>
      </c>
      <c r="Y63" s="6">
        <f t="shared" si="29"/>
        <v>2</v>
      </c>
      <c r="Z63" s="6">
        <f t="shared" si="30"/>
        <v>1001</v>
      </c>
      <c r="AA63" s="6">
        <v>2</v>
      </c>
      <c r="AB63" s="68" t="s">
        <v>1406</v>
      </c>
      <c r="AC63" s="6">
        <f t="shared" si="31"/>
        <v>2</v>
      </c>
      <c r="AD63" s="6">
        <f t="shared" si="32"/>
        <v>1003</v>
      </c>
      <c r="AE63" s="6">
        <v>1</v>
      </c>
    </row>
    <row r="64" spans="1:43" x14ac:dyDescent="0.35">
      <c r="A64" s="1">
        <v>60</v>
      </c>
      <c r="B64" s="86">
        <f t="shared" si="11"/>
        <v>207360</v>
      </c>
      <c r="C64" s="39" t="str">
        <f t="shared" si="12"/>
        <v>1|1|4</v>
      </c>
      <c r="D64" s="39" t="str">
        <f t="shared" si="24"/>
        <v>2|1002|2</v>
      </c>
      <c r="E64" s="39" t="str">
        <f t="shared" si="25"/>
        <v>2|1004|2</v>
      </c>
      <c r="F64" s="39" t="str">
        <f t="shared" si="43"/>
        <v/>
      </c>
      <c r="G64" s="39" t="str">
        <f t="shared" si="44"/>
        <v/>
      </c>
      <c r="H64" s="39">
        <v>0</v>
      </c>
      <c r="L64" s="1">
        <v>600</v>
      </c>
      <c r="M64" s="1">
        <f>SUM($L$5:L64)</f>
        <v>8483</v>
      </c>
      <c r="N64" s="463">
        <f t="shared" si="17"/>
        <v>35.345833333333331</v>
      </c>
      <c r="O64" s="1">
        <v>0.96</v>
      </c>
      <c r="P64" s="1">
        <f t="shared" si="23"/>
        <v>345.59999999999997</v>
      </c>
      <c r="Q64" s="1">
        <f t="shared" si="18"/>
        <v>207360</v>
      </c>
      <c r="T64" s="6" t="s">
        <v>1369</v>
      </c>
      <c r="U64" s="70">
        <f t="shared" si="27"/>
        <v>1</v>
      </c>
      <c r="V64" s="70">
        <f t="shared" si="28"/>
        <v>1</v>
      </c>
      <c r="W64" s="469">
        <v>4</v>
      </c>
      <c r="X64" s="68" t="s">
        <v>1402</v>
      </c>
      <c r="Y64" s="6">
        <f t="shared" si="29"/>
        <v>2</v>
      </c>
      <c r="Z64" s="6">
        <f t="shared" si="30"/>
        <v>1002</v>
      </c>
      <c r="AA64" s="6">
        <v>2</v>
      </c>
      <c r="AB64" s="68" t="s">
        <v>1405</v>
      </c>
      <c r="AC64" s="6">
        <f t="shared" si="31"/>
        <v>2</v>
      </c>
      <c r="AD64" s="6">
        <f t="shared" si="32"/>
        <v>1004</v>
      </c>
      <c r="AE64" s="6">
        <v>2</v>
      </c>
    </row>
    <row r="65" spans="1:31" x14ac:dyDescent="0.35">
      <c r="A65" s="1">
        <v>61</v>
      </c>
      <c r="B65" s="86">
        <f t="shared" si="11"/>
        <v>209090</v>
      </c>
      <c r="C65" s="39" t="str">
        <f t="shared" si="12"/>
        <v>1|1|4</v>
      </c>
      <c r="D65" s="39" t="str">
        <f t="shared" si="24"/>
        <v>2|1001|2</v>
      </c>
      <c r="E65" s="39" t="str">
        <f t="shared" si="25"/>
        <v>2|1002|2</v>
      </c>
      <c r="F65" s="39" t="str">
        <f t="shared" si="43"/>
        <v/>
      </c>
      <c r="G65" s="39" t="str">
        <f t="shared" si="44"/>
        <v/>
      </c>
      <c r="H65" s="39">
        <v>0</v>
      </c>
      <c r="L65" s="1">
        <v>605</v>
      </c>
      <c r="M65" s="1">
        <f>SUM($L$5:L65)</f>
        <v>9088</v>
      </c>
      <c r="N65" s="463">
        <f t="shared" si="17"/>
        <v>37.866666666666667</v>
      </c>
      <c r="O65" s="1">
        <v>0.96</v>
      </c>
      <c r="P65" s="1">
        <f t="shared" si="23"/>
        <v>345.59999999999997</v>
      </c>
      <c r="Q65" s="1">
        <f t="shared" si="18"/>
        <v>209090</v>
      </c>
      <c r="T65" s="6" t="s">
        <v>1369</v>
      </c>
      <c r="U65" s="70">
        <f t="shared" si="27"/>
        <v>1</v>
      </c>
      <c r="V65" s="70">
        <f t="shared" si="28"/>
        <v>1</v>
      </c>
      <c r="W65" s="469">
        <v>4</v>
      </c>
      <c r="X65" s="68" t="s">
        <v>1401</v>
      </c>
      <c r="Y65" s="6">
        <f t="shared" si="29"/>
        <v>2</v>
      </c>
      <c r="Z65" s="6">
        <f t="shared" si="30"/>
        <v>1001</v>
      </c>
      <c r="AA65" s="6">
        <v>2</v>
      </c>
      <c r="AB65" s="68" t="s">
        <v>1402</v>
      </c>
      <c r="AC65" s="6">
        <f t="shared" si="31"/>
        <v>2</v>
      </c>
      <c r="AD65" s="6">
        <f t="shared" si="32"/>
        <v>1002</v>
      </c>
      <c r="AE65" s="6">
        <v>2</v>
      </c>
    </row>
    <row r="66" spans="1:31" x14ac:dyDescent="0.35">
      <c r="A66" s="1">
        <v>62</v>
      </c>
      <c r="B66" s="86">
        <f t="shared" si="11"/>
        <v>210820</v>
      </c>
      <c r="C66" s="39" t="str">
        <f t="shared" si="12"/>
        <v>1|1|4</v>
      </c>
      <c r="D66" s="39" t="str">
        <f t="shared" si="24"/>
        <v>2|1002|2</v>
      </c>
      <c r="E66" s="39" t="str">
        <f t="shared" si="25"/>
        <v>2|1004|2</v>
      </c>
      <c r="F66" s="39" t="str">
        <f t="shared" si="43"/>
        <v/>
      </c>
      <c r="G66" s="39" t="str">
        <f t="shared" si="44"/>
        <v/>
      </c>
      <c r="H66" s="39">
        <v>0</v>
      </c>
      <c r="L66" s="1">
        <v>610</v>
      </c>
      <c r="M66" s="1">
        <f>SUM($L$5:L66)</f>
        <v>9698</v>
      </c>
      <c r="N66" s="463">
        <f t="shared" si="17"/>
        <v>40.408333333333331</v>
      </c>
      <c r="O66" s="1">
        <v>0.96</v>
      </c>
      <c r="P66" s="1">
        <f t="shared" si="23"/>
        <v>345.59999999999997</v>
      </c>
      <c r="Q66" s="1">
        <f t="shared" si="18"/>
        <v>210820</v>
      </c>
      <c r="T66" s="6" t="s">
        <v>1369</v>
      </c>
      <c r="U66" s="70">
        <f t="shared" si="27"/>
        <v>1</v>
      </c>
      <c r="V66" s="70">
        <f t="shared" si="28"/>
        <v>1</v>
      </c>
      <c r="W66" s="469">
        <v>4</v>
      </c>
      <c r="X66" s="68" t="s">
        <v>1402</v>
      </c>
      <c r="Y66" s="6">
        <f t="shared" si="29"/>
        <v>2</v>
      </c>
      <c r="Z66" s="6">
        <f t="shared" si="30"/>
        <v>1002</v>
      </c>
      <c r="AA66" s="6">
        <v>2</v>
      </c>
      <c r="AB66" s="68" t="s">
        <v>1405</v>
      </c>
      <c r="AC66" s="6">
        <f t="shared" si="31"/>
        <v>2</v>
      </c>
      <c r="AD66" s="6">
        <f t="shared" si="32"/>
        <v>1004</v>
      </c>
      <c r="AE66" s="6">
        <v>2</v>
      </c>
    </row>
    <row r="67" spans="1:31" x14ac:dyDescent="0.35">
      <c r="A67" s="1">
        <v>63</v>
      </c>
      <c r="B67" s="86">
        <f t="shared" si="11"/>
        <v>212540</v>
      </c>
      <c r="C67" s="39" t="str">
        <f t="shared" si="12"/>
        <v>1|1|4</v>
      </c>
      <c r="D67" s="39" t="str">
        <f t="shared" si="24"/>
        <v>2|1001|2</v>
      </c>
      <c r="E67" s="39" t="str">
        <f t="shared" si="25"/>
        <v>2|1004|2</v>
      </c>
      <c r="F67" s="39" t="str">
        <f t="shared" si="43"/>
        <v/>
      </c>
      <c r="G67" s="39" t="str">
        <f t="shared" si="44"/>
        <v/>
      </c>
      <c r="H67" s="39">
        <v>0</v>
      </c>
      <c r="L67" s="1">
        <v>615</v>
      </c>
      <c r="M67" s="1">
        <f>SUM($L$5:L67)</f>
        <v>10313</v>
      </c>
      <c r="N67" s="463">
        <f t="shared" si="17"/>
        <v>42.970833333333331</v>
      </c>
      <c r="O67" s="1">
        <v>0.96</v>
      </c>
      <c r="P67" s="1">
        <f t="shared" si="23"/>
        <v>345.59999999999997</v>
      </c>
      <c r="Q67" s="1">
        <f t="shared" si="18"/>
        <v>212540</v>
      </c>
      <c r="T67" s="6" t="s">
        <v>1369</v>
      </c>
      <c r="U67" s="70">
        <f t="shared" si="27"/>
        <v>1</v>
      </c>
      <c r="V67" s="70">
        <f t="shared" si="28"/>
        <v>1</v>
      </c>
      <c r="W67" s="469">
        <v>4</v>
      </c>
      <c r="X67" s="68" t="s">
        <v>1401</v>
      </c>
      <c r="Y67" s="6">
        <f t="shared" si="29"/>
        <v>2</v>
      </c>
      <c r="Z67" s="6">
        <f t="shared" si="30"/>
        <v>1001</v>
      </c>
      <c r="AA67" s="6">
        <v>2</v>
      </c>
      <c r="AB67" s="68" t="s">
        <v>1405</v>
      </c>
      <c r="AC67" s="6">
        <f t="shared" si="31"/>
        <v>2</v>
      </c>
      <c r="AD67" s="6">
        <f t="shared" si="32"/>
        <v>1004</v>
      </c>
      <c r="AE67" s="6">
        <v>2</v>
      </c>
    </row>
    <row r="68" spans="1:31" x14ac:dyDescent="0.35">
      <c r="A68" s="1">
        <v>64</v>
      </c>
      <c r="B68" s="86">
        <f t="shared" si="11"/>
        <v>214270</v>
      </c>
      <c r="C68" s="39" t="str">
        <f t="shared" si="12"/>
        <v>1|1|4</v>
      </c>
      <c r="D68" s="39" t="str">
        <f t="shared" si="24"/>
        <v>2|1002|2</v>
      </c>
      <c r="E68" s="39" t="str">
        <f t="shared" si="25"/>
        <v>2|1003|1</v>
      </c>
      <c r="F68" s="39" t="str">
        <f t="shared" si="43"/>
        <v/>
      </c>
      <c r="G68" s="39" t="str">
        <f t="shared" si="44"/>
        <v/>
      </c>
      <c r="H68" s="39">
        <v>0</v>
      </c>
      <c r="L68" s="1">
        <v>620</v>
      </c>
      <c r="M68" s="1">
        <f>SUM($L$5:L68)</f>
        <v>10933</v>
      </c>
      <c r="N68" s="463">
        <f t="shared" si="17"/>
        <v>45.554166666666667</v>
      </c>
      <c r="O68" s="1">
        <v>0.96</v>
      </c>
      <c r="P68" s="1">
        <f t="shared" si="23"/>
        <v>345.59999999999997</v>
      </c>
      <c r="Q68" s="1">
        <f t="shared" si="18"/>
        <v>214270</v>
      </c>
      <c r="T68" s="6" t="s">
        <v>1369</v>
      </c>
      <c r="U68" s="70">
        <f t="shared" si="27"/>
        <v>1</v>
      </c>
      <c r="V68" s="70">
        <f t="shared" si="28"/>
        <v>1</v>
      </c>
      <c r="W68" s="469">
        <v>4</v>
      </c>
      <c r="X68" s="68" t="s">
        <v>1402</v>
      </c>
      <c r="Y68" s="6">
        <f t="shared" si="29"/>
        <v>2</v>
      </c>
      <c r="Z68" s="6">
        <f t="shared" si="30"/>
        <v>1002</v>
      </c>
      <c r="AA68" s="6">
        <v>2</v>
      </c>
      <c r="AB68" s="68" t="s">
        <v>1406</v>
      </c>
      <c r="AC68" s="6">
        <f t="shared" si="31"/>
        <v>2</v>
      </c>
      <c r="AD68" s="6">
        <f t="shared" si="32"/>
        <v>1003</v>
      </c>
      <c r="AE68" s="6">
        <v>1</v>
      </c>
    </row>
    <row r="69" spans="1:31" x14ac:dyDescent="0.35">
      <c r="A69" s="1">
        <v>65</v>
      </c>
      <c r="B69" s="86">
        <f t="shared" si="11"/>
        <v>216000</v>
      </c>
      <c r="C69" s="39" t="str">
        <f t="shared" si="12"/>
        <v>1|1|4</v>
      </c>
      <c r="D69" s="39" t="str">
        <f t="shared" si="24"/>
        <v>2|1001|2</v>
      </c>
      <c r="E69" s="39" t="str">
        <f t="shared" si="25"/>
        <v>2|1002|2</v>
      </c>
      <c r="F69" s="39" t="str">
        <f t="shared" si="43"/>
        <v/>
      </c>
      <c r="G69" s="39" t="str">
        <f t="shared" si="44"/>
        <v/>
      </c>
      <c r="H69" s="39">
        <v>0</v>
      </c>
      <c r="L69" s="1">
        <v>625</v>
      </c>
      <c r="M69" s="1">
        <f>SUM($L$5:L69)</f>
        <v>11558</v>
      </c>
      <c r="N69" s="463">
        <f t="shared" si="17"/>
        <v>48.158333333333331</v>
      </c>
      <c r="O69" s="1">
        <v>0.96</v>
      </c>
      <c r="P69" s="1">
        <f t="shared" ref="P69:P100" si="45">$M$3*O69*60</f>
        <v>345.59999999999997</v>
      </c>
      <c r="Q69" s="1">
        <f t="shared" si="18"/>
        <v>216000</v>
      </c>
      <c r="T69" s="6" t="s">
        <v>1369</v>
      </c>
      <c r="U69" s="70">
        <f t="shared" si="27"/>
        <v>1</v>
      </c>
      <c r="V69" s="70">
        <f t="shared" si="28"/>
        <v>1</v>
      </c>
      <c r="W69" s="469">
        <v>4</v>
      </c>
      <c r="X69" s="68" t="s">
        <v>1401</v>
      </c>
      <c r="Y69" s="6">
        <f t="shared" si="29"/>
        <v>2</v>
      </c>
      <c r="Z69" s="6">
        <f t="shared" si="30"/>
        <v>1001</v>
      </c>
      <c r="AA69" s="6">
        <v>2</v>
      </c>
      <c r="AB69" s="68" t="s">
        <v>1402</v>
      </c>
      <c r="AC69" s="6">
        <f t="shared" si="31"/>
        <v>2</v>
      </c>
      <c r="AD69" s="6">
        <f t="shared" si="32"/>
        <v>1002</v>
      </c>
      <c r="AE69" s="6">
        <v>2</v>
      </c>
    </row>
    <row r="70" spans="1:31" x14ac:dyDescent="0.35">
      <c r="A70" s="1">
        <v>66</v>
      </c>
      <c r="B70" s="86">
        <f t="shared" ref="B70:B103" si="46">Q70</f>
        <v>217730</v>
      </c>
      <c r="C70" s="39" t="str">
        <f t="shared" ref="C70:C103" si="47">U70&amp;"|"&amp;V70&amp;"|"&amp;W70</f>
        <v>1|1|4</v>
      </c>
      <c r="D70" s="39" t="str">
        <f t="shared" si="24"/>
        <v>2|1002|2</v>
      </c>
      <c r="E70" s="39" t="str">
        <f t="shared" si="25"/>
        <v>2|1004|2</v>
      </c>
      <c r="F70" s="39" t="str">
        <f t="shared" si="43"/>
        <v/>
      </c>
      <c r="G70" s="39" t="str">
        <f t="shared" si="44"/>
        <v/>
      </c>
      <c r="H70" s="39">
        <v>0</v>
      </c>
      <c r="L70" s="1">
        <v>630</v>
      </c>
      <c r="M70" s="1">
        <f>SUM($L$5:L70)</f>
        <v>12188</v>
      </c>
      <c r="N70" s="463">
        <f t="shared" ref="N70:N103" si="48">M70/60/4</f>
        <v>50.783333333333331</v>
      </c>
      <c r="O70" s="1">
        <v>0.96</v>
      </c>
      <c r="P70" s="1">
        <f t="shared" si="45"/>
        <v>345.59999999999997</v>
      </c>
      <c r="Q70" s="1">
        <f t="shared" ref="Q70:Q103" si="49">ROUND(L70*P70/10,0)*10</f>
        <v>217730</v>
      </c>
      <c r="T70" s="6" t="s">
        <v>1369</v>
      </c>
      <c r="U70" s="70">
        <f t="shared" si="27"/>
        <v>1</v>
      </c>
      <c r="V70" s="70">
        <f t="shared" si="28"/>
        <v>1</v>
      </c>
      <c r="W70" s="469">
        <v>4</v>
      </c>
      <c r="X70" s="68" t="s">
        <v>1402</v>
      </c>
      <c r="Y70" s="6">
        <f t="shared" si="29"/>
        <v>2</v>
      </c>
      <c r="Z70" s="6">
        <f t="shared" si="30"/>
        <v>1002</v>
      </c>
      <c r="AA70" s="6">
        <v>2</v>
      </c>
      <c r="AB70" s="68" t="s">
        <v>1405</v>
      </c>
      <c r="AC70" s="6">
        <f t="shared" si="31"/>
        <v>2</v>
      </c>
      <c r="AD70" s="6">
        <f t="shared" si="32"/>
        <v>1004</v>
      </c>
      <c r="AE70" s="6">
        <v>2</v>
      </c>
    </row>
    <row r="71" spans="1:31" x14ac:dyDescent="0.35">
      <c r="A71" s="1">
        <v>67</v>
      </c>
      <c r="B71" s="86">
        <f t="shared" si="46"/>
        <v>219460</v>
      </c>
      <c r="C71" s="39" t="str">
        <f t="shared" si="47"/>
        <v>1|1|4</v>
      </c>
      <c r="D71" s="39" t="str">
        <f t="shared" si="24"/>
        <v>2|1001|2</v>
      </c>
      <c r="E71" s="39" t="str">
        <f t="shared" si="25"/>
        <v>2|1004|2</v>
      </c>
      <c r="F71" s="39" t="str">
        <f t="shared" si="43"/>
        <v/>
      </c>
      <c r="G71" s="39" t="str">
        <f t="shared" si="44"/>
        <v/>
      </c>
      <c r="H71" s="39">
        <v>0</v>
      </c>
      <c r="L71" s="1">
        <v>635</v>
      </c>
      <c r="M71" s="1">
        <f>SUM($L$5:L71)</f>
        <v>12823</v>
      </c>
      <c r="N71" s="463">
        <f t="shared" si="48"/>
        <v>53.429166666666667</v>
      </c>
      <c r="O71" s="1">
        <v>0.96</v>
      </c>
      <c r="P71" s="1">
        <f t="shared" si="45"/>
        <v>345.59999999999997</v>
      </c>
      <c r="Q71" s="1">
        <f t="shared" si="49"/>
        <v>219460</v>
      </c>
      <c r="T71" s="6" t="s">
        <v>1369</v>
      </c>
      <c r="U71" s="70">
        <f t="shared" si="27"/>
        <v>1</v>
      </c>
      <c r="V71" s="70">
        <f t="shared" si="28"/>
        <v>1</v>
      </c>
      <c r="W71" s="469">
        <v>4</v>
      </c>
      <c r="X71" s="68" t="s">
        <v>1401</v>
      </c>
      <c r="Y71" s="6">
        <f t="shared" si="29"/>
        <v>2</v>
      </c>
      <c r="Z71" s="6">
        <f t="shared" si="30"/>
        <v>1001</v>
      </c>
      <c r="AA71" s="6">
        <v>2</v>
      </c>
      <c r="AB71" s="68" t="s">
        <v>1405</v>
      </c>
      <c r="AC71" s="6">
        <f t="shared" si="31"/>
        <v>2</v>
      </c>
      <c r="AD71" s="6">
        <f t="shared" si="32"/>
        <v>1004</v>
      </c>
      <c r="AE71" s="6">
        <v>2</v>
      </c>
    </row>
    <row r="72" spans="1:31" x14ac:dyDescent="0.35">
      <c r="A72" s="1">
        <v>68</v>
      </c>
      <c r="B72" s="86">
        <f t="shared" si="46"/>
        <v>221180</v>
      </c>
      <c r="C72" s="39" t="str">
        <f t="shared" si="47"/>
        <v>1|1|4</v>
      </c>
      <c r="D72" s="39" t="str">
        <f t="shared" si="24"/>
        <v>2|1002|2</v>
      </c>
      <c r="E72" s="39" t="str">
        <f t="shared" si="25"/>
        <v>2|1004|2</v>
      </c>
      <c r="F72" s="39" t="str">
        <f t="shared" si="43"/>
        <v/>
      </c>
      <c r="G72" s="39" t="str">
        <f t="shared" si="44"/>
        <v/>
      </c>
      <c r="H72" s="39">
        <v>0</v>
      </c>
      <c r="L72" s="1">
        <v>640</v>
      </c>
      <c r="M72" s="1">
        <f>SUM($L$5:L72)</f>
        <v>13463</v>
      </c>
      <c r="N72" s="463">
        <f t="shared" si="48"/>
        <v>56.095833333333331</v>
      </c>
      <c r="O72" s="1">
        <v>0.96</v>
      </c>
      <c r="P72" s="1">
        <f t="shared" si="45"/>
        <v>345.59999999999997</v>
      </c>
      <c r="Q72" s="1">
        <f t="shared" si="49"/>
        <v>221180</v>
      </c>
      <c r="T72" s="6" t="s">
        <v>1369</v>
      </c>
      <c r="U72" s="70">
        <f t="shared" si="27"/>
        <v>1</v>
      </c>
      <c r="V72" s="70">
        <f t="shared" si="28"/>
        <v>1</v>
      </c>
      <c r="W72" s="469">
        <v>4</v>
      </c>
      <c r="X72" s="68" t="s">
        <v>1402</v>
      </c>
      <c r="Y72" s="6">
        <f t="shared" si="29"/>
        <v>2</v>
      </c>
      <c r="Z72" s="6">
        <f t="shared" si="30"/>
        <v>1002</v>
      </c>
      <c r="AA72" s="6">
        <v>2</v>
      </c>
      <c r="AB72" s="68" t="s">
        <v>1405</v>
      </c>
      <c r="AC72" s="6">
        <f t="shared" si="31"/>
        <v>2</v>
      </c>
      <c r="AD72" s="6">
        <f t="shared" si="32"/>
        <v>1004</v>
      </c>
      <c r="AE72" s="6">
        <v>2</v>
      </c>
    </row>
    <row r="73" spans="1:31" x14ac:dyDescent="0.35">
      <c r="A73" s="1">
        <v>69</v>
      </c>
      <c r="B73" s="86">
        <f t="shared" si="46"/>
        <v>222910</v>
      </c>
      <c r="C73" s="39" t="str">
        <f t="shared" si="47"/>
        <v>1|1|4</v>
      </c>
      <c r="D73" s="39" t="str">
        <f t="shared" si="24"/>
        <v>2|1001|2</v>
      </c>
      <c r="E73" s="39" t="str">
        <f t="shared" si="25"/>
        <v>2|1003|1</v>
      </c>
      <c r="F73" s="39" t="str">
        <f t="shared" si="43"/>
        <v/>
      </c>
      <c r="G73" s="39" t="str">
        <f t="shared" si="44"/>
        <v/>
      </c>
      <c r="H73" s="39">
        <v>0</v>
      </c>
      <c r="L73" s="1">
        <v>645</v>
      </c>
      <c r="M73" s="464">
        <f>SUM($L$5:L73)</f>
        <v>14108</v>
      </c>
      <c r="N73" s="463">
        <f t="shared" si="48"/>
        <v>58.783333333333331</v>
      </c>
      <c r="O73" s="1">
        <v>0.96</v>
      </c>
      <c r="P73" s="1">
        <f t="shared" si="45"/>
        <v>345.59999999999997</v>
      </c>
      <c r="Q73" s="1">
        <f t="shared" si="49"/>
        <v>222910</v>
      </c>
      <c r="T73" s="6" t="s">
        <v>1369</v>
      </c>
      <c r="U73" s="70">
        <f t="shared" si="27"/>
        <v>1</v>
      </c>
      <c r="V73" s="70">
        <f t="shared" si="28"/>
        <v>1</v>
      </c>
      <c r="W73" s="469">
        <v>4</v>
      </c>
      <c r="X73" s="68" t="s">
        <v>1401</v>
      </c>
      <c r="Y73" s="6">
        <f t="shared" si="29"/>
        <v>2</v>
      </c>
      <c r="Z73" s="6">
        <f t="shared" si="30"/>
        <v>1001</v>
      </c>
      <c r="AA73" s="6">
        <v>2</v>
      </c>
      <c r="AB73" s="68" t="s">
        <v>1406</v>
      </c>
      <c r="AC73" s="6">
        <f t="shared" si="31"/>
        <v>2</v>
      </c>
      <c r="AD73" s="6">
        <f t="shared" si="32"/>
        <v>1003</v>
      </c>
      <c r="AE73" s="6">
        <v>1</v>
      </c>
    </row>
    <row r="74" spans="1:31" x14ac:dyDescent="0.35">
      <c r="A74" s="1">
        <v>70</v>
      </c>
      <c r="B74" s="86">
        <f t="shared" si="46"/>
        <v>233280</v>
      </c>
      <c r="C74" s="39" t="str">
        <f t="shared" si="47"/>
        <v>1|1|4</v>
      </c>
      <c r="D74" s="39" t="str">
        <f t="shared" si="24"/>
        <v>2|1002|3</v>
      </c>
      <c r="E74" s="39" t="str">
        <f t="shared" si="25"/>
        <v>2|1004|3</v>
      </c>
      <c r="F74" s="39" t="str">
        <f t="shared" si="43"/>
        <v/>
      </c>
      <c r="G74" s="39" t="str">
        <f t="shared" si="44"/>
        <v/>
      </c>
      <c r="H74" s="39">
        <v>0</v>
      </c>
      <c r="L74" s="1">
        <v>675</v>
      </c>
      <c r="M74" s="1">
        <f>SUM($L$5:L74)</f>
        <v>14783</v>
      </c>
      <c r="N74" s="463">
        <f t="shared" si="48"/>
        <v>61.595833333333331</v>
      </c>
      <c r="O74" s="1">
        <v>0.96</v>
      </c>
      <c r="P74" s="1">
        <f t="shared" si="45"/>
        <v>345.59999999999997</v>
      </c>
      <c r="Q74" s="1">
        <f t="shared" si="49"/>
        <v>233280</v>
      </c>
      <c r="T74" s="6" t="s">
        <v>1369</v>
      </c>
      <c r="U74" s="70">
        <f t="shared" si="27"/>
        <v>1</v>
      </c>
      <c r="V74" s="70">
        <f t="shared" si="28"/>
        <v>1</v>
      </c>
      <c r="W74" s="469">
        <v>4</v>
      </c>
      <c r="X74" s="68" t="s">
        <v>1402</v>
      </c>
      <c r="Y74" s="6">
        <f t="shared" si="29"/>
        <v>2</v>
      </c>
      <c r="Z74" s="6">
        <f t="shared" si="30"/>
        <v>1002</v>
      </c>
      <c r="AA74" s="6">
        <v>3</v>
      </c>
      <c r="AB74" s="68" t="s">
        <v>1405</v>
      </c>
      <c r="AC74" s="6">
        <f t="shared" si="31"/>
        <v>2</v>
      </c>
      <c r="AD74" s="6">
        <f t="shared" si="32"/>
        <v>1004</v>
      </c>
      <c r="AE74" s="6">
        <v>3</v>
      </c>
    </row>
    <row r="75" spans="1:31" x14ac:dyDescent="0.35">
      <c r="A75" s="1">
        <v>71</v>
      </c>
      <c r="B75" s="86">
        <f t="shared" si="46"/>
        <v>243650</v>
      </c>
      <c r="C75" s="39" t="str">
        <f t="shared" si="47"/>
        <v>1|1|4</v>
      </c>
      <c r="D75" s="39" t="str">
        <f t="shared" si="24"/>
        <v>2|1001|3</v>
      </c>
      <c r="E75" s="39" t="str">
        <f t="shared" si="25"/>
        <v>2|1002|3</v>
      </c>
      <c r="F75" s="39" t="str">
        <f t="shared" si="43"/>
        <v/>
      </c>
      <c r="G75" s="39" t="str">
        <f t="shared" si="44"/>
        <v/>
      </c>
      <c r="H75" s="39">
        <v>0</v>
      </c>
      <c r="L75" s="1">
        <v>705</v>
      </c>
      <c r="M75" s="1">
        <f>SUM($L$5:L75)</f>
        <v>15488</v>
      </c>
      <c r="N75" s="463">
        <f t="shared" si="48"/>
        <v>64.533333333333331</v>
      </c>
      <c r="O75" s="1">
        <v>0.96</v>
      </c>
      <c r="P75" s="1">
        <f t="shared" si="45"/>
        <v>345.59999999999997</v>
      </c>
      <c r="Q75" s="1">
        <f t="shared" si="49"/>
        <v>243650</v>
      </c>
      <c r="T75" s="6" t="s">
        <v>1369</v>
      </c>
      <c r="U75" s="70">
        <f t="shared" si="27"/>
        <v>1</v>
      </c>
      <c r="V75" s="70">
        <f t="shared" si="28"/>
        <v>1</v>
      </c>
      <c r="W75" s="469">
        <v>4</v>
      </c>
      <c r="X75" s="68" t="s">
        <v>1401</v>
      </c>
      <c r="Y75" s="6">
        <f t="shared" si="29"/>
        <v>2</v>
      </c>
      <c r="Z75" s="6">
        <f t="shared" si="30"/>
        <v>1001</v>
      </c>
      <c r="AA75" s="6">
        <v>3</v>
      </c>
      <c r="AB75" s="68" t="s">
        <v>1402</v>
      </c>
      <c r="AC75" s="6">
        <f t="shared" si="31"/>
        <v>2</v>
      </c>
      <c r="AD75" s="6">
        <f t="shared" si="32"/>
        <v>1002</v>
      </c>
      <c r="AE75" s="6">
        <v>3</v>
      </c>
    </row>
    <row r="76" spans="1:31" x14ac:dyDescent="0.35">
      <c r="A76" s="1">
        <v>72</v>
      </c>
      <c r="B76" s="86">
        <f t="shared" si="46"/>
        <v>254020</v>
      </c>
      <c r="C76" s="39" t="str">
        <f t="shared" si="47"/>
        <v>1|1|4</v>
      </c>
      <c r="D76" s="39" t="str">
        <f t="shared" si="24"/>
        <v>2|1002|3</v>
      </c>
      <c r="E76" s="39" t="str">
        <f t="shared" si="25"/>
        <v>2|1004|3</v>
      </c>
      <c r="F76" s="39" t="str">
        <f t="shared" si="43"/>
        <v/>
      </c>
      <c r="G76" s="39" t="str">
        <f t="shared" si="44"/>
        <v/>
      </c>
      <c r="H76" s="39">
        <v>0</v>
      </c>
      <c r="L76" s="1">
        <v>735</v>
      </c>
      <c r="M76" s="1">
        <f>SUM($L$5:L76)</f>
        <v>16223</v>
      </c>
      <c r="N76" s="463">
        <f t="shared" si="48"/>
        <v>67.595833333333331</v>
      </c>
      <c r="O76" s="1">
        <v>0.96</v>
      </c>
      <c r="P76" s="1">
        <f t="shared" si="45"/>
        <v>345.59999999999997</v>
      </c>
      <c r="Q76" s="1">
        <f t="shared" si="49"/>
        <v>254020</v>
      </c>
      <c r="T76" s="6" t="s">
        <v>1369</v>
      </c>
      <c r="U76" s="70">
        <f t="shared" si="27"/>
        <v>1</v>
      </c>
      <c r="V76" s="70">
        <f t="shared" si="28"/>
        <v>1</v>
      </c>
      <c r="W76" s="469">
        <v>4</v>
      </c>
      <c r="X76" s="68" t="s">
        <v>1402</v>
      </c>
      <c r="Y76" s="6">
        <f t="shared" si="29"/>
        <v>2</v>
      </c>
      <c r="Z76" s="6">
        <f t="shared" si="30"/>
        <v>1002</v>
      </c>
      <c r="AA76" s="6">
        <v>3</v>
      </c>
      <c r="AB76" s="68" t="s">
        <v>1405</v>
      </c>
      <c r="AC76" s="6">
        <f t="shared" si="31"/>
        <v>2</v>
      </c>
      <c r="AD76" s="6">
        <f t="shared" si="32"/>
        <v>1004</v>
      </c>
      <c r="AE76" s="6">
        <v>3</v>
      </c>
    </row>
    <row r="77" spans="1:31" x14ac:dyDescent="0.35">
      <c r="A77" s="1">
        <v>73</v>
      </c>
      <c r="B77" s="86">
        <f t="shared" si="46"/>
        <v>264380</v>
      </c>
      <c r="C77" s="39" t="str">
        <f t="shared" si="47"/>
        <v>1|1|4</v>
      </c>
      <c r="D77" s="39" t="str">
        <f t="shared" si="24"/>
        <v>2|1001|3</v>
      </c>
      <c r="E77" s="39" t="str">
        <f t="shared" si="25"/>
        <v>2|1004|3</v>
      </c>
      <c r="F77" s="39" t="str">
        <f t="shared" si="43"/>
        <v/>
      </c>
      <c r="G77" s="39" t="str">
        <f t="shared" si="44"/>
        <v/>
      </c>
      <c r="H77" s="39">
        <v>0</v>
      </c>
      <c r="L77" s="1">
        <v>765</v>
      </c>
      <c r="M77" s="1">
        <f>SUM($L$5:L77)</f>
        <v>16988</v>
      </c>
      <c r="N77" s="463">
        <f t="shared" si="48"/>
        <v>70.783333333333331</v>
      </c>
      <c r="O77" s="1">
        <v>0.96</v>
      </c>
      <c r="P77" s="1">
        <f t="shared" si="45"/>
        <v>345.59999999999997</v>
      </c>
      <c r="Q77" s="1">
        <f t="shared" si="49"/>
        <v>264380</v>
      </c>
      <c r="T77" s="6" t="s">
        <v>1369</v>
      </c>
      <c r="U77" s="70">
        <f t="shared" si="27"/>
        <v>1</v>
      </c>
      <c r="V77" s="70">
        <f t="shared" si="28"/>
        <v>1</v>
      </c>
      <c r="W77" s="469">
        <v>4</v>
      </c>
      <c r="X77" s="68" t="s">
        <v>1401</v>
      </c>
      <c r="Y77" s="6">
        <f t="shared" si="29"/>
        <v>2</v>
      </c>
      <c r="Z77" s="6">
        <f t="shared" si="30"/>
        <v>1001</v>
      </c>
      <c r="AA77" s="6">
        <v>3</v>
      </c>
      <c r="AB77" s="68" t="s">
        <v>1405</v>
      </c>
      <c r="AC77" s="6">
        <f t="shared" si="31"/>
        <v>2</v>
      </c>
      <c r="AD77" s="6">
        <f t="shared" si="32"/>
        <v>1004</v>
      </c>
      <c r="AE77" s="6">
        <v>3</v>
      </c>
    </row>
    <row r="78" spans="1:31" x14ac:dyDescent="0.35">
      <c r="A78" s="1">
        <v>74</v>
      </c>
      <c r="B78" s="86">
        <f t="shared" si="46"/>
        <v>274750</v>
      </c>
      <c r="C78" s="39" t="str">
        <f t="shared" si="47"/>
        <v>1|1|4</v>
      </c>
      <c r="D78" s="39" t="str">
        <f t="shared" si="24"/>
        <v>2|1002|3</v>
      </c>
      <c r="E78" s="39" t="str">
        <f t="shared" si="25"/>
        <v>2|1003|1</v>
      </c>
      <c r="F78" s="39" t="str">
        <f t="shared" si="43"/>
        <v/>
      </c>
      <c r="G78" s="39" t="str">
        <f t="shared" si="44"/>
        <v/>
      </c>
      <c r="H78" s="39">
        <v>0</v>
      </c>
      <c r="L78" s="1">
        <v>795</v>
      </c>
      <c r="M78" s="1">
        <f>SUM($L$5:L78)</f>
        <v>17783</v>
      </c>
      <c r="N78" s="463">
        <f t="shared" si="48"/>
        <v>74.095833333333331</v>
      </c>
      <c r="O78" s="1">
        <v>0.96</v>
      </c>
      <c r="P78" s="1">
        <f t="shared" si="45"/>
        <v>345.59999999999997</v>
      </c>
      <c r="Q78" s="1">
        <f t="shared" si="49"/>
        <v>274750</v>
      </c>
      <c r="T78" s="6" t="s">
        <v>1369</v>
      </c>
      <c r="U78" s="70">
        <f t="shared" si="27"/>
        <v>1</v>
      </c>
      <c r="V78" s="70">
        <f t="shared" si="28"/>
        <v>1</v>
      </c>
      <c r="W78" s="469">
        <v>4</v>
      </c>
      <c r="X78" s="68" t="s">
        <v>1402</v>
      </c>
      <c r="Y78" s="6">
        <f t="shared" si="29"/>
        <v>2</v>
      </c>
      <c r="Z78" s="6">
        <f t="shared" si="30"/>
        <v>1002</v>
      </c>
      <c r="AA78" s="6">
        <v>3</v>
      </c>
      <c r="AB78" s="68" t="s">
        <v>1406</v>
      </c>
      <c r="AC78" s="6">
        <f t="shared" si="31"/>
        <v>2</v>
      </c>
      <c r="AD78" s="6">
        <f t="shared" si="32"/>
        <v>1003</v>
      </c>
      <c r="AE78" s="6">
        <v>1</v>
      </c>
    </row>
    <row r="79" spans="1:31" x14ac:dyDescent="0.35">
      <c r="A79" s="1">
        <v>75</v>
      </c>
      <c r="B79" s="86">
        <f t="shared" si="46"/>
        <v>285120</v>
      </c>
      <c r="C79" s="39" t="str">
        <f t="shared" si="47"/>
        <v>1|1|4</v>
      </c>
      <c r="D79" s="39" t="str">
        <f t="shared" si="24"/>
        <v>2|1001|3</v>
      </c>
      <c r="E79" s="39" t="str">
        <f t="shared" si="25"/>
        <v>2|1002|3</v>
      </c>
      <c r="F79" s="39" t="str">
        <f t="shared" si="43"/>
        <v/>
      </c>
      <c r="G79" s="39" t="str">
        <f t="shared" si="44"/>
        <v/>
      </c>
      <c r="H79" s="39">
        <v>0</v>
      </c>
      <c r="L79" s="1">
        <v>825</v>
      </c>
      <c r="M79" s="1">
        <f>SUM($L$5:L79)</f>
        <v>18608</v>
      </c>
      <c r="N79" s="463">
        <f t="shared" si="48"/>
        <v>77.533333333333331</v>
      </c>
      <c r="O79" s="1">
        <v>0.96</v>
      </c>
      <c r="P79" s="1">
        <f t="shared" si="45"/>
        <v>345.59999999999997</v>
      </c>
      <c r="Q79" s="1">
        <f t="shared" si="49"/>
        <v>285120</v>
      </c>
      <c r="T79" s="6" t="s">
        <v>1369</v>
      </c>
      <c r="U79" s="70">
        <f t="shared" si="27"/>
        <v>1</v>
      </c>
      <c r="V79" s="70">
        <f t="shared" si="28"/>
        <v>1</v>
      </c>
      <c r="W79" s="469">
        <v>4</v>
      </c>
      <c r="X79" s="68" t="s">
        <v>1401</v>
      </c>
      <c r="Y79" s="6">
        <f t="shared" si="29"/>
        <v>2</v>
      </c>
      <c r="Z79" s="6">
        <f t="shared" si="30"/>
        <v>1001</v>
      </c>
      <c r="AA79" s="6">
        <v>3</v>
      </c>
      <c r="AB79" s="68" t="s">
        <v>1402</v>
      </c>
      <c r="AC79" s="6">
        <f t="shared" si="31"/>
        <v>2</v>
      </c>
      <c r="AD79" s="6">
        <f t="shared" si="32"/>
        <v>1002</v>
      </c>
      <c r="AE79" s="6">
        <v>3</v>
      </c>
    </row>
    <row r="80" spans="1:31" x14ac:dyDescent="0.35">
      <c r="A80" s="1">
        <v>76</v>
      </c>
      <c r="B80" s="86">
        <f t="shared" si="46"/>
        <v>295490</v>
      </c>
      <c r="C80" s="39" t="str">
        <f t="shared" si="47"/>
        <v>1|1|4</v>
      </c>
      <c r="D80" s="39" t="str">
        <f t="shared" si="24"/>
        <v>2|1002|3</v>
      </c>
      <c r="E80" s="39" t="str">
        <f t="shared" si="25"/>
        <v>2|1004|3</v>
      </c>
      <c r="F80" s="39" t="str">
        <f t="shared" si="43"/>
        <v/>
      </c>
      <c r="G80" s="39" t="str">
        <f t="shared" si="44"/>
        <v/>
      </c>
      <c r="H80" s="39">
        <v>0</v>
      </c>
      <c r="L80" s="1">
        <v>855</v>
      </c>
      <c r="M80" s="1">
        <f>SUM($L$5:L80)</f>
        <v>19463</v>
      </c>
      <c r="N80" s="463">
        <f t="shared" si="48"/>
        <v>81.095833333333331</v>
      </c>
      <c r="O80" s="1">
        <v>0.96</v>
      </c>
      <c r="P80" s="1">
        <f t="shared" si="45"/>
        <v>345.59999999999997</v>
      </c>
      <c r="Q80" s="1">
        <f t="shared" si="49"/>
        <v>295490</v>
      </c>
      <c r="T80" s="6" t="s">
        <v>1369</v>
      </c>
      <c r="U80" s="70">
        <f t="shared" si="27"/>
        <v>1</v>
      </c>
      <c r="V80" s="70">
        <f t="shared" si="28"/>
        <v>1</v>
      </c>
      <c r="W80" s="469">
        <v>4</v>
      </c>
      <c r="X80" s="68" t="s">
        <v>1402</v>
      </c>
      <c r="Y80" s="6">
        <f t="shared" si="29"/>
        <v>2</v>
      </c>
      <c r="Z80" s="6">
        <f t="shared" si="30"/>
        <v>1002</v>
      </c>
      <c r="AA80" s="6">
        <v>3</v>
      </c>
      <c r="AB80" s="68" t="s">
        <v>1405</v>
      </c>
      <c r="AC80" s="6">
        <f t="shared" si="31"/>
        <v>2</v>
      </c>
      <c r="AD80" s="6">
        <f t="shared" si="32"/>
        <v>1004</v>
      </c>
      <c r="AE80" s="6">
        <v>3</v>
      </c>
    </row>
    <row r="81" spans="1:31" x14ac:dyDescent="0.35">
      <c r="A81" s="1">
        <v>77</v>
      </c>
      <c r="B81" s="86">
        <f t="shared" si="46"/>
        <v>305860</v>
      </c>
      <c r="C81" s="39" t="str">
        <f t="shared" si="47"/>
        <v>1|1|4</v>
      </c>
      <c r="D81" s="39" t="str">
        <f t="shared" si="24"/>
        <v>2|1001|3</v>
      </c>
      <c r="E81" s="39" t="str">
        <f t="shared" si="25"/>
        <v>2|1004|3</v>
      </c>
      <c r="F81" s="39" t="str">
        <f t="shared" si="43"/>
        <v/>
      </c>
      <c r="G81" s="39" t="str">
        <f t="shared" si="44"/>
        <v/>
      </c>
      <c r="H81" s="39">
        <v>0</v>
      </c>
      <c r="L81" s="1">
        <v>885</v>
      </c>
      <c r="M81" s="1">
        <f>SUM($L$5:L81)</f>
        <v>20348</v>
      </c>
      <c r="N81" s="463">
        <f t="shared" si="48"/>
        <v>84.783333333333331</v>
      </c>
      <c r="O81" s="1">
        <v>0.96</v>
      </c>
      <c r="P81" s="1">
        <f t="shared" si="45"/>
        <v>345.59999999999997</v>
      </c>
      <c r="Q81" s="1">
        <f t="shared" si="49"/>
        <v>305860</v>
      </c>
      <c r="T81" s="6" t="s">
        <v>1369</v>
      </c>
      <c r="U81" s="70">
        <f t="shared" si="27"/>
        <v>1</v>
      </c>
      <c r="V81" s="70">
        <f t="shared" si="28"/>
        <v>1</v>
      </c>
      <c r="W81" s="469">
        <v>4</v>
      </c>
      <c r="X81" s="68" t="s">
        <v>1401</v>
      </c>
      <c r="Y81" s="6">
        <f t="shared" si="29"/>
        <v>2</v>
      </c>
      <c r="Z81" s="6">
        <f t="shared" si="30"/>
        <v>1001</v>
      </c>
      <c r="AA81" s="6">
        <v>3</v>
      </c>
      <c r="AB81" s="68" t="s">
        <v>1405</v>
      </c>
      <c r="AC81" s="6">
        <f t="shared" si="31"/>
        <v>2</v>
      </c>
      <c r="AD81" s="6">
        <f t="shared" si="32"/>
        <v>1004</v>
      </c>
      <c r="AE81" s="6">
        <v>3</v>
      </c>
    </row>
    <row r="82" spans="1:31" x14ac:dyDescent="0.35">
      <c r="A82" s="1">
        <v>78</v>
      </c>
      <c r="B82" s="86">
        <f t="shared" si="46"/>
        <v>316220</v>
      </c>
      <c r="C82" s="39" t="str">
        <f t="shared" si="47"/>
        <v>1|1|4</v>
      </c>
      <c r="D82" s="39" t="str">
        <f t="shared" si="24"/>
        <v>2|1002|3</v>
      </c>
      <c r="E82" s="39" t="str">
        <f t="shared" si="25"/>
        <v>2|1004|3</v>
      </c>
      <c r="F82" s="39" t="str">
        <f t="shared" si="43"/>
        <v/>
      </c>
      <c r="G82" s="39" t="str">
        <f t="shared" si="44"/>
        <v/>
      </c>
      <c r="H82" s="39">
        <v>0</v>
      </c>
      <c r="L82" s="1">
        <v>915</v>
      </c>
      <c r="M82" s="1">
        <f>SUM($L$5:L82)</f>
        <v>21263</v>
      </c>
      <c r="N82" s="463">
        <f t="shared" si="48"/>
        <v>88.595833333333331</v>
      </c>
      <c r="O82" s="1">
        <v>0.96</v>
      </c>
      <c r="P82" s="1">
        <f t="shared" si="45"/>
        <v>345.59999999999997</v>
      </c>
      <c r="Q82" s="1">
        <f t="shared" si="49"/>
        <v>316220</v>
      </c>
      <c r="T82" s="6" t="s">
        <v>1369</v>
      </c>
      <c r="U82" s="70">
        <f t="shared" si="27"/>
        <v>1</v>
      </c>
      <c r="V82" s="70">
        <f t="shared" si="28"/>
        <v>1</v>
      </c>
      <c r="W82" s="469">
        <v>4</v>
      </c>
      <c r="X82" s="68" t="s">
        <v>1402</v>
      </c>
      <c r="Y82" s="6">
        <f t="shared" si="29"/>
        <v>2</v>
      </c>
      <c r="Z82" s="6">
        <f t="shared" si="30"/>
        <v>1002</v>
      </c>
      <c r="AA82" s="6">
        <v>3</v>
      </c>
      <c r="AB82" s="68" t="s">
        <v>1405</v>
      </c>
      <c r="AC82" s="6">
        <f t="shared" si="31"/>
        <v>2</v>
      </c>
      <c r="AD82" s="6">
        <f t="shared" si="32"/>
        <v>1004</v>
      </c>
      <c r="AE82" s="6">
        <v>3</v>
      </c>
    </row>
    <row r="83" spans="1:31" x14ac:dyDescent="0.35">
      <c r="A83" s="1">
        <v>79</v>
      </c>
      <c r="B83" s="86">
        <f t="shared" si="46"/>
        <v>328320</v>
      </c>
      <c r="C83" s="39" t="str">
        <f t="shared" si="47"/>
        <v>1|1|4</v>
      </c>
      <c r="D83" s="39" t="str">
        <f t="shared" si="24"/>
        <v>2|1001|3</v>
      </c>
      <c r="E83" s="39" t="str">
        <f t="shared" si="25"/>
        <v>2|1003|1</v>
      </c>
      <c r="F83" s="39" t="str">
        <f t="shared" si="43"/>
        <v/>
      </c>
      <c r="G83" s="39" t="str">
        <f t="shared" si="44"/>
        <v/>
      </c>
      <c r="H83" s="39">
        <v>0</v>
      </c>
      <c r="L83" s="1">
        <v>950</v>
      </c>
      <c r="M83" s="464">
        <f>SUM($L$5:L83)</f>
        <v>22213</v>
      </c>
      <c r="N83" s="463">
        <f t="shared" si="48"/>
        <v>92.55416666666666</v>
      </c>
      <c r="O83" s="1">
        <v>0.96</v>
      </c>
      <c r="P83" s="1">
        <f t="shared" si="45"/>
        <v>345.59999999999997</v>
      </c>
      <c r="Q83" s="1">
        <f t="shared" si="49"/>
        <v>328320</v>
      </c>
      <c r="T83" s="6" t="s">
        <v>1369</v>
      </c>
      <c r="U83" s="70">
        <f t="shared" si="27"/>
        <v>1</v>
      </c>
      <c r="V83" s="70">
        <f t="shared" si="28"/>
        <v>1</v>
      </c>
      <c r="W83" s="469">
        <v>4</v>
      </c>
      <c r="X83" s="68" t="s">
        <v>1401</v>
      </c>
      <c r="Y83" s="6">
        <f t="shared" si="29"/>
        <v>2</v>
      </c>
      <c r="Z83" s="6">
        <f t="shared" si="30"/>
        <v>1001</v>
      </c>
      <c r="AA83" s="6">
        <v>3</v>
      </c>
      <c r="AB83" s="68" t="s">
        <v>1406</v>
      </c>
      <c r="AC83" s="6">
        <f t="shared" si="31"/>
        <v>2</v>
      </c>
      <c r="AD83" s="6">
        <f t="shared" si="32"/>
        <v>1003</v>
      </c>
      <c r="AE83" s="6">
        <v>1</v>
      </c>
    </row>
    <row r="84" spans="1:31" x14ac:dyDescent="0.35">
      <c r="A84" s="1">
        <v>80</v>
      </c>
      <c r="B84" s="86">
        <f t="shared" si="46"/>
        <v>362880</v>
      </c>
      <c r="C84" s="39" t="str">
        <f t="shared" si="47"/>
        <v>1|1|4</v>
      </c>
      <c r="D84" s="39" t="str">
        <f t="shared" si="24"/>
        <v>2|1002|3</v>
      </c>
      <c r="E84" s="39" t="str">
        <f t="shared" si="25"/>
        <v>2|1004|3</v>
      </c>
      <c r="F84" s="39" t="str">
        <f t="shared" si="43"/>
        <v/>
      </c>
      <c r="G84" s="39" t="str">
        <f t="shared" si="44"/>
        <v/>
      </c>
      <c r="H84" s="39">
        <v>0</v>
      </c>
      <c r="L84" s="1">
        <v>1050</v>
      </c>
      <c r="M84" s="1">
        <f>SUM($L$5:L84)</f>
        <v>23263</v>
      </c>
      <c r="N84" s="463">
        <f t="shared" si="48"/>
        <v>96.92916666666666</v>
      </c>
      <c r="O84" s="1">
        <v>0.96</v>
      </c>
      <c r="P84" s="1">
        <f t="shared" si="45"/>
        <v>345.59999999999997</v>
      </c>
      <c r="Q84" s="1">
        <f t="shared" si="49"/>
        <v>362880</v>
      </c>
      <c r="T84" s="6" t="s">
        <v>1369</v>
      </c>
      <c r="U84" s="70">
        <f t="shared" si="27"/>
        <v>1</v>
      </c>
      <c r="V84" s="70">
        <f t="shared" si="28"/>
        <v>1</v>
      </c>
      <c r="W84" s="469">
        <v>4</v>
      </c>
      <c r="X84" s="68" t="s">
        <v>1402</v>
      </c>
      <c r="Y84" s="6">
        <f t="shared" si="29"/>
        <v>2</v>
      </c>
      <c r="Z84" s="6">
        <f t="shared" si="30"/>
        <v>1002</v>
      </c>
      <c r="AA84" s="6">
        <v>3</v>
      </c>
      <c r="AB84" s="68" t="s">
        <v>1405</v>
      </c>
      <c r="AC84" s="6">
        <f t="shared" si="31"/>
        <v>2</v>
      </c>
      <c r="AD84" s="6">
        <f t="shared" si="32"/>
        <v>1004</v>
      </c>
      <c r="AE84" s="6">
        <v>3</v>
      </c>
    </row>
    <row r="85" spans="1:31" x14ac:dyDescent="0.35">
      <c r="A85" s="1">
        <v>81</v>
      </c>
      <c r="B85" s="86">
        <f t="shared" si="46"/>
        <v>397440</v>
      </c>
      <c r="C85" s="39" t="str">
        <f t="shared" si="47"/>
        <v>1|1|4</v>
      </c>
      <c r="D85" s="39" t="str">
        <f t="shared" si="24"/>
        <v>2|1001|3</v>
      </c>
      <c r="E85" s="39" t="str">
        <f t="shared" si="25"/>
        <v>2|1002|3</v>
      </c>
      <c r="F85" s="39" t="str">
        <f t="shared" si="43"/>
        <v/>
      </c>
      <c r="G85" s="39" t="str">
        <f t="shared" si="44"/>
        <v/>
      </c>
      <c r="H85" s="39">
        <v>0</v>
      </c>
      <c r="L85" s="1">
        <v>1150</v>
      </c>
      <c r="M85" s="1">
        <f>SUM($L$5:L85)</f>
        <v>24413</v>
      </c>
      <c r="N85" s="463">
        <f t="shared" si="48"/>
        <v>101.72083333333333</v>
      </c>
      <c r="O85" s="1">
        <v>0.96</v>
      </c>
      <c r="P85" s="1">
        <f t="shared" si="45"/>
        <v>345.59999999999997</v>
      </c>
      <c r="Q85" s="1">
        <f t="shared" si="49"/>
        <v>397440</v>
      </c>
      <c r="T85" s="6" t="s">
        <v>1369</v>
      </c>
      <c r="U85" s="70">
        <f t="shared" ref="U85:U94" si="50">VLOOKUP(T85,AU:AZ,4,0)</f>
        <v>1</v>
      </c>
      <c r="V85" s="70">
        <f t="shared" ref="V85:V94" si="51">VLOOKUP(T85,AU:AZ,5,0)</f>
        <v>1</v>
      </c>
      <c r="W85" s="469">
        <v>4</v>
      </c>
      <c r="X85" s="68" t="s">
        <v>1401</v>
      </c>
      <c r="Y85" s="6">
        <f t="shared" ref="Y85:Y94" si="52">VLOOKUP(X85,AU:AZ,4,0)</f>
        <v>2</v>
      </c>
      <c r="Z85" s="6">
        <f t="shared" ref="Z85:Z94" si="53">VLOOKUP(X85,AU:AZ,5,0)</f>
        <v>1001</v>
      </c>
      <c r="AA85" s="6">
        <v>3</v>
      </c>
      <c r="AB85" s="68" t="s">
        <v>1402</v>
      </c>
      <c r="AC85" s="6">
        <f t="shared" ref="AC85:AC94" si="54">VLOOKUP(AB85,AU:AZ,4,0)</f>
        <v>2</v>
      </c>
      <c r="AD85" s="6">
        <f t="shared" ref="AD85:AD94" si="55">VLOOKUP(AB85,AU:AZ,5,0)</f>
        <v>1002</v>
      </c>
      <c r="AE85" s="6">
        <v>3</v>
      </c>
    </row>
    <row r="86" spans="1:31" x14ac:dyDescent="0.35">
      <c r="A86" s="1">
        <v>82</v>
      </c>
      <c r="B86" s="86">
        <f t="shared" si="46"/>
        <v>432000</v>
      </c>
      <c r="C86" s="39" t="str">
        <f t="shared" si="47"/>
        <v>1|1|4</v>
      </c>
      <c r="D86" s="39" t="str">
        <f t="shared" si="24"/>
        <v>2|1002|3</v>
      </c>
      <c r="E86" s="39" t="str">
        <f t="shared" si="25"/>
        <v>2|1004|3</v>
      </c>
      <c r="F86" s="39" t="str">
        <f t="shared" si="43"/>
        <v/>
      </c>
      <c r="G86" s="39" t="str">
        <f t="shared" si="44"/>
        <v/>
      </c>
      <c r="H86" s="39">
        <v>0</v>
      </c>
      <c r="L86" s="1">
        <v>1250</v>
      </c>
      <c r="M86" s="1">
        <f>SUM($L$5:L86)</f>
        <v>25663</v>
      </c>
      <c r="N86" s="463">
        <f t="shared" si="48"/>
        <v>106.92916666666666</v>
      </c>
      <c r="O86" s="1">
        <v>0.96</v>
      </c>
      <c r="P86" s="1">
        <f t="shared" si="45"/>
        <v>345.59999999999997</v>
      </c>
      <c r="Q86" s="1">
        <f t="shared" si="49"/>
        <v>432000</v>
      </c>
      <c r="T86" s="6" t="s">
        <v>1369</v>
      </c>
      <c r="U86" s="70">
        <f t="shared" si="50"/>
        <v>1</v>
      </c>
      <c r="V86" s="70">
        <f t="shared" si="51"/>
        <v>1</v>
      </c>
      <c r="W86" s="469">
        <v>4</v>
      </c>
      <c r="X86" s="68" t="s">
        <v>1402</v>
      </c>
      <c r="Y86" s="6">
        <f t="shared" si="52"/>
        <v>2</v>
      </c>
      <c r="Z86" s="6">
        <f t="shared" si="53"/>
        <v>1002</v>
      </c>
      <c r="AA86" s="6">
        <v>3</v>
      </c>
      <c r="AB86" s="68" t="s">
        <v>1405</v>
      </c>
      <c r="AC86" s="6">
        <f t="shared" si="54"/>
        <v>2</v>
      </c>
      <c r="AD86" s="6">
        <f t="shared" si="55"/>
        <v>1004</v>
      </c>
      <c r="AE86" s="6">
        <v>3</v>
      </c>
    </row>
    <row r="87" spans="1:31" x14ac:dyDescent="0.35">
      <c r="A87" s="1">
        <v>83</v>
      </c>
      <c r="B87" s="86">
        <f t="shared" si="46"/>
        <v>466560</v>
      </c>
      <c r="C87" s="39" t="str">
        <f t="shared" si="47"/>
        <v>1|1|4</v>
      </c>
      <c r="D87" s="39" t="str">
        <f t="shared" si="24"/>
        <v>2|1001|3</v>
      </c>
      <c r="E87" s="39" t="str">
        <f t="shared" si="25"/>
        <v>2|1004|3</v>
      </c>
      <c r="F87" s="39" t="str">
        <f t="shared" si="43"/>
        <v/>
      </c>
      <c r="G87" s="39" t="str">
        <f t="shared" si="44"/>
        <v/>
      </c>
      <c r="H87" s="39">
        <v>0</v>
      </c>
      <c r="L87" s="1">
        <v>1350</v>
      </c>
      <c r="M87" s="1">
        <f>SUM($L$5:L87)</f>
        <v>27013</v>
      </c>
      <c r="N87" s="463">
        <f t="shared" si="48"/>
        <v>112.55416666666666</v>
      </c>
      <c r="O87" s="1">
        <v>0.96</v>
      </c>
      <c r="P87" s="1">
        <f t="shared" si="45"/>
        <v>345.59999999999997</v>
      </c>
      <c r="Q87" s="1">
        <f t="shared" si="49"/>
        <v>466560</v>
      </c>
      <c r="T87" s="6" t="s">
        <v>1369</v>
      </c>
      <c r="U87" s="70">
        <f t="shared" si="50"/>
        <v>1</v>
      </c>
      <c r="V87" s="70">
        <f t="shared" si="51"/>
        <v>1</v>
      </c>
      <c r="W87" s="469">
        <v>4</v>
      </c>
      <c r="X87" s="68" t="s">
        <v>1401</v>
      </c>
      <c r="Y87" s="6">
        <f t="shared" si="52"/>
        <v>2</v>
      </c>
      <c r="Z87" s="6">
        <f t="shared" si="53"/>
        <v>1001</v>
      </c>
      <c r="AA87" s="6">
        <v>3</v>
      </c>
      <c r="AB87" s="68" t="s">
        <v>1405</v>
      </c>
      <c r="AC87" s="6">
        <f t="shared" si="54"/>
        <v>2</v>
      </c>
      <c r="AD87" s="6">
        <f t="shared" si="55"/>
        <v>1004</v>
      </c>
      <c r="AE87" s="6">
        <v>3</v>
      </c>
    </row>
    <row r="88" spans="1:31" x14ac:dyDescent="0.35">
      <c r="A88" s="1">
        <v>84</v>
      </c>
      <c r="B88" s="86">
        <f t="shared" si="46"/>
        <v>501120</v>
      </c>
      <c r="C88" s="39" t="str">
        <f t="shared" si="47"/>
        <v>1|1|4</v>
      </c>
      <c r="D88" s="39" t="str">
        <f t="shared" si="24"/>
        <v>2|1002|3</v>
      </c>
      <c r="E88" s="39" t="str">
        <f t="shared" si="25"/>
        <v>2|1003|1</v>
      </c>
      <c r="F88" s="39" t="str">
        <f t="shared" si="43"/>
        <v/>
      </c>
      <c r="G88" s="39" t="str">
        <f t="shared" si="44"/>
        <v/>
      </c>
      <c r="H88" s="39">
        <v>0</v>
      </c>
      <c r="L88" s="1">
        <v>1450</v>
      </c>
      <c r="M88" s="1">
        <f>SUM($L$5:L88)</f>
        <v>28463</v>
      </c>
      <c r="N88" s="463">
        <f t="shared" si="48"/>
        <v>118.59583333333333</v>
      </c>
      <c r="O88" s="1">
        <v>0.96</v>
      </c>
      <c r="P88" s="1">
        <f t="shared" si="45"/>
        <v>345.59999999999997</v>
      </c>
      <c r="Q88" s="1">
        <f t="shared" si="49"/>
        <v>501120</v>
      </c>
      <c r="T88" s="6" t="s">
        <v>1369</v>
      </c>
      <c r="U88" s="70">
        <f t="shared" si="50"/>
        <v>1</v>
      </c>
      <c r="V88" s="70">
        <f t="shared" si="51"/>
        <v>1</v>
      </c>
      <c r="W88" s="469">
        <v>4</v>
      </c>
      <c r="X88" s="68" t="s">
        <v>1402</v>
      </c>
      <c r="Y88" s="6">
        <f t="shared" si="52"/>
        <v>2</v>
      </c>
      <c r="Z88" s="6">
        <f t="shared" si="53"/>
        <v>1002</v>
      </c>
      <c r="AA88" s="6">
        <v>3</v>
      </c>
      <c r="AB88" s="68" t="s">
        <v>1406</v>
      </c>
      <c r="AC88" s="6">
        <f t="shared" si="54"/>
        <v>2</v>
      </c>
      <c r="AD88" s="6">
        <f t="shared" si="55"/>
        <v>1003</v>
      </c>
      <c r="AE88" s="6">
        <v>1</v>
      </c>
    </row>
    <row r="89" spans="1:31" x14ac:dyDescent="0.35">
      <c r="A89" s="1">
        <v>85</v>
      </c>
      <c r="B89" s="86">
        <f t="shared" si="46"/>
        <v>535680</v>
      </c>
      <c r="C89" s="39" t="str">
        <f t="shared" si="47"/>
        <v>1|1|4</v>
      </c>
      <c r="D89" s="39" t="str">
        <f t="shared" si="24"/>
        <v>2|1001|3</v>
      </c>
      <c r="E89" s="39" t="str">
        <f t="shared" si="25"/>
        <v>2|1002|3</v>
      </c>
      <c r="F89" s="39" t="str">
        <f t="shared" si="43"/>
        <v/>
      </c>
      <c r="G89" s="39" t="str">
        <f t="shared" si="44"/>
        <v/>
      </c>
      <c r="H89" s="39">
        <v>0</v>
      </c>
      <c r="L89" s="1">
        <v>1550</v>
      </c>
      <c r="M89" s="1">
        <f>SUM($L$5:L89)</f>
        <v>30013</v>
      </c>
      <c r="N89" s="463">
        <f t="shared" si="48"/>
        <v>125.05416666666666</v>
      </c>
      <c r="O89" s="1">
        <v>0.96</v>
      </c>
      <c r="P89" s="1">
        <f t="shared" si="45"/>
        <v>345.59999999999997</v>
      </c>
      <c r="Q89" s="1">
        <f t="shared" si="49"/>
        <v>535680</v>
      </c>
      <c r="T89" s="6" t="s">
        <v>1369</v>
      </c>
      <c r="U89" s="70">
        <f t="shared" si="50"/>
        <v>1</v>
      </c>
      <c r="V89" s="70">
        <f t="shared" si="51"/>
        <v>1</v>
      </c>
      <c r="W89" s="469">
        <v>4</v>
      </c>
      <c r="X89" s="68" t="s">
        <v>1401</v>
      </c>
      <c r="Y89" s="6">
        <f t="shared" si="52"/>
        <v>2</v>
      </c>
      <c r="Z89" s="6">
        <f t="shared" si="53"/>
        <v>1001</v>
      </c>
      <c r="AA89" s="6">
        <v>3</v>
      </c>
      <c r="AB89" s="68" t="s">
        <v>1402</v>
      </c>
      <c r="AC89" s="6">
        <f t="shared" si="54"/>
        <v>2</v>
      </c>
      <c r="AD89" s="6">
        <f t="shared" si="55"/>
        <v>1002</v>
      </c>
      <c r="AE89" s="6">
        <v>3</v>
      </c>
    </row>
    <row r="90" spans="1:31" x14ac:dyDescent="0.35">
      <c r="A90" s="1">
        <v>86</v>
      </c>
      <c r="B90" s="86">
        <f t="shared" si="46"/>
        <v>570240</v>
      </c>
      <c r="C90" s="39" t="str">
        <f t="shared" si="47"/>
        <v>1|1|4</v>
      </c>
      <c r="D90" s="39" t="str">
        <f t="shared" si="24"/>
        <v>2|1002|3</v>
      </c>
      <c r="E90" s="39" t="str">
        <f t="shared" si="25"/>
        <v>2|1004|3</v>
      </c>
      <c r="F90" s="39" t="str">
        <f t="shared" si="43"/>
        <v/>
      </c>
      <c r="G90" s="39" t="str">
        <f t="shared" si="44"/>
        <v/>
      </c>
      <c r="H90" s="39">
        <v>0</v>
      </c>
      <c r="L90" s="1">
        <v>1650</v>
      </c>
      <c r="M90" s="1">
        <f>SUM($L$5:L90)</f>
        <v>31663</v>
      </c>
      <c r="N90" s="463">
        <f t="shared" si="48"/>
        <v>131.92916666666667</v>
      </c>
      <c r="O90" s="1">
        <v>0.96</v>
      </c>
      <c r="P90" s="1">
        <f t="shared" si="45"/>
        <v>345.59999999999997</v>
      </c>
      <c r="Q90" s="1">
        <f t="shared" si="49"/>
        <v>570240</v>
      </c>
      <c r="T90" s="6" t="s">
        <v>1369</v>
      </c>
      <c r="U90" s="70">
        <f t="shared" si="50"/>
        <v>1</v>
      </c>
      <c r="V90" s="70">
        <f t="shared" si="51"/>
        <v>1</v>
      </c>
      <c r="W90" s="469">
        <v>4</v>
      </c>
      <c r="X90" s="68" t="s">
        <v>1402</v>
      </c>
      <c r="Y90" s="6">
        <f t="shared" si="52"/>
        <v>2</v>
      </c>
      <c r="Z90" s="6">
        <f t="shared" si="53"/>
        <v>1002</v>
      </c>
      <c r="AA90" s="6">
        <v>3</v>
      </c>
      <c r="AB90" s="68" t="s">
        <v>1405</v>
      </c>
      <c r="AC90" s="6">
        <f t="shared" si="54"/>
        <v>2</v>
      </c>
      <c r="AD90" s="6">
        <f t="shared" si="55"/>
        <v>1004</v>
      </c>
      <c r="AE90" s="6">
        <v>3</v>
      </c>
    </row>
    <row r="91" spans="1:31" x14ac:dyDescent="0.35">
      <c r="A91" s="1">
        <v>87</v>
      </c>
      <c r="B91" s="86">
        <f t="shared" si="46"/>
        <v>604800</v>
      </c>
      <c r="C91" s="39" t="str">
        <f t="shared" si="47"/>
        <v>1|1|4</v>
      </c>
      <c r="D91" s="39" t="str">
        <f t="shared" si="24"/>
        <v>2|1001|3</v>
      </c>
      <c r="E91" s="39" t="str">
        <f t="shared" si="25"/>
        <v>2|1004|3</v>
      </c>
      <c r="F91" s="39" t="str">
        <f t="shared" si="43"/>
        <v/>
      </c>
      <c r="G91" s="39" t="str">
        <f t="shared" si="44"/>
        <v/>
      </c>
      <c r="H91" s="39">
        <v>0</v>
      </c>
      <c r="L91" s="1">
        <v>1750</v>
      </c>
      <c r="M91" s="1">
        <f>SUM($L$5:L91)</f>
        <v>33413</v>
      </c>
      <c r="N91" s="463">
        <f t="shared" si="48"/>
        <v>139.22083333333333</v>
      </c>
      <c r="O91" s="1">
        <v>0.96</v>
      </c>
      <c r="P91" s="1">
        <f t="shared" si="45"/>
        <v>345.59999999999997</v>
      </c>
      <c r="Q91" s="1">
        <f t="shared" si="49"/>
        <v>604800</v>
      </c>
      <c r="T91" s="6" t="s">
        <v>1369</v>
      </c>
      <c r="U91" s="70">
        <f t="shared" si="50"/>
        <v>1</v>
      </c>
      <c r="V91" s="70">
        <f t="shared" si="51"/>
        <v>1</v>
      </c>
      <c r="W91" s="469">
        <v>4</v>
      </c>
      <c r="X91" s="68" t="s">
        <v>1401</v>
      </c>
      <c r="Y91" s="6">
        <f t="shared" si="52"/>
        <v>2</v>
      </c>
      <c r="Z91" s="6">
        <f t="shared" si="53"/>
        <v>1001</v>
      </c>
      <c r="AA91" s="6">
        <v>3</v>
      </c>
      <c r="AB91" s="68" t="s">
        <v>1405</v>
      </c>
      <c r="AC91" s="6">
        <f t="shared" si="54"/>
        <v>2</v>
      </c>
      <c r="AD91" s="6">
        <f t="shared" si="55"/>
        <v>1004</v>
      </c>
      <c r="AE91" s="6">
        <v>3</v>
      </c>
    </row>
    <row r="92" spans="1:31" x14ac:dyDescent="0.35">
      <c r="A92" s="1">
        <v>88</v>
      </c>
      <c r="B92" s="86">
        <f t="shared" si="46"/>
        <v>639360</v>
      </c>
      <c r="C92" s="39" t="str">
        <f t="shared" si="47"/>
        <v>1|1|4</v>
      </c>
      <c r="D92" s="39" t="str">
        <f t="shared" si="24"/>
        <v>2|1002|3</v>
      </c>
      <c r="E92" s="39" t="str">
        <f t="shared" si="25"/>
        <v>2|1004|3</v>
      </c>
      <c r="F92" s="39" t="str">
        <f t="shared" si="43"/>
        <v/>
      </c>
      <c r="G92" s="39" t="str">
        <f t="shared" si="44"/>
        <v/>
      </c>
      <c r="H92" s="39">
        <v>0</v>
      </c>
      <c r="L92" s="1">
        <v>1850</v>
      </c>
      <c r="M92" s="1">
        <f>SUM($L$5:L92)</f>
        <v>35263</v>
      </c>
      <c r="N92" s="463">
        <f t="shared" si="48"/>
        <v>146.92916666666667</v>
      </c>
      <c r="O92" s="1">
        <v>0.96</v>
      </c>
      <c r="P92" s="1">
        <f t="shared" si="45"/>
        <v>345.59999999999997</v>
      </c>
      <c r="Q92" s="1">
        <f t="shared" si="49"/>
        <v>639360</v>
      </c>
      <c r="T92" s="6" t="s">
        <v>1369</v>
      </c>
      <c r="U92" s="70">
        <f t="shared" si="50"/>
        <v>1</v>
      </c>
      <c r="V92" s="70">
        <f t="shared" si="51"/>
        <v>1</v>
      </c>
      <c r="W92" s="469">
        <v>4</v>
      </c>
      <c r="X92" s="68" t="s">
        <v>1402</v>
      </c>
      <c r="Y92" s="6">
        <f t="shared" si="52"/>
        <v>2</v>
      </c>
      <c r="Z92" s="6">
        <f t="shared" si="53"/>
        <v>1002</v>
      </c>
      <c r="AA92" s="6">
        <v>3</v>
      </c>
      <c r="AB92" s="68" t="s">
        <v>1405</v>
      </c>
      <c r="AC92" s="6">
        <f t="shared" si="54"/>
        <v>2</v>
      </c>
      <c r="AD92" s="6">
        <f t="shared" si="55"/>
        <v>1004</v>
      </c>
      <c r="AE92" s="6">
        <v>3</v>
      </c>
    </row>
    <row r="93" spans="1:31" x14ac:dyDescent="0.35">
      <c r="A93" s="1">
        <v>89</v>
      </c>
      <c r="B93" s="86">
        <f t="shared" si="46"/>
        <v>673920</v>
      </c>
      <c r="C93" s="39" t="str">
        <f t="shared" si="47"/>
        <v>1|1|4</v>
      </c>
      <c r="D93" s="39" t="str">
        <f t="shared" si="24"/>
        <v>2|1001|3</v>
      </c>
      <c r="E93" s="39" t="str">
        <f t="shared" si="25"/>
        <v>2|1003|1</v>
      </c>
      <c r="F93" s="39" t="str">
        <f t="shared" si="43"/>
        <v/>
      </c>
      <c r="G93" s="39" t="str">
        <f t="shared" si="44"/>
        <v/>
      </c>
      <c r="H93" s="39">
        <v>0</v>
      </c>
      <c r="L93" s="1">
        <v>1950</v>
      </c>
      <c r="M93" s="464">
        <f>SUM($L$5:L93)</f>
        <v>37213</v>
      </c>
      <c r="N93" s="463">
        <f t="shared" si="48"/>
        <v>155.05416666666667</v>
      </c>
      <c r="O93" s="1">
        <v>0.96</v>
      </c>
      <c r="P93" s="1">
        <f t="shared" si="45"/>
        <v>345.59999999999997</v>
      </c>
      <c r="Q93" s="1">
        <f t="shared" si="49"/>
        <v>673920</v>
      </c>
      <c r="T93" s="6" t="s">
        <v>1369</v>
      </c>
      <c r="U93" s="70">
        <f t="shared" si="50"/>
        <v>1</v>
      </c>
      <c r="V93" s="70">
        <f t="shared" si="51"/>
        <v>1</v>
      </c>
      <c r="W93" s="469">
        <v>4</v>
      </c>
      <c r="X93" s="68" t="s">
        <v>1401</v>
      </c>
      <c r="Y93" s="6">
        <f t="shared" si="52"/>
        <v>2</v>
      </c>
      <c r="Z93" s="6">
        <f t="shared" si="53"/>
        <v>1001</v>
      </c>
      <c r="AA93" s="6">
        <v>3</v>
      </c>
      <c r="AB93" s="68" t="s">
        <v>1406</v>
      </c>
      <c r="AC93" s="6">
        <f t="shared" si="54"/>
        <v>2</v>
      </c>
      <c r="AD93" s="6">
        <f t="shared" si="55"/>
        <v>1003</v>
      </c>
      <c r="AE93" s="6">
        <v>1</v>
      </c>
    </row>
    <row r="94" spans="1:31" x14ac:dyDescent="0.35">
      <c r="A94" s="1">
        <v>90</v>
      </c>
      <c r="B94" s="86">
        <f t="shared" si="46"/>
        <v>743040</v>
      </c>
      <c r="C94" s="39" t="str">
        <f t="shared" si="47"/>
        <v>1|1|4</v>
      </c>
      <c r="D94" s="39" t="str">
        <f t="shared" si="24"/>
        <v>2|1002|3</v>
      </c>
      <c r="E94" s="39" t="str">
        <f t="shared" si="25"/>
        <v>2|1004|3</v>
      </c>
      <c r="F94" s="39" t="str">
        <f t="shared" si="43"/>
        <v/>
      </c>
      <c r="G94" s="39" t="str">
        <f t="shared" si="44"/>
        <v/>
      </c>
      <c r="H94" s="39">
        <v>0</v>
      </c>
      <c r="L94" s="1">
        <v>2150</v>
      </c>
      <c r="M94" s="1">
        <f>SUM($L$5:L94)</f>
        <v>39363</v>
      </c>
      <c r="N94" s="463">
        <f t="shared" si="48"/>
        <v>164.01249999999999</v>
      </c>
      <c r="O94" s="1">
        <v>0.96</v>
      </c>
      <c r="P94" s="1">
        <f t="shared" si="45"/>
        <v>345.59999999999997</v>
      </c>
      <c r="Q94" s="1">
        <f t="shared" si="49"/>
        <v>743040</v>
      </c>
      <c r="T94" s="6" t="s">
        <v>1369</v>
      </c>
      <c r="U94" s="70">
        <f t="shared" si="50"/>
        <v>1</v>
      </c>
      <c r="V94" s="70">
        <f t="shared" si="51"/>
        <v>1</v>
      </c>
      <c r="W94" s="469">
        <v>4</v>
      </c>
      <c r="X94" s="68" t="s">
        <v>1402</v>
      </c>
      <c r="Y94" s="6">
        <f t="shared" si="52"/>
        <v>2</v>
      </c>
      <c r="Z94" s="6">
        <f t="shared" si="53"/>
        <v>1002</v>
      </c>
      <c r="AA94" s="6">
        <v>3</v>
      </c>
      <c r="AB94" s="68" t="s">
        <v>1405</v>
      </c>
      <c r="AC94" s="6">
        <f t="shared" si="54"/>
        <v>2</v>
      </c>
      <c r="AD94" s="6">
        <f t="shared" si="55"/>
        <v>1004</v>
      </c>
      <c r="AE94" s="6">
        <v>3</v>
      </c>
    </row>
    <row r="95" spans="1:31" x14ac:dyDescent="0.35">
      <c r="A95" s="1">
        <v>91</v>
      </c>
      <c r="B95" s="86">
        <f t="shared" si="46"/>
        <v>812160</v>
      </c>
      <c r="C95" s="39" t="str">
        <f t="shared" si="47"/>
        <v>1|1|4</v>
      </c>
      <c r="D95" s="39" t="str">
        <f t="shared" si="24"/>
        <v>2|1001|3</v>
      </c>
      <c r="E95" s="39" t="str">
        <f t="shared" si="25"/>
        <v>2|1002|3</v>
      </c>
      <c r="F95" s="39" t="str">
        <f t="shared" si="43"/>
        <v/>
      </c>
      <c r="G95" s="39" t="str">
        <f t="shared" si="44"/>
        <v/>
      </c>
      <c r="H95" s="39">
        <v>0</v>
      </c>
      <c r="L95" s="1">
        <v>2350</v>
      </c>
      <c r="M95" s="1">
        <f>SUM($L$5:L95)</f>
        <v>41713</v>
      </c>
      <c r="N95" s="463">
        <f t="shared" si="48"/>
        <v>173.80416666666667</v>
      </c>
      <c r="O95" s="1">
        <v>0.96</v>
      </c>
      <c r="P95" s="1">
        <f t="shared" si="45"/>
        <v>345.59999999999997</v>
      </c>
      <c r="Q95" s="1">
        <f t="shared" si="49"/>
        <v>812160</v>
      </c>
      <c r="T95" s="6" t="s">
        <v>1369</v>
      </c>
      <c r="U95" s="70">
        <f t="shared" ref="U95:U103" si="56">VLOOKUP(T95,AU:AZ,4,0)</f>
        <v>1</v>
      </c>
      <c r="V95" s="70">
        <f t="shared" ref="V95:V103" si="57">VLOOKUP(T95,AU:AZ,5,0)</f>
        <v>1</v>
      </c>
      <c r="W95" s="469">
        <v>4</v>
      </c>
      <c r="X95" s="68" t="s">
        <v>1401</v>
      </c>
      <c r="Y95" s="6">
        <f t="shared" ref="Y95:Y103" si="58">VLOOKUP(X95,AU:AZ,4,0)</f>
        <v>2</v>
      </c>
      <c r="Z95" s="6">
        <f t="shared" ref="Z95:Z103" si="59">VLOOKUP(X95,AU:AZ,5,0)</f>
        <v>1001</v>
      </c>
      <c r="AA95" s="6">
        <v>3</v>
      </c>
      <c r="AB95" s="68" t="s">
        <v>1402</v>
      </c>
      <c r="AC95" s="6">
        <f t="shared" ref="AC95:AC103" si="60">VLOOKUP(AB95,AU:AZ,4,0)</f>
        <v>2</v>
      </c>
      <c r="AD95" s="6">
        <f t="shared" ref="AD95:AD103" si="61">VLOOKUP(AB95,AU:AZ,5,0)</f>
        <v>1002</v>
      </c>
      <c r="AE95" s="6">
        <v>3</v>
      </c>
    </row>
    <row r="96" spans="1:31" x14ac:dyDescent="0.35">
      <c r="A96" s="1">
        <v>92</v>
      </c>
      <c r="B96" s="86">
        <f t="shared" si="46"/>
        <v>881280</v>
      </c>
      <c r="C96" s="39" t="str">
        <f t="shared" si="47"/>
        <v>1|1|4</v>
      </c>
      <c r="D96" s="39" t="str">
        <f t="shared" si="24"/>
        <v>2|1002|3</v>
      </c>
      <c r="E96" s="39" t="str">
        <f t="shared" si="25"/>
        <v>2|1004|3</v>
      </c>
      <c r="F96" s="39" t="str">
        <f t="shared" si="43"/>
        <v/>
      </c>
      <c r="G96" s="39" t="str">
        <f t="shared" si="44"/>
        <v/>
      </c>
      <c r="H96" s="39">
        <v>0</v>
      </c>
      <c r="L96" s="1">
        <v>2550</v>
      </c>
      <c r="M96" s="1">
        <f>SUM($L$5:L96)</f>
        <v>44263</v>
      </c>
      <c r="N96" s="463">
        <f t="shared" si="48"/>
        <v>184.42916666666667</v>
      </c>
      <c r="O96" s="1">
        <v>0.96</v>
      </c>
      <c r="P96" s="1">
        <f t="shared" si="45"/>
        <v>345.59999999999997</v>
      </c>
      <c r="Q96" s="1">
        <f t="shared" si="49"/>
        <v>881280</v>
      </c>
      <c r="T96" s="6" t="s">
        <v>1369</v>
      </c>
      <c r="U96" s="70">
        <f t="shared" si="56"/>
        <v>1</v>
      </c>
      <c r="V96" s="70">
        <f t="shared" si="57"/>
        <v>1</v>
      </c>
      <c r="W96" s="469">
        <v>4</v>
      </c>
      <c r="X96" s="68" t="s">
        <v>1402</v>
      </c>
      <c r="Y96" s="6">
        <f t="shared" si="58"/>
        <v>2</v>
      </c>
      <c r="Z96" s="6">
        <f t="shared" si="59"/>
        <v>1002</v>
      </c>
      <c r="AA96" s="6">
        <v>3</v>
      </c>
      <c r="AB96" s="68" t="s">
        <v>1405</v>
      </c>
      <c r="AC96" s="6">
        <f t="shared" si="60"/>
        <v>2</v>
      </c>
      <c r="AD96" s="6">
        <f t="shared" si="61"/>
        <v>1004</v>
      </c>
      <c r="AE96" s="6">
        <v>3</v>
      </c>
    </row>
    <row r="97" spans="1:31" x14ac:dyDescent="0.35">
      <c r="A97" s="1">
        <v>93</v>
      </c>
      <c r="B97" s="86">
        <f t="shared" si="46"/>
        <v>950400</v>
      </c>
      <c r="C97" s="39" t="str">
        <f t="shared" si="47"/>
        <v>1|1|4</v>
      </c>
      <c r="D97" s="39" t="str">
        <f t="shared" si="24"/>
        <v>2|1001|3</v>
      </c>
      <c r="E97" s="39" t="str">
        <f t="shared" si="25"/>
        <v>2|1004|3</v>
      </c>
      <c r="F97" s="39" t="str">
        <f t="shared" si="43"/>
        <v/>
      </c>
      <c r="G97" s="39" t="str">
        <f t="shared" si="44"/>
        <v/>
      </c>
      <c r="H97" s="39">
        <v>0</v>
      </c>
      <c r="L97" s="1">
        <v>2750</v>
      </c>
      <c r="M97" s="1">
        <f>SUM($L$5:L97)</f>
        <v>47013</v>
      </c>
      <c r="N97" s="463">
        <f t="shared" si="48"/>
        <v>195.88749999999999</v>
      </c>
      <c r="O97" s="1">
        <v>0.96</v>
      </c>
      <c r="P97" s="1">
        <f t="shared" si="45"/>
        <v>345.59999999999997</v>
      </c>
      <c r="Q97" s="1">
        <f t="shared" si="49"/>
        <v>950400</v>
      </c>
      <c r="T97" s="6" t="s">
        <v>1369</v>
      </c>
      <c r="U97" s="70">
        <f t="shared" si="56"/>
        <v>1</v>
      </c>
      <c r="V97" s="70">
        <f t="shared" si="57"/>
        <v>1</v>
      </c>
      <c r="W97" s="469">
        <v>4</v>
      </c>
      <c r="X97" s="68" t="s">
        <v>1401</v>
      </c>
      <c r="Y97" s="6">
        <f t="shared" si="58"/>
        <v>2</v>
      </c>
      <c r="Z97" s="6">
        <f t="shared" si="59"/>
        <v>1001</v>
      </c>
      <c r="AA97" s="6">
        <v>3</v>
      </c>
      <c r="AB97" s="68" t="s">
        <v>1405</v>
      </c>
      <c r="AC97" s="6">
        <f t="shared" si="60"/>
        <v>2</v>
      </c>
      <c r="AD97" s="6">
        <f t="shared" si="61"/>
        <v>1004</v>
      </c>
      <c r="AE97" s="6">
        <v>3</v>
      </c>
    </row>
    <row r="98" spans="1:31" x14ac:dyDescent="0.35">
      <c r="A98" s="1">
        <v>94</v>
      </c>
      <c r="B98" s="86">
        <f t="shared" si="46"/>
        <v>1019520</v>
      </c>
      <c r="C98" s="39" t="str">
        <f t="shared" si="47"/>
        <v>1|1|4</v>
      </c>
      <c r="D98" s="39" t="str">
        <f t="shared" si="24"/>
        <v>2|1002|3</v>
      </c>
      <c r="E98" s="39" t="str">
        <f t="shared" si="25"/>
        <v>2|1003|1</v>
      </c>
      <c r="F98" s="39" t="str">
        <f t="shared" si="43"/>
        <v/>
      </c>
      <c r="G98" s="39" t="str">
        <f t="shared" si="44"/>
        <v/>
      </c>
      <c r="H98" s="39">
        <v>0</v>
      </c>
      <c r="L98" s="1">
        <v>2950</v>
      </c>
      <c r="M98" s="1">
        <f>SUM($L$5:L98)</f>
        <v>49963</v>
      </c>
      <c r="N98" s="463">
        <f t="shared" si="48"/>
        <v>208.17916666666667</v>
      </c>
      <c r="O98" s="1">
        <v>0.96</v>
      </c>
      <c r="P98" s="1">
        <f t="shared" si="45"/>
        <v>345.59999999999997</v>
      </c>
      <c r="Q98" s="1">
        <f t="shared" si="49"/>
        <v>1019520</v>
      </c>
      <c r="T98" s="6" t="s">
        <v>1369</v>
      </c>
      <c r="U98" s="70">
        <f t="shared" si="56"/>
        <v>1</v>
      </c>
      <c r="V98" s="70">
        <f t="shared" si="57"/>
        <v>1</v>
      </c>
      <c r="W98" s="469">
        <v>4</v>
      </c>
      <c r="X98" s="68" t="s">
        <v>1402</v>
      </c>
      <c r="Y98" s="6">
        <f t="shared" si="58"/>
        <v>2</v>
      </c>
      <c r="Z98" s="6">
        <f t="shared" si="59"/>
        <v>1002</v>
      </c>
      <c r="AA98" s="6">
        <v>3</v>
      </c>
      <c r="AB98" s="68" t="s">
        <v>1406</v>
      </c>
      <c r="AC98" s="6">
        <f t="shared" si="60"/>
        <v>2</v>
      </c>
      <c r="AD98" s="6">
        <f t="shared" si="61"/>
        <v>1003</v>
      </c>
      <c r="AE98" s="6">
        <v>1</v>
      </c>
    </row>
    <row r="99" spans="1:31" x14ac:dyDescent="0.35">
      <c r="A99" s="1">
        <v>95</v>
      </c>
      <c r="B99" s="86">
        <f t="shared" si="46"/>
        <v>1088640</v>
      </c>
      <c r="C99" s="39" t="str">
        <f t="shared" si="47"/>
        <v>1|1|5</v>
      </c>
      <c r="D99" s="39" t="str">
        <f t="shared" si="24"/>
        <v>2|1001|3</v>
      </c>
      <c r="E99" s="39" t="str">
        <f t="shared" si="25"/>
        <v>2|1002|3</v>
      </c>
      <c r="F99" s="39" t="str">
        <f t="shared" si="43"/>
        <v/>
      </c>
      <c r="G99" s="39" t="str">
        <f t="shared" si="44"/>
        <v/>
      </c>
      <c r="H99" s="39">
        <v>0</v>
      </c>
      <c r="L99" s="1">
        <v>3150</v>
      </c>
      <c r="M99" s="1">
        <f>SUM($L$5:L99)</f>
        <v>53113</v>
      </c>
      <c r="N99" s="463">
        <f t="shared" si="48"/>
        <v>221.30416666666667</v>
      </c>
      <c r="O99" s="1">
        <v>0.96</v>
      </c>
      <c r="P99" s="1">
        <f t="shared" si="45"/>
        <v>345.59999999999997</v>
      </c>
      <c r="Q99" s="1">
        <f t="shared" si="49"/>
        <v>1088640</v>
      </c>
      <c r="T99" s="6" t="s">
        <v>1369</v>
      </c>
      <c r="U99" s="70">
        <f t="shared" si="56"/>
        <v>1</v>
      </c>
      <c r="V99" s="70">
        <f t="shared" si="57"/>
        <v>1</v>
      </c>
      <c r="W99" s="469">
        <v>5</v>
      </c>
      <c r="X99" s="68" t="s">
        <v>1401</v>
      </c>
      <c r="Y99" s="6">
        <f t="shared" si="58"/>
        <v>2</v>
      </c>
      <c r="Z99" s="6">
        <f t="shared" si="59"/>
        <v>1001</v>
      </c>
      <c r="AA99" s="6">
        <v>3</v>
      </c>
      <c r="AB99" s="68" t="s">
        <v>1402</v>
      </c>
      <c r="AC99" s="6">
        <f t="shared" si="60"/>
        <v>2</v>
      </c>
      <c r="AD99" s="6">
        <f t="shared" si="61"/>
        <v>1002</v>
      </c>
      <c r="AE99" s="6">
        <v>3</v>
      </c>
    </row>
    <row r="100" spans="1:31" x14ac:dyDescent="0.35">
      <c r="A100" s="1">
        <v>96</v>
      </c>
      <c r="B100" s="86">
        <f t="shared" si="46"/>
        <v>1157760</v>
      </c>
      <c r="C100" s="39" t="str">
        <f t="shared" si="47"/>
        <v>1|1|5</v>
      </c>
      <c r="D100" s="39" t="str">
        <f t="shared" si="24"/>
        <v>2|1002|3</v>
      </c>
      <c r="E100" s="39" t="str">
        <f t="shared" si="25"/>
        <v>2|1004|3</v>
      </c>
      <c r="F100" s="39" t="str">
        <f t="shared" si="43"/>
        <v/>
      </c>
      <c r="G100" s="39" t="str">
        <f t="shared" si="44"/>
        <v/>
      </c>
      <c r="H100" s="39">
        <v>0</v>
      </c>
      <c r="L100" s="1">
        <v>3350</v>
      </c>
      <c r="M100" s="1">
        <f>SUM($L$5:L100)</f>
        <v>56463</v>
      </c>
      <c r="N100" s="463">
        <f t="shared" si="48"/>
        <v>235.26249999999999</v>
      </c>
      <c r="O100" s="1">
        <v>0.96</v>
      </c>
      <c r="P100" s="1">
        <f t="shared" si="45"/>
        <v>345.59999999999997</v>
      </c>
      <c r="Q100" s="1">
        <f t="shared" si="49"/>
        <v>1157760</v>
      </c>
      <c r="T100" s="6" t="s">
        <v>1369</v>
      </c>
      <c r="U100" s="70">
        <f t="shared" si="56"/>
        <v>1</v>
      </c>
      <c r="V100" s="70">
        <f t="shared" si="57"/>
        <v>1</v>
      </c>
      <c r="W100" s="469">
        <v>5</v>
      </c>
      <c r="X100" s="68" t="s">
        <v>1402</v>
      </c>
      <c r="Y100" s="6">
        <f t="shared" si="58"/>
        <v>2</v>
      </c>
      <c r="Z100" s="6">
        <f t="shared" si="59"/>
        <v>1002</v>
      </c>
      <c r="AA100" s="6">
        <v>3</v>
      </c>
      <c r="AB100" s="68" t="s">
        <v>1405</v>
      </c>
      <c r="AC100" s="6">
        <f t="shared" si="60"/>
        <v>2</v>
      </c>
      <c r="AD100" s="6">
        <f t="shared" si="61"/>
        <v>1004</v>
      </c>
      <c r="AE100" s="6">
        <v>3</v>
      </c>
    </row>
    <row r="101" spans="1:31" x14ac:dyDescent="0.35">
      <c r="A101" s="1">
        <v>97</v>
      </c>
      <c r="B101" s="86">
        <f t="shared" si="46"/>
        <v>1226880</v>
      </c>
      <c r="C101" s="39" t="str">
        <f t="shared" si="47"/>
        <v>1|1|5</v>
      </c>
      <c r="D101" s="39" t="str">
        <f t="shared" si="24"/>
        <v>2|1001|3</v>
      </c>
      <c r="E101" s="39" t="str">
        <f t="shared" si="25"/>
        <v>2|1004|3</v>
      </c>
      <c r="F101" s="39" t="str">
        <f t="shared" si="43"/>
        <v/>
      </c>
      <c r="G101" s="39" t="str">
        <f t="shared" si="44"/>
        <v/>
      </c>
      <c r="H101" s="39">
        <v>0</v>
      </c>
      <c r="L101" s="1">
        <v>3550</v>
      </c>
      <c r="M101" s="1">
        <f>SUM($L$5:L101)</f>
        <v>60013</v>
      </c>
      <c r="N101" s="463">
        <f t="shared" si="48"/>
        <v>250.05416666666667</v>
      </c>
      <c r="O101" s="1">
        <v>0.96</v>
      </c>
      <c r="P101" s="1">
        <f t="shared" ref="P101:P103" si="62">$M$3*O101*60</f>
        <v>345.59999999999997</v>
      </c>
      <c r="Q101" s="1">
        <f t="shared" si="49"/>
        <v>1226880</v>
      </c>
      <c r="T101" s="6" t="s">
        <v>1369</v>
      </c>
      <c r="U101" s="70">
        <f t="shared" si="56"/>
        <v>1</v>
      </c>
      <c r="V101" s="70">
        <f t="shared" si="57"/>
        <v>1</v>
      </c>
      <c r="W101" s="469">
        <v>5</v>
      </c>
      <c r="X101" s="68" t="s">
        <v>1401</v>
      </c>
      <c r="Y101" s="6">
        <f t="shared" si="58"/>
        <v>2</v>
      </c>
      <c r="Z101" s="6">
        <f t="shared" si="59"/>
        <v>1001</v>
      </c>
      <c r="AA101" s="6">
        <v>3</v>
      </c>
      <c r="AB101" s="68" t="s">
        <v>1405</v>
      </c>
      <c r="AC101" s="6">
        <f t="shared" si="60"/>
        <v>2</v>
      </c>
      <c r="AD101" s="6">
        <f t="shared" si="61"/>
        <v>1004</v>
      </c>
      <c r="AE101" s="6">
        <v>3</v>
      </c>
    </row>
    <row r="102" spans="1:31" x14ac:dyDescent="0.35">
      <c r="A102" s="1">
        <v>98</v>
      </c>
      <c r="B102" s="86">
        <f t="shared" si="46"/>
        <v>1296000</v>
      </c>
      <c r="C102" s="39" t="str">
        <f t="shared" si="47"/>
        <v>1|1|5</v>
      </c>
      <c r="D102" s="39" t="str">
        <f t="shared" si="24"/>
        <v>2|1002|3</v>
      </c>
      <c r="E102" s="39" t="str">
        <f t="shared" si="25"/>
        <v>2|1004|3</v>
      </c>
      <c r="F102" s="39" t="str">
        <f t="shared" si="43"/>
        <v/>
      </c>
      <c r="G102" s="39" t="str">
        <f t="shared" si="44"/>
        <v/>
      </c>
      <c r="H102" s="39">
        <v>0</v>
      </c>
      <c r="L102" s="1">
        <v>3750</v>
      </c>
      <c r="M102" s="1">
        <f>SUM($L$5:L102)</f>
        <v>63763</v>
      </c>
      <c r="N102" s="463">
        <f t="shared" si="48"/>
        <v>265.67916666666667</v>
      </c>
      <c r="O102" s="1">
        <v>0.96</v>
      </c>
      <c r="P102" s="1">
        <f t="shared" si="62"/>
        <v>345.59999999999997</v>
      </c>
      <c r="Q102" s="1">
        <f t="shared" si="49"/>
        <v>1296000</v>
      </c>
      <c r="T102" s="6" t="s">
        <v>1369</v>
      </c>
      <c r="U102" s="70">
        <f t="shared" si="56"/>
        <v>1</v>
      </c>
      <c r="V102" s="70">
        <f t="shared" si="57"/>
        <v>1</v>
      </c>
      <c r="W102" s="469">
        <v>5</v>
      </c>
      <c r="X102" s="68" t="s">
        <v>1402</v>
      </c>
      <c r="Y102" s="6">
        <f t="shared" si="58"/>
        <v>2</v>
      </c>
      <c r="Z102" s="6">
        <f t="shared" si="59"/>
        <v>1002</v>
      </c>
      <c r="AA102" s="6">
        <v>3</v>
      </c>
      <c r="AB102" s="68" t="s">
        <v>1405</v>
      </c>
      <c r="AC102" s="6">
        <f t="shared" si="60"/>
        <v>2</v>
      </c>
      <c r="AD102" s="6">
        <f t="shared" si="61"/>
        <v>1004</v>
      </c>
      <c r="AE102" s="6">
        <v>3</v>
      </c>
    </row>
    <row r="103" spans="1:31" x14ac:dyDescent="0.35">
      <c r="A103" s="1">
        <v>99</v>
      </c>
      <c r="B103" s="86">
        <f t="shared" si="46"/>
        <v>1365120</v>
      </c>
      <c r="C103" s="39" t="str">
        <f t="shared" si="47"/>
        <v>1|1|5</v>
      </c>
      <c r="D103" s="39" t="str">
        <f t="shared" si="24"/>
        <v>2|1001|3</v>
      </c>
      <c r="E103" s="39" t="str">
        <f t="shared" si="25"/>
        <v>2|1003|1</v>
      </c>
      <c r="F103" s="39" t="str">
        <f t="shared" si="43"/>
        <v/>
      </c>
      <c r="G103" s="39" t="str">
        <f t="shared" si="44"/>
        <v/>
      </c>
      <c r="H103" s="39">
        <v>0</v>
      </c>
      <c r="L103" s="1">
        <v>3950</v>
      </c>
      <c r="M103" s="464">
        <f>SUM($L$5:L103)</f>
        <v>67713</v>
      </c>
      <c r="N103" s="463">
        <f t="shared" si="48"/>
        <v>282.13749999999999</v>
      </c>
      <c r="O103" s="1">
        <v>0.96</v>
      </c>
      <c r="P103" s="1">
        <f t="shared" si="62"/>
        <v>345.59999999999997</v>
      </c>
      <c r="Q103" s="1">
        <f t="shared" si="49"/>
        <v>1365120</v>
      </c>
      <c r="T103" s="6" t="s">
        <v>1369</v>
      </c>
      <c r="U103" s="70">
        <f t="shared" si="56"/>
        <v>1</v>
      </c>
      <c r="V103" s="70">
        <f t="shared" si="57"/>
        <v>1</v>
      </c>
      <c r="W103" s="469">
        <v>5</v>
      </c>
      <c r="X103" s="68" t="s">
        <v>1401</v>
      </c>
      <c r="Y103" s="6">
        <f t="shared" si="58"/>
        <v>2</v>
      </c>
      <c r="Z103" s="6">
        <f t="shared" si="59"/>
        <v>1001</v>
      </c>
      <c r="AA103" s="6">
        <v>3</v>
      </c>
      <c r="AB103" s="68" t="s">
        <v>1406</v>
      </c>
      <c r="AC103" s="6">
        <f t="shared" si="60"/>
        <v>2</v>
      </c>
      <c r="AD103" s="6">
        <f t="shared" si="61"/>
        <v>1003</v>
      </c>
      <c r="AE103" s="6">
        <v>1</v>
      </c>
    </row>
  </sheetData>
  <phoneticPr fontId="64" type="noConversion"/>
  <conditionalFormatting sqref="AO3">
    <cfRule type="containsText" dxfId="2361" priority="67" operator="containsText" text=" ">
      <formula>NOT(ISERROR(SEARCH(" ",AO3)))</formula>
    </cfRule>
  </conditionalFormatting>
  <conditionalFormatting sqref="P4:Q4">
    <cfRule type="containsText" dxfId="2360" priority="311" operator="containsText" text=" ">
      <formula>NOT(ISERROR(SEARCH(" ",P4)))</formula>
    </cfRule>
  </conditionalFormatting>
  <conditionalFormatting sqref="AE4">
    <cfRule type="containsText" dxfId="2359" priority="439" operator="containsText" text=" ">
      <formula>NOT(ISERROR(SEARCH(" ",AE4)))</formula>
    </cfRule>
  </conditionalFormatting>
  <conditionalFormatting sqref="AF4">
    <cfRule type="containsText" dxfId="2358" priority="103" operator="containsText" text=" ">
      <formula>NOT(ISERROR(SEARCH(" ",AF4)))</formula>
    </cfRule>
  </conditionalFormatting>
  <conditionalFormatting sqref="AN4:AQ4">
    <cfRule type="containsText" dxfId="2357" priority="309" operator="containsText" text=" ">
      <formula>NOT(ISERROR(SEARCH(" ",AN4)))</formula>
    </cfRule>
  </conditionalFormatting>
  <conditionalFormatting sqref="AB7">
    <cfRule type="containsText" dxfId="2356" priority="434" operator="containsText" text=" ">
      <formula>NOT(ISERROR(SEARCH(" ",AB7)))</formula>
    </cfRule>
  </conditionalFormatting>
  <conditionalFormatting sqref="AB10">
    <cfRule type="containsText" dxfId="2355" priority="15" operator="containsText" text=" ">
      <formula>NOT(ISERROR(SEARCH(" ",AB10)))</formula>
    </cfRule>
    <cfRule type="containsText" dxfId="2354" priority="16" operator="containsText" text=" ">
      <formula>NOT(ISERROR(SEARCH(" ",AB10)))</formula>
    </cfRule>
  </conditionalFormatting>
  <conditionalFormatting sqref="AB11">
    <cfRule type="containsText" dxfId="2353" priority="95" operator="containsText" text=" ">
      <formula>NOT(ISERROR(SEARCH(" ",AB11)))</formula>
    </cfRule>
  </conditionalFormatting>
  <conditionalFormatting sqref="AB12">
    <cfRule type="containsText" dxfId="2352" priority="93" operator="containsText" text=" ">
      <formula>NOT(ISERROR(SEARCH(" ",AB12)))</formula>
    </cfRule>
    <cfRule type="containsText" dxfId="2351" priority="97" operator="containsText" text=" ">
      <formula>NOT(ISERROR(SEARCH(" ",AB12)))</formula>
    </cfRule>
  </conditionalFormatting>
  <conditionalFormatting sqref="AB13">
    <cfRule type="containsText" dxfId="2350" priority="94" operator="containsText" text=" ">
      <formula>NOT(ISERROR(SEARCH(" ",AB13)))</formula>
    </cfRule>
    <cfRule type="containsText" dxfId="2349" priority="431" operator="containsText" text=" ">
      <formula>NOT(ISERROR(SEARCH(" ",AB13)))</formula>
    </cfRule>
  </conditionalFormatting>
  <conditionalFormatting sqref="AB16">
    <cfRule type="containsText" dxfId="2348" priority="39" operator="containsText" text=" ">
      <formula>NOT(ISERROR(SEARCH(" ",AB16)))</formula>
    </cfRule>
  </conditionalFormatting>
  <conditionalFormatting sqref="AB17">
    <cfRule type="containsText" dxfId="2347" priority="31" operator="containsText" text=" ">
      <formula>NOT(ISERROR(SEARCH(" ",AB17)))</formula>
    </cfRule>
    <cfRule type="containsText" dxfId="2346" priority="41" operator="containsText" text=" ">
      <formula>NOT(ISERROR(SEARCH(" ",AB17)))</formula>
    </cfRule>
  </conditionalFormatting>
  <conditionalFormatting sqref="AB18">
    <cfRule type="containsText" dxfId="2345" priority="32" operator="containsText" text=" ">
      <formula>NOT(ISERROR(SEARCH(" ",AB18)))</formula>
    </cfRule>
  </conditionalFormatting>
  <conditionalFormatting sqref="AB20">
    <cfRule type="containsText" dxfId="2344" priority="35" operator="containsText" text=" ">
      <formula>NOT(ISERROR(SEARCH(" ",AB20)))</formula>
    </cfRule>
  </conditionalFormatting>
  <conditionalFormatting sqref="AB21">
    <cfRule type="containsText" dxfId="2343" priority="28" operator="containsText" text=" ">
      <formula>NOT(ISERROR(SEARCH(" ",AB21)))</formula>
    </cfRule>
    <cfRule type="containsText" dxfId="2342" priority="33" operator="containsText" text=" ">
      <formula>NOT(ISERROR(SEARCH(" ",AB21)))</formula>
    </cfRule>
    <cfRule type="containsText" dxfId="2341" priority="37" operator="containsText" text=" ">
      <formula>NOT(ISERROR(SEARCH(" ",AB21)))</formula>
    </cfRule>
  </conditionalFormatting>
  <conditionalFormatting sqref="AB22">
    <cfRule type="containsText" dxfId="2340" priority="26" operator="containsText" text=" ">
      <formula>NOT(ISERROR(SEARCH(" ",AB22)))</formula>
    </cfRule>
    <cfRule type="containsText" dxfId="2339" priority="29" operator="containsText" text=" ">
      <formula>NOT(ISERROR(SEARCH(" ",AB22)))</formula>
    </cfRule>
    <cfRule type="containsText" dxfId="2338" priority="34" operator="containsText" text=" ">
      <formula>NOT(ISERROR(SEARCH(" ",AB22)))</formula>
    </cfRule>
    <cfRule type="containsText" dxfId="2337" priority="38" operator="containsText" text=" ">
      <formula>NOT(ISERROR(SEARCH(" ",AB22)))</formula>
    </cfRule>
  </conditionalFormatting>
  <conditionalFormatting sqref="AB23">
    <cfRule type="containsText" dxfId="2336" priority="27" operator="containsText" text=" ">
      <formula>NOT(ISERROR(SEARCH(" ",AB23)))</formula>
    </cfRule>
    <cfRule type="containsText" dxfId="2335" priority="30" operator="containsText" text=" ">
      <formula>NOT(ISERROR(SEARCH(" ",AB23)))</formula>
    </cfRule>
    <cfRule type="containsText" dxfId="2334" priority="430" operator="containsText" text=" ">
      <formula>NOT(ISERROR(SEARCH(" ",AB23)))</formula>
    </cfRule>
  </conditionalFormatting>
  <conditionalFormatting sqref="AF23">
    <cfRule type="containsText" dxfId="2333" priority="425" operator="containsText" text=" ">
      <formula>NOT(ISERROR(SEARCH(" ",AF23)))</formula>
    </cfRule>
  </conditionalFormatting>
  <conditionalFormatting sqref="AF24">
    <cfRule type="containsText" dxfId="2332" priority="422" operator="containsText" text=" ">
      <formula>NOT(ISERROR(SEARCH(" ",AF24)))</formula>
    </cfRule>
  </conditionalFormatting>
  <conditionalFormatting sqref="AF25">
    <cfRule type="containsText" dxfId="2331" priority="421" operator="containsText" text=" ">
      <formula>NOT(ISERROR(SEARCH(" ",AF25)))</formula>
    </cfRule>
  </conditionalFormatting>
  <conditionalFormatting sqref="AF28">
    <cfRule type="containsText" dxfId="2330" priority="417" operator="containsText" text=" ">
      <formula>NOT(ISERROR(SEARCH(" ",AF28)))</formula>
    </cfRule>
  </conditionalFormatting>
  <conditionalFormatting sqref="AF29">
    <cfRule type="containsText" dxfId="2329" priority="415" operator="containsText" text=" ">
      <formula>NOT(ISERROR(SEARCH(" ",AF29)))</formula>
    </cfRule>
  </conditionalFormatting>
  <conditionalFormatting sqref="AB30">
    <cfRule type="containsText" dxfId="2328" priority="17" operator="containsText" text=" ">
      <formula>NOT(ISERROR(SEARCH(" ",AB30)))</formula>
    </cfRule>
    <cfRule type="containsText" dxfId="2327" priority="18" operator="containsText" text=" ">
      <formula>NOT(ISERROR(SEARCH(" ",AB30)))</formula>
    </cfRule>
  </conditionalFormatting>
  <conditionalFormatting sqref="AF30">
    <cfRule type="containsText" dxfId="2326" priority="413" operator="containsText" text=" ">
      <formula>NOT(ISERROR(SEARCH(" ",AF30)))</formula>
    </cfRule>
  </conditionalFormatting>
  <conditionalFormatting sqref="AF31">
    <cfRule type="containsText" dxfId="2325" priority="411" operator="containsText" text=" ">
      <formula>NOT(ISERROR(SEARCH(" ",AF31)))</formula>
    </cfRule>
  </conditionalFormatting>
  <conditionalFormatting sqref="AF32">
    <cfRule type="containsText" dxfId="2324" priority="409" operator="containsText" text=" ">
      <formula>NOT(ISERROR(SEARCH(" ",AF32)))</formula>
    </cfRule>
  </conditionalFormatting>
  <conditionalFormatting sqref="AF33">
    <cfRule type="containsText" dxfId="2323" priority="407" operator="containsText" text=" ">
      <formula>NOT(ISERROR(SEARCH(" ",AF33)))</formula>
    </cfRule>
  </conditionalFormatting>
  <conditionalFormatting sqref="AF34">
    <cfRule type="containsText" dxfId="2322" priority="403" operator="containsText" text=" ">
      <formula>NOT(ISERROR(SEARCH(" ",AF34)))</formula>
    </cfRule>
  </conditionalFormatting>
  <conditionalFormatting sqref="AF35">
    <cfRule type="containsText" dxfId="2321" priority="399" operator="containsText" text=" ">
      <formula>NOT(ISERROR(SEARCH(" ",AF35)))</formula>
    </cfRule>
  </conditionalFormatting>
  <conditionalFormatting sqref="AF36">
    <cfRule type="containsText" dxfId="2320" priority="395" operator="containsText" text=" ">
      <formula>NOT(ISERROR(SEARCH(" ",AF36)))</formula>
    </cfRule>
  </conditionalFormatting>
  <conditionalFormatting sqref="AF37">
    <cfRule type="containsText" dxfId="2319" priority="391" operator="containsText" text=" ">
      <formula>NOT(ISERROR(SEARCH(" ",AF37)))</formula>
    </cfRule>
  </conditionalFormatting>
  <conditionalFormatting sqref="AF38">
    <cfRule type="containsText" dxfId="2318" priority="387" operator="containsText" text=" ">
      <formula>NOT(ISERROR(SEARCH(" ",AF38)))</formula>
    </cfRule>
  </conditionalFormatting>
  <conditionalFormatting sqref="AF39">
    <cfRule type="containsText" dxfId="2317" priority="383" operator="containsText" text=" ">
      <formula>NOT(ISERROR(SEARCH(" ",AF39)))</formula>
    </cfRule>
  </conditionalFormatting>
  <conditionalFormatting sqref="AB40">
    <cfRule type="containsText" dxfId="2316" priority="21" operator="containsText" text=" ">
      <formula>NOT(ISERROR(SEARCH(" ",AB40)))</formula>
    </cfRule>
    <cfRule type="containsText" dxfId="2315" priority="22" operator="containsText" text=" ">
      <formula>NOT(ISERROR(SEARCH(" ",AB40)))</formula>
    </cfRule>
  </conditionalFormatting>
  <conditionalFormatting sqref="AF40">
    <cfRule type="containsText" dxfId="2314" priority="379" operator="containsText" text=" ">
      <formula>NOT(ISERROR(SEARCH(" ",AF40)))</formula>
    </cfRule>
  </conditionalFormatting>
  <conditionalFormatting sqref="AF41">
    <cfRule type="containsText" dxfId="2313" priority="375" operator="containsText" text=" ">
      <formula>NOT(ISERROR(SEARCH(" ",AF41)))</formula>
    </cfRule>
  </conditionalFormatting>
  <conditionalFormatting sqref="AF42">
    <cfRule type="containsText" dxfId="2312" priority="371" operator="containsText" text=" ">
      <formula>NOT(ISERROR(SEARCH(" ",AF42)))</formula>
    </cfRule>
  </conditionalFormatting>
  <conditionalFormatting sqref="AF43">
    <cfRule type="containsText" dxfId="2311" priority="367" operator="containsText" text=" ">
      <formula>NOT(ISERROR(SEARCH(" ",AF43)))</formula>
    </cfRule>
  </conditionalFormatting>
  <conditionalFormatting sqref="AF44">
    <cfRule type="containsText" dxfId="2310" priority="363" operator="containsText" text=" ">
      <formula>NOT(ISERROR(SEARCH(" ",AF44)))</formula>
    </cfRule>
  </conditionalFormatting>
  <conditionalFormatting sqref="AP45">
    <cfRule type="containsText" dxfId="2309" priority="77" operator="containsText" text=" ">
      <formula>NOT(ISERROR(SEARCH(" ",AP45)))</formula>
    </cfRule>
  </conditionalFormatting>
  <conditionalFormatting sqref="AP46">
    <cfRule type="containsText" dxfId="2308" priority="76" operator="containsText" text=" ">
      <formula>NOT(ISERROR(SEARCH(" ",AP46)))</formula>
    </cfRule>
  </conditionalFormatting>
  <conditionalFormatting sqref="AP47">
    <cfRule type="containsText" dxfId="2307" priority="65" operator="containsText" text=" ">
      <formula>NOT(ISERROR(SEARCH(" ",AP47)))</formula>
    </cfRule>
  </conditionalFormatting>
  <conditionalFormatting sqref="AP48">
    <cfRule type="containsText" dxfId="2306" priority="74" operator="containsText" text=" ">
      <formula>NOT(ISERROR(SEARCH(" ",AP48)))</formula>
    </cfRule>
  </conditionalFormatting>
  <conditionalFormatting sqref="AP49">
    <cfRule type="containsText" dxfId="2305" priority="64" operator="containsText" text=" ">
      <formula>NOT(ISERROR(SEARCH(" ",AP49)))</formula>
    </cfRule>
  </conditionalFormatting>
  <conditionalFormatting sqref="AB50">
    <cfRule type="containsText" dxfId="2304" priority="19" operator="containsText" text=" ">
      <formula>NOT(ISERROR(SEARCH(" ",AB50)))</formula>
    </cfRule>
    <cfRule type="containsText" dxfId="2303" priority="20" operator="containsText" text=" ">
      <formula>NOT(ISERROR(SEARCH(" ",AB50)))</formula>
    </cfRule>
  </conditionalFormatting>
  <conditionalFormatting sqref="AP50">
    <cfRule type="containsText" dxfId="2302" priority="72" operator="containsText" text=" ">
      <formula>NOT(ISERROR(SEARCH(" ",AP50)))</formula>
    </cfRule>
  </conditionalFormatting>
  <conditionalFormatting sqref="AP51">
    <cfRule type="containsText" dxfId="2301" priority="71" operator="containsText" text=" ">
      <formula>NOT(ISERROR(SEARCH(" ",AP51)))</formula>
    </cfRule>
  </conditionalFormatting>
  <conditionalFormatting sqref="AP52">
    <cfRule type="containsText" dxfId="2300" priority="63" operator="containsText" text=" ">
      <formula>NOT(ISERROR(SEARCH(" ",AP52)))</formula>
    </cfRule>
  </conditionalFormatting>
  <conditionalFormatting sqref="AH53">
    <cfRule type="cellIs" dxfId="2299" priority="54" operator="notEqual">
      <formula>"金币"</formula>
    </cfRule>
    <cfRule type="cellIs" dxfId="2298" priority="55" operator="equal">
      <formula>""""""</formula>
    </cfRule>
  </conditionalFormatting>
  <conditionalFormatting sqref="AI53:AJ53">
    <cfRule type="containsText" dxfId="2297" priority="56" operator="containsText" text=" ">
      <formula>NOT(ISERROR(SEARCH(" ",AI53)))</formula>
    </cfRule>
  </conditionalFormatting>
  <conditionalFormatting sqref="AK53:AL53">
    <cfRule type="containsText" dxfId="2296" priority="57" operator="containsText" text=" ">
      <formula>NOT(ISERROR(SEARCH(" ",AK53)))</formula>
    </cfRule>
  </conditionalFormatting>
  <conditionalFormatting sqref="AM53">
    <cfRule type="cellIs" dxfId="2295" priority="59" operator="notEqual">
      <formula>"金币"</formula>
    </cfRule>
    <cfRule type="cellIs" dxfId="2294" priority="60" operator="equal">
      <formula>""""""</formula>
    </cfRule>
    <cfRule type="containsText" dxfId="2293" priority="61" operator="containsText" text=" ">
      <formula>NOT(ISERROR(SEARCH(" ",AM53)))</formula>
    </cfRule>
  </conditionalFormatting>
  <conditionalFormatting sqref="AP53">
    <cfRule type="containsText" dxfId="2292" priority="53" operator="containsText" text=" ">
      <formula>NOT(ISERROR(SEARCH(" ",AP53)))</formula>
    </cfRule>
  </conditionalFormatting>
  <conditionalFormatting sqref="AQ53">
    <cfRule type="containsText" dxfId="2291" priority="62" operator="containsText" text=" ">
      <formula>NOT(ISERROR(SEARCH(" ",AQ53)))</formula>
    </cfRule>
  </conditionalFormatting>
  <conditionalFormatting sqref="AP54">
    <cfRule type="containsText" dxfId="2290" priority="78" operator="containsText" text=" ">
      <formula>NOT(ISERROR(SEARCH(" ",AP54)))</formula>
    </cfRule>
  </conditionalFormatting>
  <conditionalFormatting sqref="AH55">
    <cfRule type="cellIs" dxfId="2289" priority="44" operator="notEqual">
      <formula>"金币"</formula>
    </cfRule>
    <cfRule type="cellIs" dxfId="2288" priority="45" operator="equal">
      <formula>""""""</formula>
    </cfRule>
  </conditionalFormatting>
  <conditionalFormatting sqref="AI55:AJ55">
    <cfRule type="containsText" dxfId="2287" priority="46" operator="containsText" text=" ">
      <formula>NOT(ISERROR(SEARCH(" ",AI55)))</formula>
    </cfRule>
  </conditionalFormatting>
  <conditionalFormatting sqref="AK55:AL55">
    <cfRule type="containsText" dxfId="2286" priority="47" operator="containsText" text=" ">
      <formula>NOT(ISERROR(SEARCH(" ",AK55)))</formula>
    </cfRule>
  </conditionalFormatting>
  <conditionalFormatting sqref="AM55">
    <cfRule type="cellIs" dxfId="2285" priority="49" operator="notEqual">
      <formula>"金币"</formula>
    </cfRule>
    <cfRule type="cellIs" dxfId="2284" priority="50" operator="equal">
      <formula>""""""</formula>
    </cfRule>
    <cfRule type="containsText" dxfId="2283" priority="51" operator="containsText" text=" ">
      <formula>NOT(ISERROR(SEARCH(" ",AM55)))</formula>
    </cfRule>
  </conditionalFormatting>
  <conditionalFormatting sqref="AP55">
    <cfRule type="containsText" dxfId="2282" priority="43" operator="containsText" text=" ">
      <formula>NOT(ISERROR(SEARCH(" ",AP55)))</formula>
    </cfRule>
  </conditionalFormatting>
  <conditionalFormatting sqref="AQ55">
    <cfRule type="containsText" dxfId="2281" priority="52" operator="containsText" text=" ">
      <formula>NOT(ISERROR(SEARCH(" ",AQ55)))</formula>
    </cfRule>
  </conditionalFormatting>
  <conditionalFormatting sqref="AB60">
    <cfRule type="containsText" dxfId="2280" priority="13" operator="containsText" text=" ">
      <formula>NOT(ISERROR(SEARCH(" ",AB60)))</formula>
    </cfRule>
    <cfRule type="containsText" dxfId="2279" priority="14" operator="containsText" text=" ">
      <formula>NOT(ISERROR(SEARCH(" ",AB60)))</formula>
    </cfRule>
  </conditionalFormatting>
  <conditionalFormatting sqref="AF63">
    <cfRule type="containsText" dxfId="2278" priority="246" operator="containsText" text=" ">
      <formula>NOT(ISERROR(SEARCH(" ",AF63)))</formula>
    </cfRule>
  </conditionalFormatting>
  <conditionalFormatting sqref="AF64">
    <cfRule type="containsText" dxfId="2277" priority="243" operator="containsText" text=" ">
      <formula>NOT(ISERROR(SEARCH(" ",AF64)))</formula>
    </cfRule>
  </conditionalFormatting>
  <conditionalFormatting sqref="AF65">
    <cfRule type="containsText" dxfId="2276" priority="242" operator="containsText" text=" ">
      <formula>NOT(ISERROR(SEARCH(" ",AF65)))</formula>
    </cfRule>
  </conditionalFormatting>
  <conditionalFormatting sqref="AF68">
    <cfRule type="containsText" dxfId="2275" priority="238" operator="containsText" text=" ">
      <formula>NOT(ISERROR(SEARCH(" ",AF68)))</formula>
    </cfRule>
  </conditionalFormatting>
  <conditionalFormatting sqref="AF69">
    <cfRule type="containsText" dxfId="2274" priority="236" operator="containsText" text=" ">
      <formula>NOT(ISERROR(SEARCH(" ",AF69)))</formula>
    </cfRule>
  </conditionalFormatting>
  <conditionalFormatting sqref="AB70">
    <cfRule type="containsText" dxfId="2273" priority="11" operator="containsText" text=" ">
      <formula>NOT(ISERROR(SEARCH(" ",AB70)))</formula>
    </cfRule>
    <cfRule type="containsText" dxfId="2272" priority="12" operator="containsText" text=" ">
      <formula>NOT(ISERROR(SEARCH(" ",AB70)))</formula>
    </cfRule>
  </conditionalFormatting>
  <conditionalFormatting sqref="AF70">
    <cfRule type="containsText" dxfId="2271" priority="234" operator="containsText" text=" ">
      <formula>NOT(ISERROR(SEARCH(" ",AF70)))</formula>
    </cfRule>
  </conditionalFormatting>
  <conditionalFormatting sqref="AF71">
    <cfRule type="containsText" dxfId="2270" priority="232" operator="containsText" text=" ">
      <formula>NOT(ISERROR(SEARCH(" ",AF71)))</formula>
    </cfRule>
  </conditionalFormatting>
  <conditionalFormatting sqref="AF72">
    <cfRule type="containsText" dxfId="2269" priority="230" operator="containsText" text=" ">
      <formula>NOT(ISERROR(SEARCH(" ",AF72)))</formula>
    </cfRule>
  </conditionalFormatting>
  <conditionalFormatting sqref="AF73">
    <cfRule type="containsText" dxfId="2268" priority="228" operator="containsText" text=" ">
      <formula>NOT(ISERROR(SEARCH(" ",AF73)))</formula>
    </cfRule>
  </conditionalFormatting>
  <conditionalFormatting sqref="AF74">
    <cfRule type="containsText" dxfId="2267" priority="224" operator="containsText" text=" ">
      <formula>NOT(ISERROR(SEARCH(" ",AF74)))</formula>
    </cfRule>
  </conditionalFormatting>
  <conditionalFormatting sqref="AF75">
    <cfRule type="containsText" dxfId="2266" priority="220" operator="containsText" text=" ">
      <formula>NOT(ISERROR(SEARCH(" ",AF75)))</formula>
    </cfRule>
  </conditionalFormatting>
  <conditionalFormatting sqref="AF76">
    <cfRule type="containsText" dxfId="2265" priority="216" operator="containsText" text=" ">
      <formula>NOT(ISERROR(SEARCH(" ",AF76)))</formula>
    </cfRule>
  </conditionalFormatting>
  <conditionalFormatting sqref="AF77">
    <cfRule type="containsText" dxfId="2264" priority="212" operator="containsText" text=" ">
      <formula>NOT(ISERROR(SEARCH(" ",AF77)))</formula>
    </cfRule>
  </conditionalFormatting>
  <conditionalFormatting sqref="AF78">
    <cfRule type="containsText" dxfId="2263" priority="209" operator="containsText" text=" ">
      <formula>NOT(ISERROR(SEARCH(" ",AF78)))</formula>
    </cfRule>
  </conditionalFormatting>
  <conditionalFormatting sqref="AF79">
    <cfRule type="containsText" dxfId="2262" priority="206" operator="containsText" text=" ">
      <formula>NOT(ISERROR(SEARCH(" ",AF79)))</formula>
    </cfRule>
  </conditionalFormatting>
  <conditionalFormatting sqref="AB80">
    <cfRule type="containsText" dxfId="2261" priority="9" operator="containsText" text=" ">
      <formula>NOT(ISERROR(SEARCH(" ",AB80)))</formula>
    </cfRule>
    <cfRule type="containsText" dxfId="2260" priority="10" operator="containsText" text=" ">
      <formula>NOT(ISERROR(SEARCH(" ",AB80)))</formula>
    </cfRule>
  </conditionalFormatting>
  <conditionalFormatting sqref="AF80">
    <cfRule type="containsText" dxfId="2259" priority="203" operator="containsText" text=" ">
      <formula>NOT(ISERROR(SEARCH(" ",AF80)))</formula>
    </cfRule>
  </conditionalFormatting>
  <conditionalFormatting sqref="AF81">
    <cfRule type="containsText" dxfId="2258" priority="200" operator="containsText" text=" ">
      <formula>NOT(ISERROR(SEARCH(" ",AF81)))</formula>
    </cfRule>
  </conditionalFormatting>
  <conditionalFormatting sqref="AF82">
    <cfRule type="containsText" dxfId="2257" priority="197" operator="containsText" text=" ">
      <formula>NOT(ISERROR(SEARCH(" ",AF82)))</formula>
    </cfRule>
  </conditionalFormatting>
  <conditionalFormatting sqref="AF83">
    <cfRule type="containsText" dxfId="2256" priority="194" operator="containsText" text=" ">
      <formula>NOT(ISERROR(SEARCH(" ",AF83)))</formula>
    </cfRule>
  </conditionalFormatting>
  <conditionalFormatting sqref="AF84">
    <cfRule type="containsText" dxfId="2255" priority="191" operator="containsText" text=" ">
      <formula>NOT(ISERROR(SEARCH(" ",AF84)))</formula>
    </cfRule>
  </conditionalFormatting>
  <conditionalFormatting sqref="AF85">
    <cfRule type="containsText" dxfId="2254" priority="180" operator="containsText" text=" ">
      <formula>NOT(ISERROR(SEARCH(" ",AF85)))</formula>
    </cfRule>
  </conditionalFormatting>
  <conditionalFormatting sqref="AF86">
    <cfRule type="containsText" dxfId="2253" priority="176" operator="containsText" text=" ">
      <formula>NOT(ISERROR(SEARCH(" ",AF86)))</formula>
    </cfRule>
  </conditionalFormatting>
  <conditionalFormatting sqref="AF87">
    <cfRule type="containsText" dxfId="2252" priority="172" operator="containsText" text=" ">
      <formula>NOT(ISERROR(SEARCH(" ",AF87)))</formula>
    </cfRule>
  </conditionalFormatting>
  <conditionalFormatting sqref="AF88">
    <cfRule type="containsText" dxfId="2251" priority="169" operator="containsText" text=" ">
      <formula>NOT(ISERROR(SEARCH(" ",AF88)))</formula>
    </cfRule>
  </conditionalFormatting>
  <conditionalFormatting sqref="AF89">
    <cfRule type="containsText" dxfId="2250" priority="166" operator="containsText" text=" ">
      <formula>NOT(ISERROR(SEARCH(" ",AF89)))</formula>
    </cfRule>
  </conditionalFormatting>
  <conditionalFormatting sqref="AB90">
    <cfRule type="containsText" dxfId="2249" priority="7" operator="containsText" text=" ">
      <formula>NOT(ISERROR(SEARCH(" ",AB90)))</formula>
    </cfRule>
    <cfRule type="containsText" dxfId="2248" priority="8" operator="containsText" text=" ">
      <formula>NOT(ISERROR(SEARCH(" ",AB90)))</formula>
    </cfRule>
  </conditionalFormatting>
  <conditionalFormatting sqref="AF90">
    <cfRule type="containsText" dxfId="2247" priority="163" operator="containsText" text=" ">
      <formula>NOT(ISERROR(SEARCH(" ",AF90)))</formula>
    </cfRule>
  </conditionalFormatting>
  <conditionalFormatting sqref="AF91">
    <cfRule type="containsText" dxfId="2246" priority="160" operator="containsText" text=" ">
      <formula>NOT(ISERROR(SEARCH(" ",AF91)))</formula>
    </cfRule>
  </conditionalFormatting>
  <conditionalFormatting sqref="AF92">
    <cfRule type="containsText" dxfId="2245" priority="157" operator="containsText" text=" ">
      <formula>NOT(ISERROR(SEARCH(" ",AF92)))</formula>
    </cfRule>
  </conditionalFormatting>
  <conditionalFormatting sqref="AF93">
    <cfRule type="containsText" dxfId="2244" priority="154" operator="containsText" text=" ">
      <formula>NOT(ISERROR(SEARCH(" ",AF93)))</formula>
    </cfRule>
  </conditionalFormatting>
  <conditionalFormatting sqref="AF94">
    <cfRule type="containsText" dxfId="2243" priority="151" operator="containsText" text=" ">
      <formula>NOT(ISERROR(SEARCH(" ",AF94)))</formula>
    </cfRule>
  </conditionalFormatting>
  <conditionalFormatting sqref="AF95">
    <cfRule type="containsText" dxfId="2242" priority="140" operator="containsText" text=" ">
      <formula>NOT(ISERROR(SEARCH(" ",AF95)))</formula>
    </cfRule>
  </conditionalFormatting>
  <conditionalFormatting sqref="AF96">
    <cfRule type="containsText" dxfId="2241" priority="136" operator="containsText" text=" ">
      <formula>NOT(ISERROR(SEARCH(" ",AF96)))</formula>
    </cfRule>
  </conditionalFormatting>
  <conditionalFormatting sqref="AF97">
    <cfRule type="containsText" dxfId="2240" priority="132" operator="containsText" text=" ">
      <formula>NOT(ISERROR(SEARCH(" ",AF97)))</formula>
    </cfRule>
  </conditionalFormatting>
  <conditionalFormatting sqref="AF98">
    <cfRule type="containsText" dxfId="2239" priority="129" operator="containsText" text=" ">
      <formula>NOT(ISERROR(SEARCH(" ",AF98)))</formula>
    </cfRule>
  </conditionalFormatting>
  <conditionalFormatting sqref="AF99">
    <cfRule type="containsText" dxfId="2238" priority="126" operator="containsText" text=" ">
      <formula>NOT(ISERROR(SEARCH(" ",AF99)))</formula>
    </cfRule>
  </conditionalFormatting>
  <conditionalFormatting sqref="AB100">
    <cfRule type="containsText" dxfId="2237" priority="5" operator="containsText" text=" ">
      <formula>NOT(ISERROR(SEARCH(" ",AB100)))</formula>
    </cfRule>
    <cfRule type="containsText" dxfId="2236" priority="6" operator="containsText" text=" ">
      <formula>NOT(ISERROR(SEARCH(" ",AB100)))</formula>
    </cfRule>
  </conditionalFormatting>
  <conditionalFormatting sqref="AF100">
    <cfRule type="containsText" dxfId="2235" priority="123" operator="containsText" text=" ">
      <formula>NOT(ISERROR(SEARCH(" ",AF100)))</formula>
    </cfRule>
  </conditionalFormatting>
  <conditionalFormatting sqref="AF101">
    <cfRule type="containsText" dxfId="2234" priority="120" operator="containsText" text=" ">
      <formula>NOT(ISERROR(SEARCH(" ",AF101)))</formula>
    </cfRule>
  </conditionalFormatting>
  <conditionalFormatting sqref="AF102">
    <cfRule type="containsText" dxfId="2233" priority="117" operator="containsText" text=" ">
      <formula>NOT(ISERROR(SEARCH(" ",AF102)))</formula>
    </cfRule>
  </conditionalFormatting>
  <conditionalFormatting sqref="AF103">
    <cfRule type="containsText" dxfId="2232" priority="114" operator="containsText" text=" ">
      <formula>NOT(ISERROR(SEARCH(" ",AF103)))</formula>
    </cfRule>
  </conditionalFormatting>
  <conditionalFormatting sqref="W5:W103">
    <cfRule type="containsText" dxfId="2231" priority="23" operator="containsText" text=" ">
      <formula>NOT(ISERROR(SEARCH(" ",W5)))</formula>
    </cfRule>
  </conditionalFormatting>
  <conditionalFormatting sqref="X5:X103">
    <cfRule type="containsText" dxfId="2230" priority="437" operator="containsText" text=" ">
      <formula>NOT(ISERROR(SEARCH(" ",X5)))</formula>
    </cfRule>
  </conditionalFormatting>
  <conditionalFormatting sqref="AA5:AA103">
    <cfRule type="containsText" dxfId="2229" priority="98" operator="containsText" text=" ">
      <formula>NOT(ISERROR(SEARCH(" ",AA5)))</formula>
    </cfRule>
  </conditionalFormatting>
  <conditionalFormatting sqref="AB1:AB1048576">
    <cfRule type="containsText" dxfId="2228" priority="24" operator="containsText" text="狂暴">
      <formula>NOT(ISERROR(SEARCH("狂暴",AB1)))</formula>
    </cfRule>
  </conditionalFormatting>
  <conditionalFormatting sqref="AB5:AB6">
    <cfRule type="containsText" dxfId="2227" priority="435" operator="containsText" text=" ">
      <formula>NOT(ISERROR(SEARCH(" ",AB5)))</formula>
    </cfRule>
  </conditionalFormatting>
  <conditionalFormatting sqref="AB9:AB11">
    <cfRule type="containsText" dxfId="2226" priority="96" operator="containsText" text=" ">
      <formula>NOT(ISERROR(SEARCH(" ",AB9)))</formula>
    </cfRule>
  </conditionalFormatting>
  <conditionalFormatting sqref="AB14:AB16">
    <cfRule type="containsText" dxfId="2225" priority="40" operator="containsText" text=" ">
      <formula>NOT(ISERROR(SEARCH(" ",AB14)))</formula>
    </cfRule>
  </conditionalFormatting>
  <conditionalFormatting sqref="AB18:AB21">
    <cfRule type="containsText" dxfId="2224" priority="36" operator="containsText" text=" ">
      <formula>NOT(ISERROR(SEARCH(" ",AB18)))</formula>
    </cfRule>
  </conditionalFormatting>
  <conditionalFormatting sqref="AB24:AB103">
    <cfRule type="containsText" dxfId="2223" priority="25" operator="containsText" text=" ">
      <formula>NOT(ISERROR(SEARCH(" ",AB24)))</formula>
    </cfRule>
  </conditionalFormatting>
  <conditionalFormatting sqref="AG10:AG14">
    <cfRule type="containsText" dxfId="2222" priority="107" operator="containsText" text=" ">
      <formula>NOT(ISERROR(SEARCH(" ",AG10)))</formula>
    </cfRule>
  </conditionalFormatting>
  <conditionalFormatting sqref="AH5:AH44">
    <cfRule type="cellIs" dxfId="2221" priority="87" operator="notEqual">
      <formula>"金币"</formula>
    </cfRule>
    <cfRule type="cellIs" dxfId="2220" priority="88" operator="equal">
      <formula>""""""</formula>
    </cfRule>
  </conditionalFormatting>
  <conditionalFormatting sqref="AH56:AH1048576">
    <cfRule type="cellIs" dxfId="2219" priority="275" operator="notEqual">
      <formula>"金币"</formula>
    </cfRule>
  </conditionalFormatting>
  <conditionalFormatting sqref="AM56:AM1048576">
    <cfRule type="cellIs" dxfId="2218" priority="271" operator="notEqual">
      <formula>"金币"</formula>
    </cfRule>
    <cfRule type="containsText" dxfId="2217" priority="274" operator="containsText" text=" ">
      <formula>NOT(ISERROR(SEARCH(" ",AM56)))</formula>
    </cfRule>
  </conditionalFormatting>
  <conditionalFormatting sqref="AT12:AT18">
    <cfRule type="containsText" dxfId="2216" priority="442" operator="containsText" text=" ">
      <formula>NOT(ISERROR(SEARCH(" ",AT12)))</formula>
    </cfRule>
  </conditionalFormatting>
  <conditionalFormatting sqref="I1:J5">
    <cfRule type="containsText" dxfId="2215" priority="281" operator="containsText" text=" ">
      <formula>NOT(ISERROR(SEARCH(" ",I1)))</formula>
    </cfRule>
  </conditionalFormatting>
  <conditionalFormatting sqref="AJ3:AL3 AK1:AL2">
    <cfRule type="containsText" dxfId="2214" priority="68" operator="containsText" text=" ">
      <formula>NOT(ISERROR(SEARCH(" ",AJ1)))</formula>
    </cfRule>
  </conditionalFormatting>
  <conditionalFormatting sqref="AP1:AQ3">
    <cfRule type="containsText" dxfId="2213" priority="66" operator="containsText" text=" ">
      <formula>NOT(ISERROR(SEARCH(" ",AP1)))</formula>
    </cfRule>
  </conditionalFormatting>
  <conditionalFormatting sqref="AG4 T7 T9 T11 T13 T15 T17 T19 T21 T23 T25 T27 T29 T31 T33 T35 T37 AB8 T3:X4 R5 AA3:AB4 Y3:Z44 AC3:AD44 R6:S44 T39:T44 K5 BA5:XFD30 Y104:AD1048576 F45:F54 A5:G5 I6:K44 G6:G54 AT7:AT10 AT31:XFD44 AT19:AT30 AG7:AG9 C6:F44 C45:E103 A6:B103 T5">
    <cfRule type="containsText" dxfId="2212" priority="444" operator="containsText" text=" ">
      <formula>NOT(ISERROR(SEARCH(" ",A3)))</formula>
    </cfRule>
  </conditionalFormatting>
  <conditionalFormatting sqref="A104:G1048576 R45:S103 AR4:AT4 AT5:AT6 AG5:AG6 AR5:AR54 I45:K103 L5:Q103 I104:X1048576">
    <cfRule type="containsText" dxfId="2211" priority="279" operator="containsText" text=" ">
      <formula>NOT(ISERROR(SEARCH(" ",A4)))</formula>
    </cfRule>
  </conditionalFormatting>
  <conditionalFormatting sqref="R4:S4 AI4:AL4 AE104:AL1048576 AN56:XFD1048576 AG56:AL103 AT45:XFD54 AG55 AR55:XFD55">
    <cfRule type="containsText" dxfId="2210" priority="440" operator="containsText" text=" ">
      <formula>NOT(ISERROR(SEARCH(" ",R4)))</formula>
    </cfRule>
  </conditionalFormatting>
  <conditionalFormatting sqref="U5:V44">
    <cfRule type="containsText" dxfId="2209" priority="313" operator="containsText" text=" ">
      <formula>NOT(ISERROR(SEARCH(" ",U5)))</formula>
    </cfRule>
  </conditionalFormatting>
  <conditionalFormatting sqref="AE5:AF5 AF26:AF27 AF6:AF22 AE6:AE103">
    <cfRule type="containsText" dxfId="2208" priority="443" operator="containsText" text=" ">
      <formula>NOT(ISERROR(SEARCH(" ",AE5)))</formula>
    </cfRule>
  </conditionalFormatting>
  <conditionalFormatting sqref="AN5:AO44 AH5:AH44">
    <cfRule type="containsText" dxfId="2207" priority="92" operator="containsText" text=" ">
      <formula>NOT(ISERROR(SEARCH(" ",AH5)))</formula>
    </cfRule>
  </conditionalFormatting>
  <conditionalFormatting sqref="AI5:AJ44">
    <cfRule type="containsText" dxfId="2206" priority="89" operator="containsText" text=" ">
      <formula>NOT(ISERROR(SEARCH(" ",AI5)))</formula>
    </cfRule>
  </conditionalFormatting>
  <conditionalFormatting sqref="AK5:AL44">
    <cfRule type="containsText" dxfId="2205" priority="90" operator="containsText" text=" ">
      <formula>NOT(ISERROR(SEARCH(" ",AK5)))</formula>
    </cfRule>
  </conditionalFormatting>
  <conditionalFormatting sqref="AM5:AM52 AM54">
    <cfRule type="cellIs" dxfId="2204" priority="84" operator="notEqual">
      <formula>"金币"</formula>
    </cfRule>
    <cfRule type="cellIs" dxfId="2203" priority="85" operator="equal">
      <formula>""""""</formula>
    </cfRule>
    <cfRule type="containsText" dxfId="2202" priority="86" operator="containsText" text=" ">
      <formula>NOT(ISERROR(SEARCH(" ",AM5)))</formula>
    </cfRule>
  </conditionalFormatting>
  <conditionalFormatting sqref="AP5:AQ5 AQ6:AQ52 AP6:AP44 AQ54">
    <cfRule type="containsText" dxfId="2201" priority="91" operator="containsText" text=" ">
      <formula>NOT(ISERROR(SEARCH(" ",AP5)))</formula>
    </cfRule>
  </conditionalFormatting>
  <conditionalFormatting sqref="T6 T8 T10 T12 T14 T16 T18 T20 T22 T24 T26 T28 T30 T32 T34 T36 T38">
    <cfRule type="containsText" dxfId="2200" priority="438" operator="containsText" text=" ">
      <formula>NOT(ISERROR(SEARCH(" ",T6)))</formula>
    </cfRule>
  </conditionalFormatting>
  <conditionalFormatting sqref="AG15:AG19 AG25:AG29 AG35:AG39 AG45:AG49">
    <cfRule type="containsText" dxfId="2199" priority="106" operator="containsText" text=" ">
      <formula>NOT(ISERROR(SEARCH(" ",AG15)))</formula>
    </cfRule>
  </conditionalFormatting>
  <conditionalFormatting sqref="AG20:AG24 AG30:AG34 AG40:AG44 AG50:AG54">
    <cfRule type="containsText" dxfId="2198" priority="105" operator="containsText" text=" ">
      <formula>NOT(ISERROR(SEARCH(" ",AG20)))</formula>
    </cfRule>
  </conditionalFormatting>
  <conditionalFormatting sqref="T47 T49 T51 T53 T55 T57 T59 T61 T63 T65 T67 T69 T71 T73 T75 T77 T45 Y45:Z84 AC45:AD84 T79:T84">
    <cfRule type="containsText" dxfId="2197" priority="261" operator="containsText" text=" ">
      <formula>NOT(ISERROR(SEARCH(" ",T45)))</formula>
    </cfRule>
  </conditionalFormatting>
  <conditionalFormatting sqref="U45:V84">
    <cfRule type="containsText" dxfId="2196" priority="186" operator="containsText" text=" ">
      <formula>NOT(ISERROR(SEARCH(" ",U45)))</formula>
    </cfRule>
  </conditionalFormatting>
  <conditionalFormatting sqref="AF45:AF62 AF66:AF67">
    <cfRule type="containsText" dxfId="2195" priority="260" operator="containsText" text=" ">
      <formula>NOT(ISERROR(SEARCH(" ",AF45)))</formula>
    </cfRule>
  </conditionalFormatting>
  <conditionalFormatting sqref="AH45:AH52 AH54">
    <cfRule type="cellIs" dxfId="2194" priority="79" operator="notEqual">
      <formula>"金币"</formula>
    </cfRule>
    <cfRule type="cellIs" dxfId="2193" priority="80" operator="equal">
      <formula>""""""</formula>
    </cfRule>
  </conditionalFormatting>
  <conditionalFormatting sqref="AN45:AO52 AH45:AH52 AN54:AO54 AH54">
    <cfRule type="containsText" dxfId="2192" priority="83" operator="containsText" text=" ">
      <formula>NOT(ISERROR(SEARCH(" ",AH45)))</formula>
    </cfRule>
  </conditionalFormatting>
  <conditionalFormatting sqref="AI45:AJ52 AI54:AJ54">
    <cfRule type="containsText" dxfId="2191" priority="81" operator="containsText" text=" ">
      <formula>NOT(ISERROR(SEARCH(" ",AI45)))</formula>
    </cfRule>
  </conditionalFormatting>
  <conditionalFormatting sqref="AK45:AL52 AK54:AL54">
    <cfRule type="containsText" dxfId="2190" priority="82" operator="containsText" text=" ">
      <formula>NOT(ISERROR(SEARCH(" ",AK45)))</formula>
    </cfRule>
  </conditionalFormatting>
  <conditionalFormatting sqref="T46 T48 T50 T52 T54 T56 T58 T60 T62 T64 T66 T68 T70 T72 T74 T76 T78">
    <cfRule type="containsText" dxfId="2189" priority="259" operator="containsText" text=" ">
      <formula>NOT(ISERROR(SEARCH(" ",T46)))</formula>
    </cfRule>
  </conditionalFormatting>
  <conditionalFormatting sqref="AN53:AO53 AH53">
    <cfRule type="containsText" dxfId="2188" priority="58" operator="containsText" text=" ">
      <formula>NOT(ISERROR(SEARCH(" ",AH53)))</formula>
    </cfRule>
  </conditionalFormatting>
  <conditionalFormatting sqref="F55:G103">
    <cfRule type="containsText" dxfId="2187" priority="42" operator="containsText" text=" ">
      <formula>NOT(ISERROR(SEARCH(" ",F55)))</formula>
    </cfRule>
  </conditionalFormatting>
  <conditionalFormatting sqref="AN55:AO55 AH55">
    <cfRule type="containsText" dxfId="2186" priority="48" operator="containsText" text=" ">
      <formula>NOT(ISERROR(SEARCH(" ",AH55)))</formula>
    </cfRule>
  </conditionalFormatting>
  <conditionalFormatting sqref="T85 T87 Y85:Z94 AC85:AD94 T89:T94">
    <cfRule type="containsText" dxfId="2185" priority="184" operator="containsText" text=" ">
      <formula>NOT(ISERROR(SEARCH(" ",T85)))</formula>
    </cfRule>
  </conditionalFormatting>
  <conditionalFormatting sqref="U85:V94">
    <cfRule type="containsText" dxfId="2184" priority="146" operator="containsText" text=" ">
      <formula>NOT(ISERROR(SEARCH(" ",U85)))</formula>
    </cfRule>
  </conditionalFormatting>
  <conditionalFormatting sqref="T86 T88">
    <cfRule type="containsText" dxfId="2183" priority="183" operator="containsText" text=" ">
      <formula>NOT(ISERROR(SEARCH(" ",T86)))</formula>
    </cfRule>
  </conditionalFormatting>
  <conditionalFormatting sqref="T95 T97 Y95:Z103 AC95:AD103 T99:T103">
    <cfRule type="containsText" dxfId="2182" priority="144" operator="containsText" text=" ">
      <formula>NOT(ISERROR(SEARCH(" ",T95)))</formula>
    </cfRule>
  </conditionalFormatting>
  <conditionalFormatting sqref="U95:V103">
    <cfRule type="containsText" dxfId="2181" priority="109" operator="containsText" text=" ">
      <formula>NOT(ISERROR(SEARCH(" ",U95)))</formula>
    </cfRule>
  </conditionalFormatting>
  <conditionalFormatting sqref="T96 T98">
    <cfRule type="containsText" dxfId="2180" priority="143" operator="containsText" text=" ">
      <formula>NOT(ISERROR(SEARCH(" ",T96)))</formula>
    </cfRule>
  </conditionalFormatting>
  <conditionalFormatting sqref="H5">
    <cfRule type="containsText" dxfId="2179" priority="3" operator="containsText" text=" ">
      <formula>NOT(ISERROR(SEARCH(" ",H5)))</formula>
    </cfRule>
  </conditionalFormatting>
  <conditionalFormatting sqref="H6:H103">
    <cfRule type="containsText" dxfId="2178" priority="4" operator="containsText" text=" ">
      <formula>NOT(ISERROR(SEARCH(" ",H6)))</formula>
    </cfRule>
  </conditionalFormatting>
  <conditionalFormatting sqref="H104:H1048576">
    <cfRule type="containsText" dxfId="2177" priority="2" operator="containsText" text=" ">
      <formula>NOT(ISERROR(SEARCH(" ",H104)))</formula>
    </cfRule>
  </conditionalFormatting>
  <conditionalFormatting sqref="H1:H4">
    <cfRule type="containsText" dxfId="2176" priority="1" operator="containsText" text=" ">
      <formula>NOT(ISERROR(SEARCH(" ",H1)))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LG64"/>
  <sheetViews>
    <sheetView workbookViewId="0">
      <pane xSplit="5" ySplit="4" topLeftCell="AD5" activePane="bottomRight" state="frozen"/>
      <selection pane="topRight"/>
      <selection pane="bottomLeft"/>
      <selection pane="bottomRight" activeCell="AM8" sqref="AM8"/>
    </sheetView>
  </sheetViews>
  <sheetFormatPr defaultColWidth="9" defaultRowHeight="15.6" outlineLevelCol="1" x14ac:dyDescent="0.35"/>
  <cols>
    <col min="1" max="1" width="5.77734375" style="241" customWidth="1"/>
    <col min="2" max="2" width="18.21875" style="241" customWidth="1"/>
    <col min="3" max="3" width="12.88671875" style="241" customWidth="1"/>
    <col min="4" max="4" width="17.33203125" style="241" customWidth="1"/>
    <col min="5" max="5" width="7.109375" style="241" customWidth="1"/>
    <col min="6" max="7" width="10.33203125" style="241" customWidth="1"/>
    <col min="8" max="8" width="13.6640625" style="241" customWidth="1"/>
    <col min="9" max="9" width="18.44140625" style="241" customWidth="1"/>
    <col min="10" max="12" width="10.44140625" style="241" customWidth="1"/>
    <col min="13" max="14" width="11.6640625" style="241" customWidth="1"/>
    <col min="15" max="15" width="14" style="241" customWidth="1"/>
    <col min="16" max="19" width="13.88671875" style="241" customWidth="1"/>
    <col min="20" max="20" width="10.21875" style="241" customWidth="1"/>
    <col min="21" max="22" width="15.44140625" style="241" customWidth="1"/>
    <col min="23" max="23" width="20.33203125" style="241" customWidth="1"/>
    <col min="24" max="26" width="13.44140625" style="241" customWidth="1"/>
    <col min="27" max="27" width="9.44140625" style="241" customWidth="1"/>
    <col min="28" max="28" width="9.88671875" style="241" customWidth="1"/>
    <col min="29" max="32" width="13.6640625" style="241" customWidth="1"/>
    <col min="33" max="33" width="17" style="241" customWidth="1"/>
    <col min="34" max="40" width="13.109375" style="241" customWidth="1"/>
    <col min="41" max="41" width="14.88671875" style="244" customWidth="1"/>
    <col min="42" max="42" width="22.44140625" style="241" customWidth="1"/>
    <col min="43" max="43" width="10.6640625" style="241" customWidth="1"/>
    <col min="44" max="44" width="11.88671875" style="241" customWidth="1"/>
    <col min="45" max="45" width="15.6640625" style="241" customWidth="1"/>
    <col min="46" max="46" width="8.21875" style="241" customWidth="1"/>
    <col min="47" max="47" width="6.88671875" style="241" customWidth="1"/>
    <col min="48" max="48" width="10.44140625" style="241" customWidth="1"/>
    <col min="49" max="49" width="8.6640625" style="241" customWidth="1"/>
    <col min="50" max="50" width="6.21875" style="241" customWidth="1"/>
    <col min="51" max="51" width="12.6640625" style="241" customWidth="1"/>
    <col min="52" max="53" width="13.44140625" style="241" customWidth="1"/>
    <col min="54" max="54" width="10.109375" style="241" customWidth="1"/>
    <col min="55" max="55" width="8.44140625" style="241" customWidth="1"/>
    <col min="56" max="56" width="8.109375" style="241" customWidth="1"/>
    <col min="57" max="57" width="9.33203125" style="241" customWidth="1"/>
    <col min="58" max="58" width="10.44140625" style="245" customWidth="1"/>
    <col min="59" max="59" width="13.6640625" style="245" customWidth="1"/>
    <col min="60" max="60" width="28" style="241" customWidth="1"/>
    <col min="61" max="64" width="21.88671875" style="241" customWidth="1"/>
    <col min="65" max="65" width="12.88671875" style="241" customWidth="1"/>
    <col min="66" max="66" width="7.6640625" style="241" customWidth="1"/>
    <col min="67" max="67" width="7.88671875" style="241" customWidth="1"/>
    <col min="68" max="68" width="11.21875" style="241" customWidth="1"/>
    <col min="69" max="70" width="12.77734375" style="241" customWidth="1"/>
    <col min="71" max="71" width="7.44140625" style="241" customWidth="1"/>
    <col min="72" max="72" width="15.21875" style="241" customWidth="1"/>
    <col min="73" max="74" width="9" style="241"/>
    <col min="75" max="75" width="17.109375" style="241" customWidth="1"/>
    <col min="76" max="77" width="9" style="241"/>
    <col min="78" max="78" width="10.88671875" style="241" customWidth="1"/>
    <col min="79" max="80" width="9" style="241"/>
    <col min="81" max="81" width="10.21875" style="241" customWidth="1"/>
    <col min="82" max="82" width="7.44140625" style="241" customWidth="1"/>
    <col min="83" max="84" width="9" style="241"/>
    <col min="85" max="85" width="10.44140625" style="246" customWidth="1" outlineLevel="1"/>
    <col min="86" max="86" width="10.44140625" style="247" customWidth="1" outlineLevel="1"/>
    <col min="87" max="93" width="9" style="247" customWidth="1" outlineLevel="1"/>
    <col min="94" max="94" width="11.109375" style="247" customWidth="1" outlineLevel="1"/>
    <col min="95" max="95" width="11.44140625" style="248" customWidth="1" outlineLevel="1"/>
    <col min="96" max="96" width="11.109375" style="247" customWidth="1" outlineLevel="1"/>
    <col min="97" max="97" width="11.44140625" style="248" customWidth="1" outlineLevel="1"/>
    <col min="98" max="98" width="11.109375" style="247" customWidth="1" outlineLevel="1"/>
    <col min="99" max="99" width="11.44140625" style="249" customWidth="1" outlineLevel="1"/>
    <col min="100" max="100" width="9" style="241"/>
    <col min="101" max="101" width="9" style="241" hidden="1" customWidth="1"/>
    <col min="102" max="102" width="9" style="250" hidden="1" customWidth="1"/>
    <col min="103" max="103" width="9" style="248" hidden="1" customWidth="1"/>
    <col min="104" max="104" width="11" style="248" hidden="1" customWidth="1"/>
    <col min="105" max="105" width="9.77734375" style="248" hidden="1" customWidth="1"/>
    <col min="106" max="106" width="12.21875" style="248" hidden="1" customWidth="1"/>
    <col min="107" max="107" width="12.77734375" style="248" hidden="1" customWidth="1"/>
    <col min="108" max="108" width="10.33203125" style="248" hidden="1" customWidth="1"/>
    <col min="109" max="109" width="10.44140625" style="248" hidden="1" customWidth="1"/>
    <col min="110" max="113" width="9" style="248" hidden="1" customWidth="1"/>
    <col min="114" max="114" width="9" style="249" hidden="1" customWidth="1"/>
    <col min="115" max="116" width="9" style="241"/>
    <col min="117" max="117" width="11.21875" style="241" customWidth="1"/>
    <col min="118" max="118" width="9" style="241"/>
    <col min="119" max="119" width="9.21875" style="241" customWidth="1"/>
    <col min="120" max="121" width="9" style="241"/>
    <col min="122" max="122" width="9" style="241" customWidth="1" outlineLevel="1"/>
    <col min="123" max="123" width="9" style="242" customWidth="1" outlineLevel="1"/>
    <col min="124" max="125" width="9" style="241" customWidth="1" outlineLevel="1"/>
    <col min="126" max="126" width="9" style="242" customWidth="1" outlineLevel="1"/>
    <col min="127" max="128" width="9" style="241" customWidth="1" outlineLevel="1"/>
    <col min="129" max="129" width="9" style="242" customWidth="1" outlineLevel="1"/>
    <col min="130" max="131" width="9" style="241" customWidth="1" outlineLevel="1"/>
    <col min="132" max="132" width="9" style="242" customWidth="1" outlineLevel="1"/>
    <col min="133" max="134" width="9" style="241" customWidth="1" outlineLevel="1"/>
    <col min="135" max="135" width="9" style="242" customWidth="1" outlineLevel="1"/>
    <col min="136" max="137" width="9" style="241" customWidth="1" outlineLevel="1"/>
    <col min="138" max="138" width="9" style="242" customWidth="1" outlineLevel="1"/>
    <col min="139" max="140" width="9" style="241" customWidth="1" outlineLevel="1"/>
    <col min="141" max="141" width="9" style="242" customWidth="1" outlineLevel="1"/>
    <col min="142" max="143" width="9" style="241" customWidth="1" outlineLevel="1"/>
    <col min="144" max="144" width="9" style="242" customWidth="1" outlineLevel="1"/>
    <col min="145" max="146" width="9" style="241" customWidth="1" outlineLevel="1"/>
    <col min="147" max="147" width="9" style="242" customWidth="1" outlineLevel="1"/>
    <col min="148" max="149" width="9" style="241" customWidth="1" outlineLevel="1"/>
    <col min="150" max="150" width="9" style="242" customWidth="1" outlineLevel="1"/>
    <col min="151" max="151" width="9.44140625" style="241" customWidth="1" outlineLevel="1"/>
    <col min="152" max="152" width="9" style="241" customWidth="1" outlineLevel="1"/>
    <col min="153" max="153" width="9" style="242" customWidth="1" outlineLevel="1"/>
    <col min="154" max="155" width="9" style="241" customWidth="1" outlineLevel="1"/>
    <col min="156" max="156" width="9" style="242" customWidth="1" outlineLevel="1"/>
    <col min="157" max="158" width="9" style="241" customWidth="1" outlineLevel="1"/>
    <col min="159" max="159" width="9" style="242" customWidth="1" outlineLevel="1"/>
    <col min="160" max="161" width="9" style="241" customWidth="1" outlineLevel="1"/>
    <col min="162" max="162" width="9" style="242" customWidth="1" outlineLevel="1"/>
    <col min="163" max="164" width="9" style="241" customWidth="1" outlineLevel="1"/>
    <col min="165" max="165" width="9" style="242" customWidth="1" outlineLevel="1"/>
    <col min="166" max="167" width="9" style="241" customWidth="1" outlineLevel="1"/>
    <col min="168" max="168" width="9" style="242" customWidth="1" outlineLevel="1"/>
    <col min="169" max="170" width="9" style="241" customWidth="1" outlineLevel="1"/>
    <col min="171" max="171" width="9" style="242" customWidth="1" outlineLevel="1"/>
    <col min="172" max="173" width="9" style="241" customWidth="1" outlineLevel="1"/>
    <col min="174" max="174" width="9" style="242" customWidth="1" outlineLevel="1"/>
    <col min="175" max="176" width="9" style="241" customWidth="1" outlineLevel="1"/>
    <col min="177" max="177" width="9" style="242" customWidth="1" outlineLevel="1"/>
    <col min="178" max="179" width="9" style="241" customWidth="1" outlineLevel="1"/>
    <col min="180" max="180" width="9" style="242" customWidth="1" outlineLevel="1"/>
    <col min="181" max="181" width="9" style="241" customWidth="1" outlineLevel="1"/>
    <col min="182" max="182" width="9" style="241"/>
    <col min="183" max="183" width="11" style="241" customWidth="1"/>
    <col min="184" max="184" width="11.21875" style="241" customWidth="1"/>
    <col min="185" max="185" width="9" style="241"/>
    <col min="186" max="186" width="12.88671875" style="241" customWidth="1"/>
    <col min="187" max="188" width="9" style="241"/>
    <col min="189" max="189" width="9" style="241" customWidth="1" outlineLevel="1"/>
    <col min="190" max="190" width="9" style="242" customWidth="1" outlineLevel="1"/>
    <col min="191" max="192" width="9" style="241" customWidth="1" outlineLevel="1"/>
    <col min="193" max="193" width="9" style="242" customWidth="1" outlineLevel="1"/>
    <col min="194" max="195" width="9" style="241" customWidth="1" outlineLevel="1"/>
    <col min="196" max="196" width="9" style="242" customWidth="1" outlineLevel="1"/>
    <col min="197" max="198" width="9" style="241" customWidth="1" outlineLevel="1"/>
    <col min="199" max="199" width="9" style="242" customWidth="1" outlineLevel="1"/>
    <col min="200" max="201" width="9" style="241" customWidth="1" outlineLevel="1"/>
    <col min="202" max="202" width="9" style="242" customWidth="1" outlineLevel="1"/>
    <col min="203" max="204" width="9" style="241" customWidth="1" outlineLevel="1"/>
    <col min="205" max="205" width="9" style="242" customWidth="1" outlineLevel="1"/>
    <col min="206" max="207" width="9" style="241" customWidth="1" outlineLevel="1"/>
    <col min="208" max="208" width="9" style="242" customWidth="1" outlineLevel="1"/>
    <col min="209" max="210" width="9" style="241" customWidth="1" outlineLevel="1"/>
    <col min="211" max="211" width="9" style="242" customWidth="1" outlineLevel="1"/>
    <col min="212" max="213" width="9" style="241" customWidth="1" outlineLevel="1"/>
    <col min="214" max="214" width="9" style="242" customWidth="1" outlineLevel="1"/>
    <col min="215" max="216" width="9" style="241" customWidth="1" outlineLevel="1"/>
    <col min="217" max="217" width="9" style="242" customWidth="1" outlineLevel="1"/>
    <col min="218" max="218" width="9.44140625" style="241" customWidth="1" outlineLevel="1"/>
    <col min="219" max="219" width="9" style="241" customWidth="1" outlineLevel="1"/>
    <col min="220" max="220" width="9" style="242" customWidth="1" outlineLevel="1"/>
    <col min="221" max="222" width="9" style="241" customWidth="1" outlineLevel="1"/>
    <col min="223" max="223" width="9" style="242" customWidth="1" outlineLevel="1"/>
    <col min="224" max="225" width="9" style="241" customWidth="1" outlineLevel="1"/>
    <col min="226" max="226" width="9" style="242" customWidth="1" outlineLevel="1"/>
    <col min="227" max="227" width="14.21875" style="241" customWidth="1" outlineLevel="1"/>
    <col min="228" max="228" width="9" style="241" customWidth="1" outlineLevel="1"/>
    <col min="229" max="229" width="9" style="242" customWidth="1" outlineLevel="1"/>
    <col min="230" max="231" width="9" style="241" customWidth="1" outlineLevel="1"/>
    <col min="232" max="232" width="9" style="242" customWidth="1" outlineLevel="1"/>
    <col min="233" max="234" width="9" style="241" customWidth="1" outlineLevel="1"/>
    <col min="235" max="235" width="9" style="242" customWidth="1" outlineLevel="1"/>
    <col min="236" max="237" width="9" style="241" customWidth="1" outlineLevel="1"/>
    <col min="238" max="238" width="9" style="242" customWidth="1" outlineLevel="1"/>
    <col min="239" max="240" width="9" style="241" customWidth="1" outlineLevel="1"/>
    <col min="241" max="241" width="9" style="242" customWidth="1" outlineLevel="1"/>
    <col min="242" max="243" width="9" style="241" customWidth="1" outlineLevel="1"/>
    <col min="244" max="244" width="9" style="242" customWidth="1" outlineLevel="1"/>
    <col min="245" max="246" width="9" style="241" customWidth="1" outlineLevel="1"/>
    <col min="247" max="247" width="9" style="242" customWidth="1" outlineLevel="1"/>
    <col min="248" max="248" width="9" style="241" customWidth="1" outlineLevel="1"/>
    <col min="249" max="251" width="9" style="241"/>
    <col min="252" max="252" width="10.88671875" style="241" customWidth="1"/>
    <col min="253" max="258" width="10.6640625" style="241" customWidth="1" outlineLevel="1"/>
    <col min="259" max="263" width="10.44140625" style="241" customWidth="1" outlineLevel="1"/>
    <col min="264" max="272" width="15.44140625" style="241" customWidth="1" outlineLevel="1"/>
    <col min="273" max="275" width="9" style="241" customWidth="1" outlineLevel="1"/>
    <col min="276" max="276" width="9" style="241"/>
    <col min="277" max="277" width="13.44140625" style="241" customWidth="1"/>
    <col min="278" max="278" width="9" style="241"/>
    <col min="279" max="279" width="9.44140625" style="241" customWidth="1"/>
    <col min="280" max="280" width="9" style="241"/>
    <col min="281" max="281" width="16.6640625" style="241" customWidth="1"/>
    <col min="282" max="282" width="15.77734375" style="241" customWidth="1"/>
    <col min="283" max="283" width="9" style="241"/>
    <col min="284" max="284" width="13.33203125" style="241" customWidth="1"/>
    <col min="285" max="286" width="9" style="241"/>
    <col min="287" max="287" width="17.33203125" style="241" customWidth="1"/>
    <col min="288" max="288" width="9" style="241"/>
    <col min="289" max="289" width="16.6640625" style="241" customWidth="1"/>
    <col min="290" max="290" width="15.77734375" style="241" customWidth="1"/>
    <col min="291" max="291" width="9" style="241"/>
    <col min="292" max="292" width="13.33203125" style="241" customWidth="1"/>
    <col min="293" max="294" width="9" style="241"/>
    <col min="295" max="295" width="17.33203125" style="241" customWidth="1"/>
    <col min="296" max="296" width="9" style="241"/>
    <col min="297" max="297" width="16.6640625" style="241" customWidth="1"/>
    <col min="298" max="298" width="15.77734375" style="241" customWidth="1"/>
    <col min="299" max="299" width="9" style="241"/>
    <col min="300" max="300" width="13.33203125" style="241" customWidth="1"/>
    <col min="301" max="302" width="9" style="241"/>
    <col min="303" max="303" width="17.33203125" style="241" customWidth="1"/>
    <col min="304" max="304" width="9" style="241"/>
    <col min="305" max="305" width="16.6640625" style="241" customWidth="1"/>
    <col min="306" max="306" width="15.77734375" style="241" customWidth="1"/>
    <col min="307" max="307" width="9" style="241"/>
    <col min="308" max="308" width="13.33203125" style="241" customWidth="1"/>
    <col min="309" max="310" width="9" style="241"/>
    <col min="311" max="311" width="17.33203125" style="241" customWidth="1"/>
    <col min="312" max="312" width="9" style="241"/>
    <col min="313" max="313" width="16.6640625" style="241" customWidth="1"/>
    <col min="314" max="314" width="15.77734375" style="241" customWidth="1"/>
    <col min="315" max="315" width="9" style="241"/>
    <col min="316" max="316" width="13.33203125" style="241" customWidth="1"/>
    <col min="317" max="318" width="9" style="241"/>
    <col min="319" max="319" width="17.33203125" style="241" customWidth="1"/>
    <col min="320" max="16384" width="9" style="241"/>
  </cols>
  <sheetData>
    <row r="1" spans="1:319" ht="16.2" x14ac:dyDescent="0.4">
      <c r="A1" s="2" t="s">
        <v>0</v>
      </c>
      <c r="B1" s="2" t="s">
        <v>976</v>
      </c>
      <c r="C1" s="2" t="s">
        <v>0</v>
      </c>
      <c r="D1" s="2" t="s">
        <v>0</v>
      </c>
      <c r="E1" s="2" t="s">
        <v>0</v>
      </c>
      <c r="F1" s="2" t="s">
        <v>976</v>
      </c>
      <c r="G1" s="2" t="s">
        <v>976</v>
      </c>
      <c r="H1" s="251" t="s">
        <v>0</v>
      </c>
      <c r="I1" s="251" t="s">
        <v>1</v>
      </c>
      <c r="J1" s="2" t="s">
        <v>1</v>
      </c>
      <c r="K1" s="2" t="s">
        <v>1</v>
      </c>
      <c r="L1" s="2" t="s">
        <v>0</v>
      </c>
      <c r="M1" s="2" t="s">
        <v>1</v>
      </c>
      <c r="N1" s="2" t="s">
        <v>0</v>
      </c>
      <c r="O1" s="264" t="s">
        <v>1</v>
      </c>
      <c r="P1" s="264" t="s">
        <v>1</v>
      </c>
      <c r="Q1" s="272" t="s">
        <v>1</v>
      </c>
      <c r="R1" s="272" t="s">
        <v>1</v>
      </c>
      <c r="S1" s="272" t="s">
        <v>1</v>
      </c>
      <c r="T1" s="273" t="s">
        <v>1</v>
      </c>
      <c r="U1" s="274" t="s">
        <v>1</v>
      </c>
      <c r="V1" s="274" t="s">
        <v>1</v>
      </c>
      <c r="W1" s="275" t="s">
        <v>1</v>
      </c>
      <c r="X1" s="264" t="s">
        <v>1</v>
      </c>
      <c r="Y1" s="289" t="s">
        <v>1</v>
      </c>
      <c r="Z1" s="290" t="s">
        <v>1</v>
      </c>
      <c r="AA1" s="291" t="s">
        <v>1</v>
      </c>
      <c r="AB1" s="292" t="s">
        <v>1</v>
      </c>
      <c r="AC1" s="291" t="s">
        <v>1</v>
      </c>
      <c r="AD1" s="291" t="s">
        <v>1</v>
      </c>
      <c r="AE1" s="291" t="s">
        <v>1</v>
      </c>
      <c r="AF1" s="291" t="s">
        <v>1</v>
      </c>
      <c r="AG1" s="318" t="s">
        <v>1</v>
      </c>
      <c r="AH1" s="318" t="s">
        <v>1</v>
      </c>
      <c r="AI1" s="132" t="s">
        <v>1</v>
      </c>
      <c r="AJ1" s="132" t="s">
        <v>1</v>
      </c>
      <c r="AK1" s="132" t="s">
        <v>1</v>
      </c>
      <c r="AL1" s="132" t="s">
        <v>1</v>
      </c>
      <c r="AM1" s="132" t="s">
        <v>1</v>
      </c>
      <c r="AN1" s="132" t="s">
        <v>1</v>
      </c>
      <c r="AO1" s="319" t="s">
        <v>976</v>
      </c>
      <c r="AP1" s="2" t="s">
        <v>976</v>
      </c>
      <c r="AQ1" s="2" t="s">
        <v>976</v>
      </c>
      <c r="AR1" s="2" t="s">
        <v>976</v>
      </c>
      <c r="AS1" s="2" t="s">
        <v>976</v>
      </c>
      <c r="AT1" s="2" t="s">
        <v>976</v>
      </c>
      <c r="AU1" s="2" t="s">
        <v>976</v>
      </c>
      <c r="AV1" s="2" t="s">
        <v>976</v>
      </c>
      <c r="AW1" s="2" t="s">
        <v>976</v>
      </c>
      <c r="AX1" s="2" t="s">
        <v>976</v>
      </c>
      <c r="AY1" s="2" t="s">
        <v>976</v>
      </c>
      <c r="AZ1" s="2" t="s">
        <v>976</v>
      </c>
      <c r="BA1" s="2" t="s">
        <v>976</v>
      </c>
      <c r="BB1" s="2" t="s">
        <v>976</v>
      </c>
      <c r="BC1" s="2" t="s">
        <v>976</v>
      </c>
      <c r="BD1" s="2" t="s">
        <v>976</v>
      </c>
      <c r="BE1" s="2" t="s">
        <v>976</v>
      </c>
      <c r="BF1" s="2" t="s">
        <v>976</v>
      </c>
      <c r="BG1" s="2" t="s">
        <v>976</v>
      </c>
      <c r="BH1" s="2" t="s">
        <v>976</v>
      </c>
      <c r="BI1" s="2" t="s">
        <v>976</v>
      </c>
      <c r="BJ1" s="2" t="s">
        <v>976</v>
      </c>
      <c r="BK1" s="2" t="s">
        <v>976</v>
      </c>
      <c r="BL1" s="2" t="s">
        <v>1</v>
      </c>
      <c r="BM1" s="2" t="s">
        <v>1</v>
      </c>
      <c r="BN1" s="2" t="s">
        <v>1407</v>
      </c>
      <c r="BO1" s="256"/>
      <c r="BP1" s="256"/>
      <c r="BQ1" s="337" t="s">
        <v>1408</v>
      </c>
      <c r="BR1" s="98">
        <f>E50-'全局参数|GlobalPar'!B28</f>
        <v>150</v>
      </c>
      <c r="BS1" s="338" t="s">
        <v>0</v>
      </c>
      <c r="BT1" s="338" t="s">
        <v>1</v>
      </c>
      <c r="BW1" s="344" t="s">
        <v>1409</v>
      </c>
      <c r="BX1" s="345">
        <v>3</v>
      </c>
      <c r="BZ1" s="346" t="s">
        <v>1410</v>
      </c>
      <c r="CA1" s="328">
        <v>0.06</v>
      </c>
      <c r="CG1" s="755" t="s">
        <v>1411</v>
      </c>
      <c r="CH1" s="756"/>
      <c r="CI1" s="756"/>
      <c r="CJ1" s="776">
        <v>0.1</v>
      </c>
      <c r="CM1" s="757" t="s">
        <v>1412</v>
      </c>
      <c r="CN1" s="757"/>
      <c r="CO1" s="757"/>
      <c r="CP1" s="757"/>
      <c r="CQ1" s="757"/>
      <c r="CX1" s="379" t="s">
        <v>1413</v>
      </c>
      <c r="CY1" s="380" t="s">
        <v>112</v>
      </c>
      <c r="CZ1" s="765" t="s">
        <v>1414</v>
      </c>
      <c r="DA1" s="766"/>
      <c r="DB1" s="766"/>
      <c r="DC1" s="767"/>
      <c r="DD1" s="400" t="s">
        <v>1415</v>
      </c>
      <c r="DE1" s="401" t="e">
        <f>DA3*DE3*60*6*(1-CX2/(1+DB5))</f>
        <v>#DIV/0!</v>
      </c>
      <c r="DF1" s="402"/>
      <c r="DG1" s="403"/>
      <c r="DH1" s="404"/>
      <c r="DI1" s="404"/>
      <c r="DJ1" s="405"/>
      <c r="DL1" s="1" t="s">
        <v>1416</v>
      </c>
      <c r="DM1" s="1"/>
      <c r="DN1" s="1"/>
      <c r="DO1" s="1"/>
      <c r="DR1" s="86" t="s">
        <v>1417</v>
      </c>
      <c r="DS1" s="86"/>
      <c r="DV1" s="86"/>
      <c r="DY1" s="86"/>
      <c r="EB1" s="86"/>
      <c r="EE1" s="86"/>
      <c r="EH1" s="86"/>
      <c r="EK1" s="86"/>
      <c r="EN1" s="86"/>
      <c r="EQ1" s="86"/>
      <c r="ET1" s="86"/>
      <c r="EW1" s="86"/>
      <c r="EZ1" s="86"/>
      <c r="FC1" s="86"/>
      <c r="FF1" s="86"/>
      <c r="FI1" s="86"/>
      <c r="FL1" s="86"/>
      <c r="FO1" s="86"/>
      <c r="FR1" s="86"/>
      <c r="FU1" s="86"/>
      <c r="FX1" s="86"/>
      <c r="GA1" s="1" t="s">
        <v>1418</v>
      </c>
      <c r="GB1" s="1"/>
      <c r="GC1" s="1"/>
      <c r="GD1" s="1"/>
      <c r="GG1" s="86" t="s">
        <v>1419</v>
      </c>
      <c r="GH1" s="86"/>
      <c r="GK1" s="86"/>
      <c r="GN1" s="86"/>
      <c r="GQ1" s="86"/>
      <c r="GT1" s="86"/>
      <c r="GW1" s="86"/>
      <c r="GZ1" s="86"/>
      <c r="HC1" s="86"/>
      <c r="HF1" s="86"/>
      <c r="HI1" s="86"/>
      <c r="HL1" s="86"/>
      <c r="HO1" s="86"/>
      <c r="HR1" s="86"/>
      <c r="HU1" s="86"/>
      <c r="HX1" s="86"/>
      <c r="IA1" s="86"/>
      <c r="ID1" s="86"/>
      <c r="IG1" s="86"/>
      <c r="IJ1" s="86"/>
      <c r="IM1" s="86"/>
      <c r="IR1" s="441"/>
      <c r="IS1" s="442" t="s">
        <v>1420</v>
      </c>
      <c r="IZ1" s="449" t="s">
        <v>789</v>
      </c>
      <c r="JA1" s="450">
        <f>'全局参数|GlobalPar'!T264</f>
        <v>100000</v>
      </c>
      <c r="JQ1" s="451" t="s">
        <v>1421</v>
      </c>
      <c r="JR1" s="451" t="s">
        <v>114</v>
      </c>
      <c r="JS1" s="451" t="s">
        <v>1422</v>
      </c>
      <c r="JU1" s="241" t="s">
        <v>978</v>
      </c>
      <c r="JV1" s="241" t="s">
        <v>1423</v>
      </c>
      <c r="JW1" s="241" t="s">
        <v>115</v>
      </c>
      <c r="JX1" s="241" t="s">
        <v>1424</v>
      </c>
      <c r="JY1" s="241" t="s">
        <v>115</v>
      </c>
      <c r="JZ1" s="241" t="s">
        <v>808</v>
      </c>
      <c r="KA1" s="241" t="s">
        <v>1425</v>
      </c>
      <c r="KC1" s="241" t="s">
        <v>978</v>
      </c>
      <c r="KD1" s="241" t="s">
        <v>1423</v>
      </c>
      <c r="KE1" s="241" t="s">
        <v>115</v>
      </c>
      <c r="KF1" s="241" t="s">
        <v>1424</v>
      </c>
      <c r="KG1" s="241" t="s">
        <v>115</v>
      </c>
      <c r="KH1" s="241" t="s">
        <v>808</v>
      </c>
      <c r="KI1" s="241" t="s">
        <v>1425</v>
      </c>
      <c r="KK1" s="241" t="s">
        <v>978</v>
      </c>
      <c r="KL1" s="241" t="s">
        <v>1423</v>
      </c>
      <c r="KM1" s="241" t="s">
        <v>115</v>
      </c>
      <c r="KN1" s="241" t="s">
        <v>1424</v>
      </c>
      <c r="KO1" s="241" t="s">
        <v>115</v>
      </c>
      <c r="KP1" s="241" t="s">
        <v>808</v>
      </c>
      <c r="KQ1" s="241" t="s">
        <v>1425</v>
      </c>
      <c r="KS1" s="241" t="s">
        <v>978</v>
      </c>
      <c r="KT1" s="241" t="s">
        <v>1423</v>
      </c>
      <c r="KU1" s="241" t="s">
        <v>115</v>
      </c>
      <c r="KV1" s="241" t="s">
        <v>1424</v>
      </c>
      <c r="KW1" s="241" t="s">
        <v>115</v>
      </c>
      <c r="KX1" s="241" t="s">
        <v>808</v>
      </c>
      <c r="KY1" s="241" t="s">
        <v>1425</v>
      </c>
      <c r="LA1" s="241" t="s">
        <v>978</v>
      </c>
      <c r="LB1" s="241" t="s">
        <v>1423</v>
      </c>
      <c r="LC1" s="241" t="s">
        <v>115</v>
      </c>
      <c r="LD1" s="241" t="s">
        <v>1424</v>
      </c>
      <c r="LE1" s="241" t="s">
        <v>115</v>
      </c>
      <c r="LF1" s="241" t="s">
        <v>808</v>
      </c>
      <c r="LG1" s="241" t="s">
        <v>1425</v>
      </c>
    </row>
    <row r="2" spans="1:319" ht="16.2" x14ac:dyDescent="0.4">
      <c r="A2" s="2" t="s">
        <v>11</v>
      </c>
      <c r="B2" s="2" t="s">
        <v>14</v>
      </c>
      <c r="C2" s="2" t="s">
        <v>11</v>
      </c>
      <c r="D2" s="2" t="s">
        <v>11</v>
      </c>
      <c r="E2" s="2" t="s">
        <v>11</v>
      </c>
      <c r="F2" s="2" t="s">
        <v>14</v>
      </c>
      <c r="G2" s="2" t="s">
        <v>11</v>
      </c>
      <c r="H2" s="2" t="s">
        <v>14</v>
      </c>
      <c r="I2" s="2" t="s">
        <v>14</v>
      </c>
      <c r="J2" s="2" t="s">
        <v>11</v>
      </c>
      <c r="K2" s="2" t="s">
        <v>11</v>
      </c>
      <c r="L2" s="2" t="s">
        <v>13</v>
      </c>
      <c r="M2" s="2" t="s">
        <v>13</v>
      </c>
      <c r="N2" s="2" t="s">
        <v>11</v>
      </c>
      <c r="O2" s="2" t="s">
        <v>13</v>
      </c>
      <c r="P2" s="2" t="s">
        <v>13</v>
      </c>
      <c r="Q2" s="276" t="s">
        <v>13</v>
      </c>
      <c r="R2" s="273" t="s">
        <v>11</v>
      </c>
      <c r="S2" s="273" t="s">
        <v>11</v>
      </c>
      <c r="T2" s="273" t="s">
        <v>14</v>
      </c>
      <c r="U2" s="275" t="s">
        <v>11</v>
      </c>
      <c r="V2" s="275" t="s">
        <v>11</v>
      </c>
      <c r="W2" s="275" t="s">
        <v>14</v>
      </c>
      <c r="X2" s="3" t="s">
        <v>1014</v>
      </c>
      <c r="Y2" s="293" t="s">
        <v>13</v>
      </c>
      <c r="Z2" s="276" t="s">
        <v>13</v>
      </c>
      <c r="AA2" s="273" t="s">
        <v>13</v>
      </c>
      <c r="AB2" s="294" t="s">
        <v>13</v>
      </c>
      <c r="AC2" s="273" t="s">
        <v>13</v>
      </c>
      <c r="AD2" s="273" t="s">
        <v>13</v>
      </c>
      <c r="AE2" s="273" t="s">
        <v>13</v>
      </c>
      <c r="AF2" s="273" t="s">
        <v>13</v>
      </c>
      <c r="AG2" s="318" t="s">
        <v>14</v>
      </c>
      <c r="AH2" s="318" t="s">
        <v>14</v>
      </c>
      <c r="AI2" s="132" t="s">
        <v>13</v>
      </c>
      <c r="AJ2" s="132" t="s">
        <v>11</v>
      </c>
      <c r="AK2" s="132" t="s">
        <v>11</v>
      </c>
      <c r="AL2" s="132" t="s">
        <v>11</v>
      </c>
      <c r="AM2" s="132" t="s">
        <v>13</v>
      </c>
      <c r="AN2" s="132" t="s">
        <v>14</v>
      </c>
      <c r="AO2" s="319" t="s">
        <v>11</v>
      </c>
      <c r="AP2" s="2" t="s">
        <v>11</v>
      </c>
      <c r="AQ2" s="2" t="s">
        <v>11</v>
      </c>
      <c r="AR2" s="2" t="s">
        <v>11</v>
      </c>
      <c r="AS2" s="2" t="s">
        <v>11</v>
      </c>
      <c r="AT2" s="2" t="s">
        <v>11</v>
      </c>
      <c r="AU2" s="2" t="s">
        <v>13</v>
      </c>
      <c r="AV2" s="2" t="s">
        <v>13</v>
      </c>
      <c r="AW2" s="2" t="s">
        <v>13</v>
      </c>
      <c r="AX2" s="2" t="s">
        <v>13</v>
      </c>
      <c r="AY2" s="2" t="s">
        <v>12</v>
      </c>
      <c r="AZ2" s="2" t="s">
        <v>12</v>
      </c>
      <c r="BA2" s="2" t="s">
        <v>12</v>
      </c>
      <c r="BB2" s="2" t="s">
        <v>13</v>
      </c>
      <c r="BC2" s="2" t="s">
        <v>11</v>
      </c>
      <c r="BD2" s="2" t="s">
        <v>13</v>
      </c>
      <c r="BE2" s="2" t="s">
        <v>13</v>
      </c>
      <c r="BF2" s="2" t="s">
        <v>13</v>
      </c>
      <c r="BG2" s="2" t="s">
        <v>12</v>
      </c>
      <c r="BH2" s="2" t="s">
        <v>12</v>
      </c>
      <c r="BI2" s="2" t="s">
        <v>12</v>
      </c>
      <c r="BJ2" s="2" t="s">
        <v>12</v>
      </c>
      <c r="BK2" s="2" t="s">
        <v>12</v>
      </c>
      <c r="BL2" s="2" t="s">
        <v>11</v>
      </c>
      <c r="BM2" s="2" t="s">
        <v>11</v>
      </c>
      <c r="BN2" s="2" t="s">
        <v>13</v>
      </c>
      <c r="BO2" s="256"/>
      <c r="BP2" s="256"/>
      <c r="BQ2" s="337" t="s">
        <v>1426</v>
      </c>
      <c r="BR2" s="39">
        <v>0.75</v>
      </c>
      <c r="BS2" s="338" t="s">
        <v>13</v>
      </c>
      <c r="BT2" s="338" t="s">
        <v>13</v>
      </c>
      <c r="BW2" s="347" t="s">
        <v>1427</v>
      </c>
      <c r="BX2" s="348">
        <v>0.2</v>
      </c>
      <c r="BZ2" s="346" t="s">
        <v>1428</v>
      </c>
      <c r="CA2" s="39">
        <f>E53</f>
        <v>300</v>
      </c>
      <c r="CG2" s="755"/>
      <c r="CH2" s="756"/>
      <c r="CI2" s="756"/>
      <c r="CJ2" s="776"/>
      <c r="CM2" s="757"/>
      <c r="CN2" s="757"/>
      <c r="CO2" s="757"/>
      <c r="CP2" s="757"/>
      <c r="CQ2" s="757"/>
      <c r="CX2" s="381">
        <v>0.96</v>
      </c>
      <c r="CY2" s="382">
        <f>500000/1000</f>
        <v>500</v>
      </c>
      <c r="CZ2" s="777" t="s">
        <v>1429</v>
      </c>
      <c r="DA2" s="132" t="s">
        <v>1430</v>
      </c>
      <c r="DB2" s="132" t="s">
        <v>1431</v>
      </c>
      <c r="DC2" s="132"/>
      <c r="DD2" s="274" t="s">
        <v>1432</v>
      </c>
      <c r="DE2" s="275">
        <f>DF5</f>
        <v>1</v>
      </c>
      <c r="DF2" s="406" t="e">
        <f>1/(15000/(DE1/DE2))</f>
        <v>#DIV/0!</v>
      </c>
      <c r="DG2" s="407"/>
      <c r="DH2" s="408"/>
      <c r="DI2" s="143">
        <v>1000</v>
      </c>
      <c r="DJ2" s="409"/>
      <c r="DL2" s="425" t="s">
        <v>177</v>
      </c>
      <c r="DM2" s="139">
        <v>5000</v>
      </c>
      <c r="DN2" s="758" t="s">
        <v>1433</v>
      </c>
      <c r="DO2" s="761">
        <f>1/((DM2/(DM5*(1-DM4)))/DM6)/DM3/DM4</f>
        <v>8.3333333333333422E-6</v>
      </c>
      <c r="GA2" s="425" t="s">
        <v>177</v>
      </c>
      <c r="GB2" s="139">
        <v>7200000</v>
      </c>
      <c r="GC2" s="758" t="s">
        <v>1434</v>
      </c>
      <c r="GD2" s="751">
        <f>1/((GB2/(GB5*(1-GB4)))/GB6)/GB3</f>
        <v>5.5555555555555601E-9</v>
      </c>
      <c r="GF2" s="339"/>
      <c r="IR2" s="443" t="s">
        <v>1435</v>
      </c>
      <c r="IS2" s="241" t="e">
        <f t="shared" ref="IS2:JL2" si="0">1/(0.96/($E5*(1+$AC5*IS$4/10000))*IS5)/6/60</f>
        <v>#DIV/0!</v>
      </c>
      <c r="IT2" s="241" t="e">
        <f t="shared" si="0"/>
        <v>#DIV/0!</v>
      </c>
      <c r="IU2" s="241" t="e">
        <f t="shared" si="0"/>
        <v>#DIV/0!</v>
      </c>
      <c r="IV2" s="241">
        <f t="shared" si="0"/>
        <v>75.9548611111111</v>
      </c>
      <c r="IW2" s="241">
        <f t="shared" si="0"/>
        <v>60.763888888888893</v>
      </c>
      <c r="IX2" s="241">
        <f t="shared" si="0"/>
        <v>30.381944444444446</v>
      </c>
      <c r="IY2" s="241">
        <f t="shared" si="0"/>
        <v>15.190972222222223</v>
      </c>
      <c r="IZ2" s="241">
        <f t="shared" si="0"/>
        <v>10.127314814814815</v>
      </c>
      <c r="JA2" s="241">
        <f t="shared" si="0"/>
        <v>7.5954861111111116</v>
      </c>
      <c r="JB2" s="241">
        <f t="shared" si="0"/>
        <v>6.0763888888888884</v>
      </c>
      <c r="JC2" s="241">
        <f t="shared" si="0"/>
        <v>3.0381944444444442</v>
      </c>
      <c r="JD2" s="241">
        <f t="shared" si="0"/>
        <v>2.3871527777777777</v>
      </c>
      <c r="JE2" s="241">
        <f t="shared" si="0"/>
        <v>2.3634105530959029</v>
      </c>
      <c r="JF2" s="241">
        <f t="shared" si="0"/>
        <v>2.3517247741499494</v>
      </c>
      <c r="JG2" s="241">
        <f t="shared" si="0"/>
        <v>2.3446762964445038</v>
      </c>
      <c r="JH2" s="241">
        <f t="shared" si="0"/>
        <v>2.3311357419268748</v>
      </c>
      <c r="JI2" s="241">
        <f t="shared" si="0"/>
        <v>2.3257582502374166</v>
      </c>
      <c r="JJ2" s="241">
        <f t="shared" si="0"/>
        <v>2.3233469848053181</v>
      </c>
      <c r="JK2" s="241">
        <f t="shared" si="0"/>
        <v>2.3221413520892686</v>
      </c>
      <c r="JL2" s="241">
        <f t="shared" si="0"/>
        <v>2.3270047783727503</v>
      </c>
      <c r="JU2" s="241">
        <v>20000</v>
      </c>
      <c r="KC2" s="241">
        <f>JU2+20000</f>
        <v>40000</v>
      </c>
      <c r="KK2" s="241">
        <f>KC2+20000</f>
        <v>60000</v>
      </c>
      <c r="KS2" s="241">
        <f>KK2+20000</f>
        <v>80000</v>
      </c>
      <c r="LA2" s="241">
        <f>KS2+20000</f>
        <v>100000</v>
      </c>
    </row>
    <row r="3" spans="1:319" ht="18.600000000000001" customHeight="1" x14ac:dyDescent="0.4">
      <c r="A3" s="2" t="s">
        <v>1436</v>
      </c>
      <c r="B3" s="2" t="s">
        <v>1437</v>
      </c>
      <c r="C3" s="2" t="s">
        <v>1438</v>
      </c>
      <c r="D3" s="2" t="s">
        <v>1439</v>
      </c>
      <c r="E3" s="2" t="s">
        <v>979</v>
      </c>
      <c r="F3" s="2" t="s">
        <v>1440</v>
      </c>
      <c r="G3" s="2" t="s">
        <v>1441</v>
      </c>
      <c r="H3" s="251" t="s">
        <v>1442</v>
      </c>
      <c r="I3" s="251" t="s">
        <v>1443</v>
      </c>
      <c r="J3" s="2" t="s">
        <v>1444</v>
      </c>
      <c r="K3" s="2" t="s">
        <v>1445</v>
      </c>
      <c r="L3" s="2" t="s">
        <v>1446</v>
      </c>
      <c r="M3" s="2" t="s">
        <v>1447</v>
      </c>
      <c r="N3" s="2" t="s">
        <v>1448</v>
      </c>
      <c r="O3" s="2" t="s">
        <v>1449</v>
      </c>
      <c r="P3" s="2" t="s">
        <v>1450</v>
      </c>
      <c r="Q3" s="273" t="s">
        <v>1451</v>
      </c>
      <c r="R3" s="273" t="s">
        <v>1452</v>
      </c>
      <c r="S3" s="277" t="s">
        <v>1453</v>
      </c>
      <c r="T3" s="273" t="s">
        <v>1454</v>
      </c>
      <c r="U3" s="275" t="s">
        <v>1455</v>
      </c>
      <c r="V3" s="278" t="s">
        <v>1456</v>
      </c>
      <c r="W3" s="275" t="s">
        <v>1457</v>
      </c>
      <c r="X3" s="3" t="s">
        <v>1458</v>
      </c>
      <c r="Y3" s="295" t="s">
        <v>1459</v>
      </c>
      <c r="Z3" s="296" t="s">
        <v>1460</v>
      </c>
      <c r="AA3" s="297" t="s">
        <v>1461</v>
      </c>
      <c r="AB3" s="298" t="s">
        <v>1462</v>
      </c>
      <c r="AC3" s="297" t="s">
        <v>1463</v>
      </c>
      <c r="AD3" s="297" t="s">
        <v>1464</v>
      </c>
      <c r="AE3" s="297" t="s">
        <v>1465</v>
      </c>
      <c r="AF3" s="297" t="s">
        <v>1466</v>
      </c>
      <c r="AG3" s="320" t="s">
        <v>1467</v>
      </c>
      <c r="AH3" s="320" t="s">
        <v>1468</v>
      </c>
      <c r="AI3" s="321" t="s">
        <v>1469</v>
      </c>
      <c r="AJ3" s="321" t="s">
        <v>1470</v>
      </c>
      <c r="AK3" s="321" t="s">
        <v>1471</v>
      </c>
      <c r="AL3" s="321" t="s">
        <v>1472</v>
      </c>
      <c r="AM3" s="321" t="s">
        <v>2544</v>
      </c>
      <c r="AN3" s="321" t="s">
        <v>2545</v>
      </c>
      <c r="AO3" s="319" t="s">
        <v>1473</v>
      </c>
      <c r="AP3" s="2" t="s">
        <v>1474</v>
      </c>
      <c r="AQ3" s="2" t="s">
        <v>1475</v>
      </c>
      <c r="AR3" s="2" t="s">
        <v>1476</v>
      </c>
      <c r="AS3" s="2" t="s">
        <v>1477</v>
      </c>
      <c r="AT3" s="2" t="s">
        <v>1478</v>
      </c>
      <c r="AU3" s="2" t="s">
        <v>1479</v>
      </c>
      <c r="AV3" s="2" t="s">
        <v>1480</v>
      </c>
      <c r="AW3" s="2" t="s">
        <v>1481</v>
      </c>
      <c r="AX3" s="2" t="s">
        <v>1482</v>
      </c>
      <c r="AY3" s="2" t="s">
        <v>1483</v>
      </c>
      <c r="AZ3" s="2" t="s">
        <v>1484</v>
      </c>
      <c r="BA3" s="2" t="s">
        <v>1485</v>
      </c>
      <c r="BB3" s="2" t="s">
        <v>1486</v>
      </c>
      <c r="BC3" s="2" t="s">
        <v>1487</v>
      </c>
      <c r="BD3" s="2" t="s">
        <v>1488</v>
      </c>
      <c r="BE3" s="2" t="s">
        <v>1489</v>
      </c>
      <c r="BF3" s="2" t="s">
        <v>1490</v>
      </c>
      <c r="BG3" s="2" t="s">
        <v>1491</v>
      </c>
      <c r="BH3" s="2" t="s">
        <v>1492</v>
      </c>
      <c r="BI3" s="2" t="s">
        <v>1493</v>
      </c>
      <c r="BJ3" s="2" t="s">
        <v>1494</v>
      </c>
      <c r="BK3" s="2" t="s">
        <v>1495</v>
      </c>
      <c r="BL3" s="2" t="s">
        <v>1496</v>
      </c>
      <c r="BM3" s="2" t="s">
        <v>1497</v>
      </c>
      <c r="BN3" s="2" t="s">
        <v>1498</v>
      </c>
      <c r="BO3" s="256"/>
      <c r="BP3" s="256"/>
      <c r="BQ3" s="339" t="s">
        <v>1499</v>
      </c>
      <c r="BR3" s="39">
        <v>0.6</v>
      </c>
      <c r="BS3" s="338" t="s">
        <v>142</v>
      </c>
      <c r="BT3" s="338" t="s">
        <v>1500</v>
      </c>
      <c r="BW3" s="347" t="s">
        <v>1501</v>
      </c>
      <c r="BX3" s="349">
        <f>60/BX2</f>
        <v>300</v>
      </c>
      <c r="BZ3" s="350" t="s">
        <v>1502</v>
      </c>
      <c r="CP3" s="247">
        <v>75</v>
      </c>
      <c r="CR3" s="247">
        <v>150</v>
      </c>
      <c r="CT3" s="247">
        <v>225</v>
      </c>
      <c r="CX3" s="383"/>
      <c r="CY3" s="384"/>
      <c r="CZ3" s="778"/>
      <c r="DA3" s="385">
        <v>1000</v>
      </c>
      <c r="DB3" s="386">
        <v>0.6</v>
      </c>
      <c r="DC3" s="132"/>
      <c r="DD3" s="410" t="s">
        <v>1503</v>
      </c>
      <c r="DE3" s="411" t="e">
        <f>DE5/6/60</f>
        <v>#DIV/0!</v>
      </c>
      <c r="DF3" s="768" t="str">
        <f>DA3&amp;"倍炮掉落总额"</f>
        <v>1000倍炮掉落总额</v>
      </c>
      <c r="DG3" s="769"/>
      <c r="DH3" s="412"/>
      <c r="DI3" s="770" t="s">
        <v>1504</v>
      </c>
      <c r="DJ3" s="771"/>
      <c r="DL3" s="426" t="s">
        <v>1372</v>
      </c>
      <c r="DM3" s="117">
        <v>1</v>
      </c>
      <c r="DN3" s="759"/>
      <c r="DO3" s="762"/>
      <c r="DR3" s="241" t="s">
        <v>1505</v>
      </c>
      <c r="DS3" s="242" t="s">
        <v>110</v>
      </c>
      <c r="DV3" s="242" t="s">
        <v>110</v>
      </c>
      <c r="DY3" s="242" t="s">
        <v>110</v>
      </c>
      <c r="EB3" s="242" t="s">
        <v>110</v>
      </c>
      <c r="EE3" s="242" t="s">
        <v>110</v>
      </c>
      <c r="EH3" s="242" t="s">
        <v>110</v>
      </c>
      <c r="EK3" s="242" t="s">
        <v>110</v>
      </c>
      <c r="EN3" s="242" t="s">
        <v>110</v>
      </c>
      <c r="EQ3" s="242" t="s">
        <v>110</v>
      </c>
      <c r="ET3" s="242" t="s">
        <v>110</v>
      </c>
      <c r="EW3" s="242" t="s">
        <v>110</v>
      </c>
      <c r="EZ3" s="242" t="s">
        <v>110</v>
      </c>
      <c r="FC3" s="242" t="s">
        <v>110</v>
      </c>
      <c r="FF3" s="242" t="s">
        <v>110</v>
      </c>
      <c r="FI3" s="242" t="s">
        <v>110</v>
      </c>
      <c r="FL3" s="242" t="s">
        <v>110</v>
      </c>
      <c r="FO3" s="242" t="s">
        <v>110</v>
      </c>
      <c r="FR3" s="242" t="s">
        <v>110</v>
      </c>
      <c r="FU3" s="242" t="s">
        <v>110</v>
      </c>
      <c r="FX3" s="242" t="s">
        <v>110</v>
      </c>
      <c r="GA3" s="426" t="s">
        <v>1372</v>
      </c>
      <c r="GB3" s="117">
        <v>1</v>
      </c>
      <c r="GC3" s="759"/>
      <c r="GD3" s="752"/>
      <c r="GF3" s="339"/>
      <c r="IR3" s="444" t="s">
        <v>978</v>
      </c>
      <c r="IS3" s="39">
        <v>20</v>
      </c>
      <c r="IT3" s="39">
        <v>40</v>
      </c>
      <c r="IU3" s="39">
        <v>60</v>
      </c>
      <c r="IV3" s="39">
        <v>80</v>
      </c>
      <c r="IW3" s="39">
        <v>100</v>
      </c>
      <c r="IX3" s="39">
        <f>IS3*10</f>
        <v>200</v>
      </c>
      <c r="IY3" s="39">
        <f t="shared" ref="IY3" si="1">IT3*10</f>
        <v>400</v>
      </c>
      <c r="IZ3" s="39">
        <f t="shared" ref="IZ3" si="2">IU3*10</f>
        <v>600</v>
      </c>
      <c r="JA3" s="39">
        <f t="shared" ref="JA3" si="3">IV3*10</f>
        <v>800</v>
      </c>
      <c r="JB3" s="39">
        <f t="shared" ref="JB3" si="4">IW3*10</f>
        <v>1000</v>
      </c>
      <c r="JC3" s="39">
        <f t="shared" ref="JC3" si="5">IX3*10</f>
        <v>2000</v>
      </c>
      <c r="JD3" s="39">
        <f t="shared" ref="JD3" si="6">IY3*10</f>
        <v>4000</v>
      </c>
      <c r="JE3" s="39">
        <f t="shared" ref="JE3" si="7">IZ3*10</f>
        <v>6000</v>
      </c>
      <c r="JF3" s="39">
        <f t="shared" ref="JF3" si="8">JA3*10</f>
        <v>8000</v>
      </c>
      <c r="JG3" s="39">
        <f t="shared" ref="JG3" si="9">JB3*10</f>
        <v>10000</v>
      </c>
      <c r="JH3" s="39">
        <f t="shared" ref="JH3" si="10">JC3*10</f>
        <v>20000</v>
      </c>
      <c r="JI3" s="39">
        <f t="shared" ref="JI3" si="11">JD3*10</f>
        <v>40000</v>
      </c>
      <c r="JJ3" s="39">
        <f t="shared" ref="JJ3" si="12">JE3*10</f>
        <v>60000</v>
      </c>
      <c r="JK3" s="39">
        <f t="shared" ref="JK3" si="13">JF3*10</f>
        <v>80000</v>
      </c>
      <c r="JL3" s="39">
        <f t="shared" ref="JL3" si="14">JG3*10</f>
        <v>100000</v>
      </c>
    </row>
    <row r="4" spans="1:319" ht="105.6" x14ac:dyDescent="0.4">
      <c r="A4" s="252" t="s">
        <v>1506</v>
      </c>
      <c r="B4" s="79" t="s">
        <v>1507</v>
      </c>
      <c r="C4" s="79" t="s">
        <v>1508</v>
      </c>
      <c r="D4" s="79" t="s">
        <v>1509</v>
      </c>
      <c r="E4" s="79" t="s">
        <v>1510</v>
      </c>
      <c r="F4" s="79" t="s">
        <v>1511</v>
      </c>
      <c r="G4" s="79" t="s">
        <v>1512</v>
      </c>
      <c r="H4" s="253" t="s">
        <v>1513</v>
      </c>
      <c r="I4" s="253" t="s">
        <v>1514</v>
      </c>
      <c r="J4" s="79" t="s">
        <v>1515</v>
      </c>
      <c r="K4" s="79" t="s">
        <v>1516</v>
      </c>
      <c r="L4" s="79" t="s">
        <v>1517</v>
      </c>
      <c r="M4" s="79" t="s">
        <v>1518</v>
      </c>
      <c r="N4" s="79" t="s">
        <v>1519</v>
      </c>
      <c r="O4" s="79" t="s">
        <v>1520</v>
      </c>
      <c r="P4" s="79" t="s">
        <v>1521</v>
      </c>
      <c r="Q4" s="279" t="s">
        <v>1522</v>
      </c>
      <c r="R4" s="279" t="s">
        <v>1523</v>
      </c>
      <c r="S4" s="279" t="s">
        <v>1524</v>
      </c>
      <c r="T4" s="279" t="s">
        <v>1525</v>
      </c>
      <c r="U4" s="280" t="s">
        <v>1526</v>
      </c>
      <c r="V4" s="280" t="s">
        <v>1527</v>
      </c>
      <c r="W4" s="280" t="s">
        <v>1525</v>
      </c>
      <c r="X4" s="79" t="s">
        <v>1528</v>
      </c>
      <c r="Y4" s="299" t="s">
        <v>1529</v>
      </c>
      <c r="Z4" s="300" t="s">
        <v>1530</v>
      </c>
      <c r="AA4" s="301" t="s">
        <v>1531</v>
      </c>
      <c r="AB4" s="302" t="s">
        <v>1532</v>
      </c>
      <c r="AC4" s="301" t="s">
        <v>1533</v>
      </c>
      <c r="AD4" s="301" t="s">
        <v>1534</v>
      </c>
      <c r="AE4" s="301" t="s">
        <v>1535</v>
      </c>
      <c r="AF4" s="301" t="s">
        <v>1536</v>
      </c>
      <c r="AG4" s="322" t="s">
        <v>1537</v>
      </c>
      <c r="AH4" s="322" t="s">
        <v>1538</v>
      </c>
      <c r="AI4" s="195" t="s">
        <v>1539</v>
      </c>
      <c r="AJ4" s="195" t="s">
        <v>1540</v>
      </c>
      <c r="AK4" s="195" t="s">
        <v>1541</v>
      </c>
      <c r="AL4" s="195" t="s">
        <v>1542</v>
      </c>
      <c r="AM4" s="195" t="s">
        <v>2546</v>
      </c>
      <c r="AN4" s="195" t="s">
        <v>2547</v>
      </c>
      <c r="AO4" s="323" t="s">
        <v>1543</v>
      </c>
      <c r="AP4" s="79" t="s">
        <v>1544</v>
      </c>
      <c r="AQ4" s="79" t="s">
        <v>1545</v>
      </c>
      <c r="AR4" s="89" t="s">
        <v>1546</v>
      </c>
      <c r="AS4" s="79" t="s">
        <v>1547</v>
      </c>
      <c r="AT4" s="79" t="s">
        <v>1548</v>
      </c>
      <c r="AU4" s="79" t="s">
        <v>1549</v>
      </c>
      <c r="AV4" s="79" t="s">
        <v>1550</v>
      </c>
      <c r="AW4" s="79" t="s">
        <v>1551</v>
      </c>
      <c r="AX4" s="325" t="s">
        <v>1552</v>
      </c>
      <c r="AY4" s="325" t="s">
        <v>1553</v>
      </c>
      <c r="AZ4" s="79" t="s">
        <v>1554</v>
      </c>
      <c r="BA4" s="79" t="s">
        <v>1555</v>
      </c>
      <c r="BB4" s="79" t="s">
        <v>1556</v>
      </c>
      <c r="BC4" s="184" t="s">
        <v>1557</v>
      </c>
      <c r="BD4" s="79" t="s">
        <v>1558</v>
      </c>
      <c r="BE4" s="79" t="s">
        <v>1559</v>
      </c>
      <c r="BF4" s="327" t="s">
        <v>1560</v>
      </c>
      <c r="BG4" s="327" t="s">
        <v>1561</v>
      </c>
      <c r="BH4" s="79" t="s">
        <v>1562</v>
      </c>
      <c r="BI4" s="79" t="s">
        <v>1563</v>
      </c>
      <c r="BJ4" s="79" t="s">
        <v>1564</v>
      </c>
      <c r="BK4" s="79" t="s">
        <v>1565</v>
      </c>
      <c r="BL4" s="79" t="s">
        <v>1566</v>
      </c>
      <c r="BM4" s="79" t="s">
        <v>1567</v>
      </c>
      <c r="BN4" s="184" t="s">
        <v>1568</v>
      </c>
      <c r="BO4" s="340" t="s">
        <v>1569</v>
      </c>
      <c r="BP4" s="340" t="s">
        <v>1570</v>
      </c>
      <c r="BQ4" s="265"/>
      <c r="BR4" s="265"/>
      <c r="BS4" s="341" t="s">
        <v>1571</v>
      </c>
      <c r="BT4" s="341" t="s">
        <v>1572</v>
      </c>
      <c r="BV4" s="342" t="s">
        <v>1573</v>
      </c>
      <c r="BW4" s="351" t="s">
        <v>1574</v>
      </c>
      <c r="BX4" s="352">
        <f>BX1/BX3*0</f>
        <v>0</v>
      </c>
      <c r="CF4" s="366" t="s">
        <v>1412</v>
      </c>
      <c r="CG4" s="367" t="s">
        <v>1575</v>
      </c>
      <c r="CH4" s="368" t="s">
        <v>1411</v>
      </c>
      <c r="CI4" s="369" t="s">
        <v>1576</v>
      </c>
      <c r="CJ4" s="369" t="s">
        <v>1577</v>
      </c>
      <c r="CK4" s="370" t="s">
        <v>1578</v>
      </c>
      <c r="CL4" s="370" t="s">
        <v>1579</v>
      </c>
      <c r="CM4" s="375" t="s">
        <v>1580</v>
      </c>
      <c r="CN4" s="375" t="s">
        <v>1581</v>
      </c>
      <c r="CO4" s="368" t="s">
        <v>1582</v>
      </c>
      <c r="CP4" s="368" t="s">
        <v>1583</v>
      </c>
      <c r="CQ4" s="376" t="s">
        <v>1584</v>
      </c>
      <c r="CR4" s="368" t="s">
        <v>1585</v>
      </c>
      <c r="CS4" s="376" t="s">
        <v>1586</v>
      </c>
      <c r="CT4" s="368" t="s">
        <v>1587</v>
      </c>
      <c r="CU4" s="387" t="s">
        <v>1588</v>
      </c>
      <c r="CX4" s="388" t="s">
        <v>1589</v>
      </c>
      <c r="CY4" s="389" t="s">
        <v>1590</v>
      </c>
      <c r="CZ4" s="389" t="s">
        <v>1591</v>
      </c>
      <c r="DA4" s="390" t="s">
        <v>1592</v>
      </c>
      <c r="DB4" s="391" t="s">
        <v>1593</v>
      </c>
      <c r="DC4" s="413" t="s">
        <v>1594</v>
      </c>
      <c r="DD4" s="414" t="s">
        <v>1595</v>
      </c>
      <c r="DE4" s="415" t="s">
        <v>1596</v>
      </c>
      <c r="DF4" s="416" t="s">
        <v>1597</v>
      </c>
      <c r="DG4" s="417" t="s">
        <v>1598</v>
      </c>
      <c r="DH4" s="418"/>
      <c r="DI4" s="416" t="s">
        <v>1599</v>
      </c>
      <c r="DJ4" s="417" t="s">
        <v>1600</v>
      </c>
      <c r="DL4" s="426" t="s">
        <v>1413</v>
      </c>
      <c r="DM4" s="11">
        <v>0.96</v>
      </c>
      <c r="DN4" s="759"/>
      <c r="DO4" s="762"/>
      <c r="DR4" s="63">
        <v>20</v>
      </c>
      <c r="DS4" s="63"/>
      <c r="DT4" s="435" t="s">
        <v>115</v>
      </c>
      <c r="DU4" s="63">
        <v>40</v>
      </c>
      <c r="DV4" s="63"/>
      <c r="DW4" s="435" t="s">
        <v>115</v>
      </c>
      <c r="DX4" s="63">
        <v>60</v>
      </c>
      <c r="DY4" s="63"/>
      <c r="DZ4" s="435" t="s">
        <v>115</v>
      </c>
      <c r="EA4" s="63">
        <v>80</v>
      </c>
      <c r="EB4" s="63"/>
      <c r="EC4" s="435" t="s">
        <v>115</v>
      </c>
      <c r="ED4" s="63">
        <v>100</v>
      </c>
      <c r="EE4" s="63"/>
      <c r="EF4" s="435" t="s">
        <v>115</v>
      </c>
      <c r="EG4" s="63">
        <v>200</v>
      </c>
      <c r="EH4" s="63"/>
      <c r="EI4" s="435" t="s">
        <v>115</v>
      </c>
      <c r="EJ4" s="63">
        <v>400</v>
      </c>
      <c r="EK4" s="63"/>
      <c r="EL4" s="435" t="s">
        <v>115</v>
      </c>
      <c r="EM4" s="63">
        <v>600</v>
      </c>
      <c r="EN4" s="63"/>
      <c r="EO4" s="435" t="s">
        <v>115</v>
      </c>
      <c r="EP4" s="63">
        <v>800</v>
      </c>
      <c r="EQ4" s="63"/>
      <c r="ER4" s="435" t="s">
        <v>115</v>
      </c>
      <c r="ES4" s="63">
        <v>1000</v>
      </c>
      <c r="ET4" s="63"/>
      <c r="EU4" s="435" t="s">
        <v>115</v>
      </c>
      <c r="EV4" s="63">
        <v>2000</v>
      </c>
      <c r="EW4" s="63"/>
      <c r="EX4" s="435" t="s">
        <v>115</v>
      </c>
      <c r="EY4" s="63">
        <v>4000</v>
      </c>
      <c r="EZ4" s="63"/>
      <c r="FA4" s="435" t="s">
        <v>115</v>
      </c>
      <c r="FB4" s="63">
        <v>6000</v>
      </c>
      <c r="FC4" s="63"/>
      <c r="FD4" s="435" t="s">
        <v>115</v>
      </c>
      <c r="FE4" s="63">
        <v>8000</v>
      </c>
      <c r="FF4" s="63"/>
      <c r="FG4" s="435" t="s">
        <v>115</v>
      </c>
      <c r="FH4" s="63">
        <v>10000</v>
      </c>
      <c r="FI4" s="63"/>
      <c r="FJ4" s="435" t="s">
        <v>115</v>
      </c>
      <c r="FK4" s="63">
        <v>20000</v>
      </c>
      <c r="FL4" s="63"/>
      <c r="FM4" s="435" t="s">
        <v>115</v>
      </c>
      <c r="FN4" s="63">
        <v>40000</v>
      </c>
      <c r="FO4" s="63"/>
      <c r="FP4" s="435" t="s">
        <v>115</v>
      </c>
      <c r="FQ4" s="63">
        <v>60000</v>
      </c>
      <c r="FR4" s="63"/>
      <c r="FS4" s="435" t="s">
        <v>115</v>
      </c>
      <c r="FT4" s="63">
        <v>80000</v>
      </c>
      <c r="FU4" s="63"/>
      <c r="FV4" s="435" t="s">
        <v>115</v>
      </c>
      <c r="FW4" s="63">
        <v>100000</v>
      </c>
      <c r="FX4" s="63"/>
      <c r="FY4" s="435" t="s">
        <v>115</v>
      </c>
      <c r="GA4" s="426" t="s">
        <v>1413</v>
      </c>
      <c r="GB4" s="11">
        <f>0.96</f>
        <v>0.96</v>
      </c>
      <c r="GC4" s="759"/>
      <c r="GD4" s="752"/>
      <c r="GF4" s="241" t="s">
        <v>1601</v>
      </c>
      <c r="GG4" s="63">
        <v>20</v>
      </c>
      <c r="GH4" s="63"/>
      <c r="GI4" s="435" t="s">
        <v>115</v>
      </c>
      <c r="GJ4" s="63">
        <v>40</v>
      </c>
      <c r="GK4" s="63"/>
      <c r="GL4" s="435" t="s">
        <v>115</v>
      </c>
      <c r="GM4" s="63">
        <v>60</v>
      </c>
      <c r="GN4" s="63"/>
      <c r="GO4" s="435" t="s">
        <v>115</v>
      </c>
      <c r="GP4" s="63">
        <v>80</v>
      </c>
      <c r="GQ4" s="63"/>
      <c r="GR4" s="435" t="s">
        <v>115</v>
      </c>
      <c r="GS4" s="63">
        <v>100</v>
      </c>
      <c r="GT4" s="63"/>
      <c r="GU4" s="435" t="s">
        <v>115</v>
      </c>
      <c r="GV4" s="63">
        <v>200</v>
      </c>
      <c r="GW4" s="63"/>
      <c r="GX4" s="435" t="s">
        <v>115</v>
      </c>
      <c r="GY4" s="63">
        <v>400</v>
      </c>
      <c r="GZ4" s="63"/>
      <c r="HA4" s="435" t="s">
        <v>115</v>
      </c>
      <c r="HB4" s="63">
        <v>600</v>
      </c>
      <c r="HC4" s="63"/>
      <c r="HD4" s="435" t="s">
        <v>115</v>
      </c>
      <c r="HE4" s="63">
        <v>800</v>
      </c>
      <c r="HF4" s="63"/>
      <c r="HG4" s="435" t="s">
        <v>115</v>
      </c>
      <c r="HH4" s="63">
        <v>1000</v>
      </c>
      <c r="HI4" s="63"/>
      <c r="HJ4" s="435" t="s">
        <v>115</v>
      </c>
      <c r="HK4" s="63">
        <v>2000</v>
      </c>
      <c r="HL4" s="63"/>
      <c r="HM4" s="435" t="s">
        <v>115</v>
      </c>
      <c r="HN4" s="63">
        <v>4000</v>
      </c>
      <c r="HO4" s="63"/>
      <c r="HP4" s="435" t="s">
        <v>115</v>
      </c>
      <c r="HQ4" s="63">
        <v>6000</v>
      </c>
      <c r="HR4" s="63"/>
      <c r="HS4" s="435" t="s">
        <v>115</v>
      </c>
      <c r="HT4" s="63">
        <v>8000</v>
      </c>
      <c r="HU4" s="63"/>
      <c r="HV4" s="435" t="s">
        <v>115</v>
      </c>
      <c r="HW4" s="63">
        <v>10000</v>
      </c>
      <c r="HX4" s="63"/>
      <c r="HY4" s="435" t="s">
        <v>115</v>
      </c>
      <c r="HZ4" s="63">
        <v>20000</v>
      </c>
      <c r="IA4" s="63"/>
      <c r="IB4" s="435" t="s">
        <v>115</v>
      </c>
      <c r="IC4" s="63">
        <v>40000</v>
      </c>
      <c r="ID4" s="63"/>
      <c r="IE4" s="435" t="s">
        <v>115</v>
      </c>
      <c r="IF4" s="63">
        <v>60000</v>
      </c>
      <c r="IG4" s="63"/>
      <c r="IH4" s="435" t="s">
        <v>115</v>
      </c>
      <c r="II4" s="63">
        <v>80000</v>
      </c>
      <c r="IJ4" s="63"/>
      <c r="IK4" s="435" t="s">
        <v>115</v>
      </c>
      <c r="IL4" s="63">
        <v>100000</v>
      </c>
      <c r="IM4" s="63"/>
      <c r="IN4" s="435" t="s">
        <v>115</v>
      </c>
      <c r="IR4" s="445" t="s">
        <v>1602</v>
      </c>
      <c r="IS4" s="39">
        <v>0</v>
      </c>
      <c r="IT4" s="39">
        <v>0</v>
      </c>
      <c r="IU4" s="39">
        <v>0</v>
      </c>
      <c r="IV4" s="39">
        <v>10000</v>
      </c>
      <c r="IW4" s="39">
        <v>10000</v>
      </c>
      <c r="IX4" s="39">
        <v>10000</v>
      </c>
      <c r="IY4" s="39">
        <v>10000</v>
      </c>
      <c r="IZ4" s="39">
        <v>10000</v>
      </c>
      <c r="JA4" s="39">
        <v>10000</v>
      </c>
      <c r="JB4" s="39">
        <v>10000</v>
      </c>
      <c r="JC4" s="39">
        <v>10000</v>
      </c>
      <c r="JD4" s="39">
        <f>ROUNDDOWN(JC4*JC3/JD3*1.25,0)</f>
        <v>6250</v>
      </c>
      <c r="JE4" s="39">
        <f t="shared" ref="JE4:JL4" si="15">ROUNDDOWN(JD4*JD3/JE3,0)</f>
        <v>4166</v>
      </c>
      <c r="JF4" s="39">
        <f t="shared" si="15"/>
        <v>3124</v>
      </c>
      <c r="JG4" s="39">
        <f t="shared" si="15"/>
        <v>2499</v>
      </c>
      <c r="JH4" s="39">
        <f t="shared" si="15"/>
        <v>1249</v>
      </c>
      <c r="JI4" s="39">
        <f t="shared" si="15"/>
        <v>624</v>
      </c>
      <c r="JJ4" s="39">
        <f t="shared" si="15"/>
        <v>416</v>
      </c>
      <c r="JK4" s="39">
        <f t="shared" si="15"/>
        <v>312</v>
      </c>
      <c r="JL4" s="39">
        <f t="shared" si="15"/>
        <v>249</v>
      </c>
      <c r="JN4" s="60" t="s">
        <v>1064</v>
      </c>
      <c r="JO4" s="452" t="s">
        <v>1086</v>
      </c>
      <c r="KA4" s="241">
        <f>COUNTIF(KA7:KA57,"="&amp;"不符合")</f>
        <v>0</v>
      </c>
      <c r="KI4" s="241">
        <f>COUNTIF(KI7:KI57,"="&amp;"不符合")</f>
        <v>0</v>
      </c>
      <c r="KQ4" s="241">
        <f>COUNTIF(KQ7:KQ57,"="&amp;"不符合")</f>
        <v>0</v>
      </c>
      <c r="KY4" s="241">
        <f>COUNTIF(KY7:KY57,"="&amp;"不符合")</f>
        <v>0</v>
      </c>
      <c r="LG4" s="241">
        <f>COUNTIF(LG7:LG57,"="&amp;"不符合")</f>
        <v>0</v>
      </c>
    </row>
    <row r="5" spans="1:319" s="242" customFormat="1" x14ac:dyDescent="0.35">
      <c r="A5" s="63">
        <v>1</v>
      </c>
      <c r="B5" s="254" t="s">
        <v>1603</v>
      </c>
      <c r="C5" s="63">
        <v>1</v>
      </c>
      <c r="D5" s="63">
        <v>-1</v>
      </c>
      <c r="E5" s="63">
        <v>2</v>
      </c>
      <c r="F5" s="63">
        <f t="shared" ref="F5:F23" si="16">IF(C5=4,BX5,E5)</f>
        <v>2</v>
      </c>
      <c r="G5" s="63">
        <f>E5</f>
        <v>2</v>
      </c>
      <c r="H5" s="63"/>
      <c r="I5" s="265"/>
      <c r="J5" s="63">
        <f t="shared" ref="J5:J14" si="17">ROUND(IF(C5=4,E5*10%,0),0)</f>
        <v>0</v>
      </c>
      <c r="K5" s="63">
        <f t="shared" ref="K5:K31" si="18">ROUND(IF(C5=4,E5*2%,0),0)</f>
        <v>0</v>
      </c>
      <c r="L5" s="63">
        <v>0</v>
      </c>
      <c r="M5" s="266">
        <f>ROUND($BX$7/('全局参数|GlobalPar'!$B$19/10000/E5),6)*(7/5)</f>
        <v>1.3887999999999999E-3</v>
      </c>
      <c r="N5" s="267">
        <v>1</v>
      </c>
      <c r="O5" s="268">
        <f>ROUND(IF(N5&lt;&gt;0,$BX$4/('全局参数|GlobalPar'!$B$19/10000/E5)/N5,0),6)</f>
        <v>0</v>
      </c>
      <c r="P5" s="269">
        <f t="shared" ref="P5:P25" si="19">IF(A5=47,1,ROUND(E5*AA5/$CA$2,6))</f>
        <v>4.0000000000000002E-4</v>
      </c>
      <c r="Q5" s="281">
        <f t="shared" ref="Q5:Q34" si="20">CX5</f>
        <v>0</v>
      </c>
      <c r="R5" s="282">
        <v>1</v>
      </c>
      <c r="S5" s="283">
        <v>1</v>
      </c>
      <c r="T5" s="284" t="str">
        <f t="shared" ref="T5:T61" si="21">"[["&amp;DR5&amp;","&amp;DS5&amp;"],["&amp;DU5&amp;","&amp;DV5&amp;"],["&amp;DX5&amp;","&amp;DY5&amp;"],["&amp;EA5&amp;","&amp;EB5&amp;"],["&amp;ED5&amp;","&amp;EE5&amp;"],["&amp;EG5&amp;","&amp;EH5&amp;"],["&amp;EJ5&amp;","&amp;EK5&amp;"],["&amp;EM5&amp;","&amp;EN5&amp;"],["&amp;EP5&amp;","&amp;EQ5&amp;"],["&amp;ES5&amp;","&amp;ET5&amp;"],["&amp;EV5&amp;","&amp;EW5&amp;"],["&amp;EY5&amp;","&amp;EZ5&amp;"],["&amp;FB5&amp;","&amp;FC5&amp;"],["&amp;FE5&amp;","&amp;FF5&amp;"],["&amp;FH5&amp;","&amp;FI5&amp;"],["&amp;FK5&amp;","&amp;FL5&amp;"],["&amp;FN5&amp;","&amp;FO5&amp;"],["&amp;FQ5&amp;","&amp;FR5&amp;"],["&amp;FT5&amp;","&amp;FU5&amp;"],["&amp;FW5&amp;","&amp;FX5&amp;"]]"</f>
        <v>[[1,1],[1,1],[1,1],[1,1],[1,1],[1,1],[1,1],[1,1],[1,1],[1,1],[2,2],[4,4],[6,6],[8,8],[10,10],[20,20],[40,40],[60,60],[80,80],[100,100]]</v>
      </c>
      <c r="U5" s="284">
        <v>1</v>
      </c>
      <c r="V5" s="284">
        <v>1</v>
      </c>
      <c r="W5" s="284" t="str">
        <f>"[["&amp;GG5&amp;","&amp;GH5&amp;"],["&amp;GJ5&amp;","&amp;GK5&amp;"],["&amp;GM5&amp;","&amp;GN5&amp;"],["&amp;GP5&amp;","&amp;GQ5&amp;"],["&amp;GS5&amp;","&amp;GT5&amp;"],["&amp;GV5&amp;","&amp;GW5&amp;"],["&amp;GY5&amp;","&amp;GZ5&amp;"],["&amp;HB5&amp;","&amp;HC5&amp;"],["&amp;HE5&amp;","&amp;HF5&amp;"],["&amp;HH5&amp;","&amp;HI5&amp;"],["&amp;HK5&amp;","&amp;HL5&amp;"],["&amp;HN5&amp;","&amp;HO5&amp;"],["&amp;HQ5&amp;","&amp;HR5&amp;"],["&amp;HT5&amp;","&amp;HU5&amp;"],["&amp;HW5&amp;","&amp;HX5&amp;"],["&amp;HZ5&amp;","&amp;IA5&amp;"],["&amp;IC5&amp;","&amp;ID5&amp;"],["&amp;IF5&amp;","&amp;IG5&amp;"],["&amp;II5&amp;","&amp;IJ5&amp;"],["&amp;IL5&amp;","&amp;IM5&amp;"]]"</f>
        <v>[[1,1],[1,1],[1,1],[1,1],[1,1],[1,1],[1,1],[1,1],[1,1],[1,1],[1,1],[1,1],[1,1],[1,1],[1,1],[1,1],[1,1],[1,1],[1,1],[1,1]]</v>
      </c>
      <c r="X5" s="63">
        <v>0</v>
      </c>
      <c r="Y5" s="268">
        <v>0</v>
      </c>
      <c r="Z5" s="303">
        <f t="shared" ref="Z5:Z38" si="22">(J5+K5)/100</f>
        <v>0</v>
      </c>
      <c r="AA5" s="303">
        <v>0.06</v>
      </c>
      <c r="AB5" s="303">
        <f>CH5</f>
        <v>0.1</v>
      </c>
      <c r="AC5" s="304">
        <v>0.05</v>
      </c>
      <c r="AD5" s="304">
        <v>0</v>
      </c>
      <c r="AE5" s="304">
        <v>0</v>
      </c>
      <c r="AF5" s="304">
        <v>0</v>
      </c>
      <c r="AG5" s="63" t="str">
        <f>"[["&amp;CI5&amp;","&amp;CJ5&amp;"],["&amp;CK5&amp;","&amp;CL5&amp;"],["&amp;CM5&amp;","&amp;CN5&amp;"]]"</f>
        <v>[[1,5],[2,2],[3,1]]</v>
      </c>
      <c r="AH5" s="256" t="str">
        <f>"["&amp;CQ5&amp;","&amp;CS5&amp;","&amp;CU5&amp;"]"</f>
        <v>[0.017778,0.008889,0.005926]</v>
      </c>
      <c r="AI5" s="256">
        <v>0</v>
      </c>
      <c r="AJ5" s="256">
        <v>1</v>
      </c>
      <c r="AK5" s="256">
        <f t="shared" ref="AK5:AK23" si="23">AJ5</f>
        <v>1</v>
      </c>
      <c r="AL5" s="256">
        <v>0</v>
      </c>
      <c r="AM5" s="256">
        <f>ROUND(E5*30%,2)</f>
        <v>0.6</v>
      </c>
      <c r="AN5" s="256" t="s">
        <v>2548</v>
      </c>
      <c r="AO5" s="324">
        <v>1</v>
      </c>
      <c r="AP5" s="63">
        <f t="shared" ref="AP5:AP23" si="24">IF(C5=4,1,IF(C5=6,2,-1))</f>
        <v>-1</v>
      </c>
      <c r="AQ5" s="63">
        <v>0</v>
      </c>
      <c r="AR5" s="63"/>
      <c r="AS5" s="39"/>
      <c r="AT5" s="39">
        <v>1</v>
      </c>
      <c r="AU5" s="63">
        <v>1</v>
      </c>
      <c r="AV5" s="63">
        <f>AU5</f>
        <v>1</v>
      </c>
      <c r="AW5" s="63">
        <v>0.5</v>
      </c>
      <c r="AX5" s="63">
        <v>1</v>
      </c>
      <c r="AY5" s="63"/>
      <c r="AZ5" s="39"/>
      <c r="BA5" s="39"/>
      <c r="BB5" s="328">
        <v>0.6</v>
      </c>
      <c r="BC5" s="39">
        <v>2</v>
      </c>
      <c r="BD5" s="39">
        <v>0.18</v>
      </c>
      <c r="BE5" s="39">
        <v>0.8</v>
      </c>
      <c r="BF5" s="39">
        <v>1</v>
      </c>
      <c r="BG5" s="39" t="s">
        <v>1604</v>
      </c>
      <c r="BH5" s="331" t="s">
        <v>1605</v>
      </c>
      <c r="BI5" s="331" t="s">
        <v>1605</v>
      </c>
      <c r="BJ5" s="265" t="s">
        <v>280</v>
      </c>
      <c r="BK5" s="265" t="s">
        <v>280</v>
      </c>
      <c r="BL5" s="265"/>
      <c r="BM5" s="265"/>
      <c r="BN5" s="81">
        <f t="shared" ref="BN5:BN25" si="25">IF(C5&lt;4,MIN($BR$1*$BR$3,BS5*$BR$2),BS5*0.1)</f>
        <v>1.5</v>
      </c>
      <c r="BO5" s="343">
        <f t="shared" ref="BO5:BO38" si="26">IF(BN5=0,0,$BR$1/BN5)</f>
        <v>100</v>
      </c>
      <c r="BP5" s="81" t="s">
        <v>1606</v>
      </c>
      <c r="BQ5" s="81">
        <f t="shared" ref="BQ5:BQ25" si="27">ROUND(IF(AQ5=0,AU5/2/0.67,AU5),3)</f>
        <v>0.746</v>
      </c>
      <c r="BR5" s="81"/>
      <c r="BS5" s="63">
        <f t="shared" ref="BS5:BS38" si="28">(E5+J5+K5)</f>
        <v>2</v>
      </c>
      <c r="BT5" s="63">
        <f t="shared" ref="BT5:BT40" si="29">E5*(1+$CA$1)+J5+K5</f>
        <v>2.12</v>
      </c>
      <c r="BV5" s="63">
        <f t="shared" ref="BV5:BV38" si="30">IF(N5&lt;&gt;0,$BX$4/(0.96/BS5)/N5,0)</f>
        <v>0</v>
      </c>
      <c r="BW5" s="339" t="s">
        <v>1607</v>
      </c>
      <c r="BX5" s="353"/>
      <c r="CC5" s="242" t="s">
        <v>1260</v>
      </c>
      <c r="CG5" s="371">
        <f t="shared" ref="CG5:CG38" si="31">E5*(1+$CJ$1)</f>
        <v>2.2000000000000002</v>
      </c>
      <c r="CH5" s="372">
        <f>CJ1</f>
        <v>0.1</v>
      </c>
      <c r="CI5" s="373">
        <v>1</v>
      </c>
      <c r="CJ5" s="143">
        <v>5</v>
      </c>
      <c r="CK5" s="373">
        <v>2</v>
      </c>
      <c r="CL5" s="143">
        <v>2</v>
      </c>
      <c r="CM5" s="373">
        <v>3</v>
      </c>
      <c r="CN5" s="143">
        <v>1</v>
      </c>
      <c r="CO5" s="143">
        <f>(CI5*CJ5+CK5*CL5+CM5*CN5)/(CJ5+CL5+CN5)</f>
        <v>1.5</v>
      </c>
      <c r="CP5" s="143">
        <f>CP$3/10</f>
        <v>7.5</v>
      </c>
      <c r="CQ5" s="377">
        <f>ROUND(E5*CH5/CP5/CO5,6)</f>
        <v>1.7777999999999999E-2</v>
      </c>
      <c r="CR5" s="143">
        <f t="shared" ref="CR5:CT20" si="32">CR$3/10</f>
        <v>15</v>
      </c>
      <c r="CS5" s="378">
        <f>ROUND(E5*CH5/CR5/CO5,6)</f>
        <v>8.8889999999999993E-3</v>
      </c>
      <c r="CT5" s="143">
        <f t="shared" si="32"/>
        <v>22.5</v>
      </c>
      <c r="CU5" s="392">
        <f>ROUND(E5*CH5/CT5/CO5,6)</f>
        <v>5.9259999999999998E-3</v>
      </c>
      <c r="CW5" s="242">
        <v>2E-3</v>
      </c>
      <c r="CX5" s="393">
        <v>0</v>
      </c>
      <c r="CY5" s="270">
        <f t="shared" ref="CY5:CY38" si="33">E5*CX5</f>
        <v>0</v>
      </c>
      <c r="CZ5" s="394">
        <f t="shared" ref="CZ5:CZ38" si="34">$E5*$CX5/$CY$2</f>
        <v>0</v>
      </c>
      <c r="DA5" s="394">
        <f t="shared" ref="DA5:DA61" si="35">$CZ5*DA$3/DF5</f>
        <v>0</v>
      </c>
      <c r="DB5" s="395">
        <f>IF(DA5&gt;$DB$3,CX5*$DB$3/DA5,$CX5)</f>
        <v>0</v>
      </c>
      <c r="DC5" s="419">
        <f t="shared" ref="DC5:DC38" si="36">$E5*DB5/$CY$2</f>
        <v>0</v>
      </c>
      <c r="DD5" s="394">
        <f t="shared" ref="DD5:DD61" si="37">$DC5*DA$3/DF5</f>
        <v>0</v>
      </c>
      <c r="DE5" s="420" t="e">
        <f t="shared" ref="DE5:DE38" si="38">1/($CX$2/($E5*(1+DB5))*DD5)</f>
        <v>#DIV/0!</v>
      </c>
      <c r="DF5" s="421">
        <f>IF($DA$3&lt;$DI$2,DI5,DI5*INT($DA$3/$DI$2))</f>
        <v>1</v>
      </c>
      <c r="DG5" s="422">
        <f>IF($DA$3&lt;$DI$2,DJ5,DJ5*INT($DA$3/$DI$2))</f>
        <v>1</v>
      </c>
      <c r="DH5" s="284"/>
      <c r="DI5" s="282">
        <v>1</v>
      </c>
      <c r="DJ5" s="283">
        <v>1</v>
      </c>
      <c r="DL5" s="426" t="s">
        <v>978</v>
      </c>
      <c r="DM5" s="117">
        <v>1</v>
      </c>
      <c r="DN5" s="759" t="s">
        <v>1608</v>
      </c>
      <c r="DO5" s="763">
        <f>DO2/DM6</f>
        <v>8.3333333333333422E-6</v>
      </c>
      <c r="DQ5" s="427"/>
      <c r="DR5" s="421">
        <v>1</v>
      </c>
      <c r="DS5" s="270">
        <v>1</v>
      </c>
      <c r="DT5" s="427">
        <f t="shared" ref="DT5:DT54" si="39">IF(DR5=0,0,DR$4*$E5/DR5*$DO$2)</f>
        <v>3.333333333333337E-4</v>
      </c>
      <c r="DU5" s="421">
        <f t="shared" ref="DU5:DU61" si="40">DR5</f>
        <v>1</v>
      </c>
      <c r="DV5" s="270">
        <f t="shared" ref="DV5" si="41">DS5</f>
        <v>1</v>
      </c>
      <c r="DW5" s="427">
        <f t="shared" ref="DW5:DW54" si="42">IF(DU5=0,0,DU$4*$E5/DU5*$DO$2)</f>
        <v>6.666666666666674E-4</v>
      </c>
      <c r="DX5" s="421">
        <f t="shared" ref="DX5:DX61" si="43">DU5</f>
        <v>1</v>
      </c>
      <c r="DY5" s="270">
        <f t="shared" ref="DY5" si="44">DV5</f>
        <v>1</v>
      </c>
      <c r="DZ5" s="427">
        <f t="shared" ref="DZ5:DZ54" si="45">IF(DX5=0,0,DX$4*$E5/DX5*$DO$2)</f>
        <v>1.0000000000000011E-3</v>
      </c>
      <c r="EA5" s="421">
        <f t="shared" ref="EA5" si="46">DX5</f>
        <v>1</v>
      </c>
      <c r="EB5" s="270">
        <f t="shared" ref="EB5" si="47">DY5</f>
        <v>1</v>
      </c>
      <c r="EC5" s="427">
        <f t="shared" ref="EC5:EC54" si="48">IF(EA5=0,0,EA$4*$E5/EA5*$DO$2)</f>
        <v>1.3333333333333348E-3</v>
      </c>
      <c r="ED5" s="421">
        <f t="shared" ref="ED5" si="49">EA5</f>
        <v>1</v>
      </c>
      <c r="EE5" s="270">
        <f t="shared" ref="EE5" si="50">EB5</f>
        <v>1</v>
      </c>
      <c r="EF5" s="427">
        <f t="shared" ref="EF5:EF54" si="51">IF(ED5=0,0,ED$4*$E5/ED5*$DO$2)</f>
        <v>1.6666666666666685E-3</v>
      </c>
      <c r="EG5" s="421">
        <f t="shared" ref="EG5" si="52">ED5</f>
        <v>1</v>
      </c>
      <c r="EH5" s="270">
        <f t="shared" ref="EH5" si="53">EE5</f>
        <v>1</v>
      </c>
      <c r="EI5" s="427">
        <f t="shared" ref="EI5:EI54" si="54">IF(EG5=0,0,EG$4*$E5/EG5*$DO$2)</f>
        <v>3.333333333333337E-3</v>
      </c>
      <c r="EJ5" s="421">
        <f t="shared" ref="EJ5" si="55">EG5</f>
        <v>1</v>
      </c>
      <c r="EK5" s="270">
        <f t="shared" ref="EK5" si="56">EH5</f>
        <v>1</v>
      </c>
      <c r="EL5" s="427">
        <f t="shared" ref="EL5:EL54" si="57">IF(EJ5=0,0,EJ$4*$E5/EJ5*$DO$2)</f>
        <v>6.666666666666674E-3</v>
      </c>
      <c r="EM5" s="421">
        <f t="shared" ref="EM5" si="58">EJ5</f>
        <v>1</v>
      </c>
      <c r="EN5" s="270">
        <f t="shared" ref="EN5" si="59">EK5</f>
        <v>1</v>
      </c>
      <c r="EO5" s="427">
        <f t="shared" ref="EO5:EO54" si="60">IF(EM5=0,0,EM$4*$E5/EM5*$DO$2)</f>
        <v>1.0000000000000011E-2</v>
      </c>
      <c r="EP5" s="421">
        <f t="shared" ref="EP5" si="61">EM5</f>
        <v>1</v>
      </c>
      <c r="EQ5" s="270">
        <f t="shared" ref="EQ5" si="62">EN5</f>
        <v>1</v>
      </c>
      <c r="ER5" s="427">
        <f t="shared" ref="ER5:ER54" si="63">IF(EP5=0,0,EP$4*$E5/EP5*$DO$2)</f>
        <v>1.3333333333333348E-2</v>
      </c>
      <c r="ES5" s="421">
        <f t="shared" ref="ES5" si="64">EP5</f>
        <v>1</v>
      </c>
      <c r="ET5" s="270">
        <f t="shared" ref="ET5" si="65">EQ5</f>
        <v>1</v>
      </c>
      <c r="EU5" s="427">
        <f t="shared" ref="EU5:EU54" si="66">IF(ES5=0,0,ES$4*$E5/ES5*$DO$2)</f>
        <v>1.6666666666666684E-2</v>
      </c>
      <c r="EV5" s="421">
        <f t="shared" ref="EV5:EV47" si="67">$ES5*EV$4/$ES$4</f>
        <v>2</v>
      </c>
      <c r="EW5" s="270">
        <f t="shared" ref="EW5:EW61" si="68">$ET5*EV$4/$ES$4</f>
        <v>2</v>
      </c>
      <c r="EX5" s="427">
        <f t="shared" ref="EX5:EX54" si="69">IF(EV5=0,0,EV$4*$E5/EV5*$DO$2)</f>
        <v>1.6666666666666684E-2</v>
      </c>
      <c r="EY5" s="421">
        <f t="shared" ref="EY5:EY47" si="70">$ES5*EY$4/$ES$4</f>
        <v>4</v>
      </c>
      <c r="EZ5" s="270">
        <f t="shared" ref="EZ5:EZ61" si="71">$ET5*EY$4/$ES$4</f>
        <v>4</v>
      </c>
      <c r="FA5" s="427">
        <f t="shared" ref="FA5:FA54" si="72">IF(EY5=0,0,EY$4*$E5/EY5*$DO$2)</f>
        <v>1.6666666666666684E-2</v>
      </c>
      <c r="FB5" s="421">
        <f t="shared" ref="FB5:FB47" si="73">$ES5*FB$4/$ES$4</f>
        <v>6</v>
      </c>
      <c r="FC5" s="270">
        <f t="shared" ref="FC5:FC61" si="74">$ET5*FB$4/$ES$4</f>
        <v>6</v>
      </c>
      <c r="FD5" s="427">
        <f t="shared" ref="FD5:FD54" si="75">IF(FB5=0,0,FB$4*$E5/FB5*$DO$2)</f>
        <v>1.6666666666666684E-2</v>
      </c>
      <c r="FE5" s="421">
        <f t="shared" ref="FE5:FE47" si="76">$ES5*FE$4/$ES$4</f>
        <v>8</v>
      </c>
      <c r="FF5" s="270">
        <f t="shared" ref="FF5:FF61" si="77">$ET5*FE$4/$ES$4</f>
        <v>8</v>
      </c>
      <c r="FG5" s="427">
        <f t="shared" ref="FG5:FG54" si="78">IF(FE5=0,0,FE$4*$E5/FE5*$DO$2)</f>
        <v>1.6666666666666684E-2</v>
      </c>
      <c r="FH5" s="421">
        <f t="shared" ref="FH5:FH47" si="79">$ES5*FH$4/$ES$4</f>
        <v>10</v>
      </c>
      <c r="FI5" s="270">
        <f t="shared" ref="FI5:FI61" si="80">$ET5*FH$4/$ES$4</f>
        <v>10</v>
      </c>
      <c r="FJ5" s="427">
        <f t="shared" ref="FJ5:FJ54" si="81">IF(FH5=0,0,FH$4*$E5/FH5*$DO$2)</f>
        <v>1.6666666666666684E-2</v>
      </c>
      <c r="FK5" s="421">
        <f t="shared" ref="FK5:FK47" si="82">$ES5*FK$4/$ES$4</f>
        <v>20</v>
      </c>
      <c r="FL5" s="270">
        <f t="shared" ref="FL5:FL61" si="83">$ET5*FK$4/$ES$4</f>
        <v>20</v>
      </c>
      <c r="FM5" s="427">
        <f t="shared" ref="FM5:FM54" si="84">IF(FK5=0,0,FK$4*$E5/FK5*$DO$2)</f>
        <v>1.6666666666666684E-2</v>
      </c>
      <c r="FN5" s="421">
        <f t="shared" ref="FN5:FN47" si="85">$ES5*FN$4/$ES$4</f>
        <v>40</v>
      </c>
      <c r="FO5" s="270">
        <f t="shared" ref="FO5:FO61" si="86">$ET5*FN$4/$ES$4</f>
        <v>40</v>
      </c>
      <c r="FP5" s="427">
        <f t="shared" ref="FP5:FP54" si="87">IF(FN5=0,0,FN$4*$E5/FN5*$DO$2)</f>
        <v>1.6666666666666684E-2</v>
      </c>
      <c r="FQ5" s="421">
        <f t="shared" ref="FQ5:FQ47" si="88">$ES5*FQ$4/$ES$4</f>
        <v>60</v>
      </c>
      <c r="FR5" s="270">
        <f t="shared" ref="FR5:FR61" si="89">$ET5*FQ$4/$ES$4</f>
        <v>60</v>
      </c>
      <c r="FS5" s="427">
        <f t="shared" ref="FS5:FS54" si="90">IF(FQ5=0,0,FQ$4*$E5/FQ5*$DO$2)</f>
        <v>1.6666666666666684E-2</v>
      </c>
      <c r="FT5" s="421">
        <f t="shared" ref="FT5:FT47" si="91">$ES5*FT$4/$ES$4</f>
        <v>80</v>
      </c>
      <c r="FU5" s="270">
        <f t="shared" ref="FU5:FU61" si="92">$ET5*FT$4/$ES$4</f>
        <v>80</v>
      </c>
      <c r="FV5" s="427">
        <f t="shared" ref="FV5:FV54" si="93">IF(FT5=0,0,FT$4*$E5/FT5*$DO$2)</f>
        <v>1.6666666666666684E-2</v>
      </c>
      <c r="FW5" s="421">
        <f t="shared" ref="FW5:FW47" si="94">$ES5*FW$4/$ES$4</f>
        <v>100</v>
      </c>
      <c r="FX5" s="270">
        <f t="shared" ref="FX5:FX61" si="95">$ET5*FW$4/$ES$4</f>
        <v>100</v>
      </c>
      <c r="FY5" s="427">
        <f t="shared" ref="FY5:FY54" si="96">IF(FW5=0,0,FW$4*$E5/FW5*$DO$2)</f>
        <v>1.6666666666666684E-2</v>
      </c>
      <c r="GA5" s="426" t="s">
        <v>978</v>
      </c>
      <c r="GB5" s="117">
        <v>1</v>
      </c>
      <c r="GC5" s="759" t="s">
        <v>1608</v>
      </c>
      <c r="GD5" s="753">
        <f>GD2/GB6</f>
        <v>5.5555555555555601E-9</v>
      </c>
      <c r="GF5" s="427"/>
      <c r="GG5" s="421">
        <v>1</v>
      </c>
      <c r="GH5" s="270">
        <v>1</v>
      </c>
      <c r="GI5" s="440">
        <f t="shared" ref="GI5:GI54" si="97">IF(GG5=0,0,GG$4*$E5/GG5*$GD$2)</f>
        <v>2.222222222222224E-7</v>
      </c>
      <c r="GJ5" s="421">
        <f t="shared" ref="GJ5:GJ64" si="98">GG5</f>
        <v>1</v>
      </c>
      <c r="GK5" s="270">
        <f t="shared" ref="GK5:GK64" si="99">GH5</f>
        <v>1</v>
      </c>
      <c r="GL5" s="427">
        <f t="shared" ref="GL5:GL54" si="100">IF(GJ5=0,0,GJ$4*$E5/GJ5*$GD$2)</f>
        <v>4.4444444444444481E-7</v>
      </c>
      <c r="GM5" s="421">
        <f t="shared" ref="GM5:GM64" si="101">GJ5</f>
        <v>1</v>
      </c>
      <c r="GN5" s="270">
        <f t="shared" ref="GN5:GN64" si="102">GK5</f>
        <v>1</v>
      </c>
      <c r="GO5" s="427">
        <f t="shared" ref="GO5:GO54" si="103">IF(GM5=0,0,GM$4*$E5/GM5*$GD$2)</f>
        <v>6.6666666666666724E-7</v>
      </c>
      <c r="GP5" s="421">
        <f t="shared" ref="GP5:GP64" si="104">GM5</f>
        <v>1</v>
      </c>
      <c r="GQ5" s="270">
        <f t="shared" ref="GQ5:GQ64" si="105">GN5</f>
        <v>1</v>
      </c>
      <c r="GR5" s="427">
        <f t="shared" ref="GR5:GR54" si="106">IF(GP5=0,0,GP$4*$E5/GP5*$GD$2)</f>
        <v>8.8888888888888961E-7</v>
      </c>
      <c r="GS5" s="421">
        <f t="shared" ref="GS5:GS64" si="107">GP5</f>
        <v>1</v>
      </c>
      <c r="GT5" s="270">
        <f t="shared" ref="GT5:GT64" si="108">GQ5</f>
        <v>1</v>
      </c>
      <c r="GU5" s="427">
        <f t="shared" ref="GU5:GU54" si="109">IF(GS5=0,0,GS$4*$E5/GS5*$GD$2)</f>
        <v>1.1111111111111121E-6</v>
      </c>
      <c r="GV5" s="421">
        <f t="shared" ref="GV5:GV64" si="110">GS5</f>
        <v>1</v>
      </c>
      <c r="GW5" s="270">
        <f t="shared" ref="GW5:GW64" si="111">GT5</f>
        <v>1</v>
      </c>
      <c r="GX5" s="427">
        <f t="shared" ref="GX5:GX54" si="112">IF(GV5=0,0,GV$4*$E5/GV5*$GD$2)</f>
        <v>2.2222222222222242E-6</v>
      </c>
      <c r="GY5" s="421">
        <f t="shared" ref="GY5:GY64" si="113">GV5</f>
        <v>1</v>
      </c>
      <c r="GZ5" s="270">
        <f t="shared" ref="GZ5:GZ64" si="114">GW5</f>
        <v>1</v>
      </c>
      <c r="HA5" s="427">
        <f t="shared" ref="HA5:HA54" si="115">IF(GY5=0,0,GY$4*$E5/GY5*$GD$2)</f>
        <v>4.4444444444444484E-6</v>
      </c>
      <c r="HB5" s="421">
        <f t="shared" ref="HB5:HB64" si="116">GY5</f>
        <v>1</v>
      </c>
      <c r="HC5" s="270">
        <f t="shared" ref="HC5:HC64" si="117">GZ5</f>
        <v>1</v>
      </c>
      <c r="HD5" s="427">
        <f t="shared" ref="HD5:HD54" si="118">IF(HB5=0,0,HB$4*$E5/HB5*$GD$2)</f>
        <v>6.6666666666666717E-6</v>
      </c>
      <c r="HE5" s="421">
        <f t="shared" ref="HE5:HE64" si="119">HB5</f>
        <v>1</v>
      </c>
      <c r="HF5" s="270">
        <f t="shared" ref="HF5:HF64" si="120">HC5</f>
        <v>1</v>
      </c>
      <c r="HG5" s="427">
        <f t="shared" ref="HG5:HG54" si="121">IF(HE5=0,0,HE$4*$E5/HE5*$GD$2)</f>
        <v>8.8888888888888968E-6</v>
      </c>
      <c r="HH5" s="421">
        <f t="shared" ref="HH5:HH64" si="122">HE5</f>
        <v>1</v>
      </c>
      <c r="HI5" s="270">
        <f t="shared" ref="HI5:HI64" si="123">HF5</f>
        <v>1</v>
      </c>
      <c r="HJ5" s="427">
        <f t="shared" ref="HJ5:HJ54" si="124">IF(HH5=0,0,HH$4*$E5/HH5*$GD$2)</f>
        <v>1.111111111111112E-5</v>
      </c>
      <c r="HK5" s="421">
        <f t="shared" ref="HK5:HL64" si="125">HH5</f>
        <v>1</v>
      </c>
      <c r="HL5" s="270">
        <f t="shared" si="125"/>
        <v>1</v>
      </c>
      <c r="HM5" s="427">
        <f t="shared" ref="HM5:HM54" si="126">IF(HK5=0,0,HK$4*$E5/HK5*$GD$2)</f>
        <v>2.222222222222224E-5</v>
      </c>
      <c r="HN5" s="421">
        <f t="shared" ref="HN5:HO64" si="127">HK5</f>
        <v>1</v>
      </c>
      <c r="HO5" s="270">
        <f t="shared" si="127"/>
        <v>1</v>
      </c>
      <c r="HP5" s="427">
        <f t="shared" ref="HP5:HP54" si="128">IF(HN5=0,0,HN$4*$E5/HN5*$GD$2)</f>
        <v>4.444444444444448E-5</v>
      </c>
      <c r="HQ5" s="421">
        <f t="shared" ref="HQ5:HR64" si="129">HN5</f>
        <v>1</v>
      </c>
      <c r="HR5" s="270">
        <f t="shared" si="129"/>
        <v>1</v>
      </c>
      <c r="HS5" s="427">
        <f t="shared" ref="HS5:HS54" si="130">IF(HQ5=0,0,HQ$4*$E5/HQ5*$GD$2)</f>
        <v>6.6666666666666724E-5</v>
      </c>
      <c r="HT5" s="421">
        <f t="shared" ref="HT5:HU64" si="131">HQ5</f>
        <v>1</v>
      </c>
      <c r="HU5" s="270">
        <f t="shared" si="131"/>
        <v>1</v>
      </c>
      <c r="HV5" s="427">
        <f t="shared" ref="HV5:HV54" si="132">IF(HT5=0,0,HT$4*$E5/HT5*$GD$2)</f>
        <v>8.8888888888888961E-5</v>
      </c>
      <c r="HW5" s="421">
        <f t="shared" ref="HW5:HX64" si="133">HT5</f>
        <v>1</v>
      </c>
      <c r="HX5" s="270">
        <f t="shared" si="133"/>
        <v>1</v>
      </c>
      <c r="HY5" s="427">
        <f t="shared" ref="HY5:HY54" si="134">IF(HW5=0,0,HW$4*$E5/HW5*$GD$2)</f>
        <v>1.111111111111112E-4</v>
      </c>
      <c r="HZ5" s="421">
        <f t="shared" ref="HZ5:IA64" si="135">HW5</f>
        <v>1</v>
      </c>
      <c r="IA5" s="270">
        <f t="shared" si="135"/>
        <v>1</v>
      </c>
      <c r="IB5" s="427">
        <f t="shared" ref="IB5:IB54" si="136">IF(HZ5=0,0,HZ$4*$E5/HZ5*$GD$2)</f>
        <v>2.222222222222224E-4</v>
      </c>
      <c r="IC5" s="421">
        <f t="shared" ref="IC5:ID64" si="137">HZ5</f>
        <v>1</v>
      </c>
      <c r="ID5" s="270">
        <f t="shared" si="137"/>
        <v>1</v>
      </c>
      <c r="IE5" s="427">
        <f t="shared" ref="IE5:IE54" si="138">IF(IC5=0,0,IC$4*$E5/IC5*$GD$2)</f>
        <v>4.4444444444444479E-4</v>
      </c>
      <c r="IF5" s="421">
        <f t="shared" ref="IF5:IG64" si="139">IC5</f>
        <v>1</v>
      </c>
      <c r="IG5" s="270">
        <f t="shared" si="139"/>
        <v>1</v>
      </c>
      <c r="IH5" s="427">
        <f t="shared" ref="IH5:IH54" si="140">IF(IF5=0,0,IF$4*$E5/IF5*$GD$2)</f>
        <v>6.6666666666666719E-4</v>
      </c>
      <c r="II5" s="421">
        <f t="shared" ref="II5:IJ64" si="141">IF5</f>
        <v>1</v>
      </c>
      <c r="IJ5" s="270">
        <f t="shared" si="141"/>
        <v>1</v>
      </c>
      <c r="IK5" s="427">
        <f t="shared" ref="IK5:IK54" si="142">IF(II5=0,0,II$4*$E5/II5*$GD$2)</f>
        <v>8.8888888888888958E-4</v>
      </c>
      <c r="IL5" s="421">
        <f t="shared" ref="IL5:IM64" si="143">II5</f>
        <v>1</v>
      </c>
      <c r="IM5" s="270">
        <f t="shared" si="143"/>
        <v>1</v>
      </c>
      <c r="IN5" s="427">
        <f t="shared" ref="IN5:IN54" si="144">IF(IL5=0,0,IL$4*$E5/IL5*$GD$2)</f>
        <v>1.111111111111112E-3</v>
      </c>
      <c r="IQ5" s="242" t="s">
        <v>1609</v>
      </c>
      <c r="IR5" s="446">
        <f>MAX(IS5:JL64)</f>
        <v>1</v>
      </c>
      <c r="IS5" s="447">
        <f t="shared" ref="IS5:JB14" si="145">$AC5*IS$4/10000*$E5*IS$3/$JA$1</f>
        <v>0</v>
      </c>
      <c r="IT5" s="447">
        <f t="shared" si="145"/>
        <v>0</v>
      </c>
      <c r="IU5" s="447">
        <f t="shared" si="145"/>
        <v>0</v>
      </c>
      <c r="IV5" s="447">
        <f t="shared" si="145"/>
        <v>8.0000000000000007E-5</v>
      </c>
      <c r="IW5" s="447">
        <f t="shared" si="145"/>
        <v>1E-4</v>
      </c>
      <c r="IX5" s="447">
        <f t="shared" si="145"/>
        <v>2.0000000000000001E-4</v>
      </c>
      <c r="IY5" s="447">
        <f t="shared" si="145"/>
        <v>4.0000000000000002E-4</v>
      </c>
      <c r="IZ5" s="447">
        <f t="shared" si="145"/>
        <v>5.9999999999999995E-4</v>
      </c>
      <c r="JA5" s="447">
        <f t="shared" si="145"/>
        <v>8.0000000000000004E-4</v>
      </c>
      <c r="JB5" s="447">
        <f t="shared" si="145"/>
        <v>1E-3</v>
      </c>
      <c r="JC5" s="447">
        <f t="shared" ref="JC5:JL14" si="146">$AC5*JC$4/10000*$E5*JC$3/$JA$1</f>
        <v>2E-3</v>
      </c>
      <c r="JD5" s="447">
        <f t="shared" si="146"/>
        <v>2.5000000000000001E-3</v>
      </c>
      <c r="JE5" s="447">
        <f t="shared" si="146"/>
        <v>2.4996000000000003E-3</v>
      </c>
      <c r="JF5" s="447">
        <f t="shared" si="146"/>
        <v>2.4992000000000005E-3</v>
      </c>
      <c r="JG5" s="447">
        <f t="shared" si="146"/>
        <v>2.4989999999999999E-3</v>
      </c>
      <c r="JH5" s="447">
        <f t="shared" si="146"/>
        <v>2.4980000000000002E-3</v>
      </c>
      <c r="JI5" s="447">
        <f t="shared" si="146"/>
        <v>2.4960000000000004E-3</v>
      </c>
      <c r="JJ5" s="447">
        <f t="shared" si="146"/>
        <v>2.4960000000000004E-3</v>
      </c>
      <c r="JK5" s="447">
        <f t="shared" si="146"/>
        <v>2.4960000000000004E-3</v>
      </c>
      <c r="JL5" s="447">
        <f t="shared" si="146"/>
        <v>2.49E-3</v>
      </c>
      <c r="JN5" s="1">
        <v>0</v>
      </c>
      <c r="JO5" s="6">
        <v>99999</v>
      </c>
      <c r="JQ5" s="453" t="s">
        <v>1610</v>
      </c>
      <c r="JR5" s="454">
        <v>1</v>
      </c>
      <c r="JS5" s="454">
        <v>50000</v>
      </c>
      <c r="JU5" s="242">
        <f>JU$2*$E5</f>
        <v>40000</v>
      </c>
      <c r="JV5" s="242">
        <f>IF(COUNTIF($JS$5:$JS$30,"&lt;="&amp;$JU5)=0,$JU5,SMALL($JS$5:$JS$30,COUNTIF($JS$5:$JS$30,"&lt;="&amp;JU5)))</f>
        <v>40000</v>
      </c>
      <c r="JW5" s="242">
        <f t="shared" ref="JW5:JW7" si="147">(JX5-JU5)/(JX5-JV5)</f>
        <v>1</v>
      </c>
      <c r="JX5" s="242">
        <f>SMALL($JS$5:$JS$30,COUNTIF($JS$5:$JS$30,"&lt;="&amp;JU5)+1)</f>
        <v>50000</v>
      </c>
      <c r="JY5" s="241">
        <f t="shared" ref="JY5:JY7" si="148">(JU5-JV5)/(JX5-JV5)</f>
        <v>0</v>
      </c>
      <c r="JZ5" s="241">
        <f t="shared" ref="JZ5:JZ7" si="149">JV5*JW5+JX5*JY5</f>
        <v>40000</v>
      </c>
      <c r="KA5" s="241" t="str">
        <f t="shared" ref="KA5:KA7" si="150">IF(JZ5=JU5,"期望符合预期","不符合")</f>
        <v>期望符合预期</v>
      </c>
      <c r="KC5" s="242">
        <f>KC$2*$E5</f>
        <v>80000</v>
      </c>
      <c r="KD5" s="242">
        <f>IF(COUNTIF($JS$5:$JS$30,"&lt;="&amp;$JU5)=0,$JU5,SMALL($JS$5:$JS$30,COUNTIF($JS$5:$JS$30,"&lt;="&amp;KC5)))</f>
        <v>40000</v>
      </c>
      <c r="KE5" s="242">
        <f t="shared" ref="KE5:KE7" si="151">(KF5-KC5)/(KF5-KD5)</f>
        <v>0.33333333333333331</v>
      </c>
      <c r="KF5" s="242">
        <f>SMALL($JS$5:$JS$30,COUNTIF($JS$5:$JS$30,"&lt;="&amp;KC5)+1)</f>
        <v>100000</v>
      </c>
      <c r="KG5" s="241">
        <f t="shared" ref="KG5:KG7" si="152">(KC5-KD5)/(KF5-KD5)</f>
        <v>0.66666666666666663</v>
      </c>
      <c r="KH5" s="241">
        <f t="shared" ref="KH5:KH7" si="153">KD5*KE5+KF5*KG5</f>
        <v>79999.999999999985</v>
      </c>
      <c r="KI5" s="241" t="str">
        <f t="shared" ref="KI5:KI7" si="154">IF(KH5=KC5,"期望符合预期","不符合")</f>
        <v>期望符合预期</v>
      </c>
      <c r="KK5" s="242">
        <f>KK$2*$E5</f>
        <v>120000</v>
      </c>
      <c r="KL5" s="242">
        <f>IF(COUNTIF($JS$5:$JS$30,"&lt;="&amp;$JU5)=0,$JU5,SMALL($JS$5:$JS$30,COUNTIF($JS$5:$JS$30,"&lt;="&amp;KK5)))</f>
        <v>40000</v>
      </c>
      <c r="KM5" s="242">
        <f t="shared" ref="KM5:KM7" si="155">(KN5-KK5)/(KN5-KL5)</f>
        <v>0.27272727272727271</v>
      </c>
      <c r="KN5" s="242">
        <f>SMALL($JS$5:$JS$30,COUNTIF($JS$5:$JS$30,"&lt;="&amp;KK5)+1)</f>
        <v>150000</v>
      </c>
      <c r="KO5" s="241">
        <f t="shared" ref="KO5:KO7" si="156">(KK5-KL5)/(KN5-KL5)</f>
        <v>0.72727272727272729</v>
      </c>
      <c r="KP5" s="241">
        <f t="shared" ref="KP5:KP7" si="157">KL5*KM5+KN5*KO5</f>
        <v>120000</v>
      </c>
      <c r="KQ5" s="241" t="str">
        <f t="shared" ref="KQ5:KQ7" si="158">IF(KP5=KK5,"期望符合预期","不符合")</f>
        <v>期望符合预期</v>
      </c>
      <c r="KS5" s="242">
        <f>KS$2*$E5</f>
        <v>160000</v>
      </c>
      <c r="KT5" s="242">
        <f>IF(COUNTIF($JS$5:$JS$30,"&lt;="&amp;$JU5)=0,$JU5,SMALL($JS$5:$JS$30,COUNTIF($JS$5:$JS$30,"&lt;="&amp;KS5)))</f>
        <v>40000</v>
      </c>
      <c r="KU5" s="242">
        <f t="shared" ref="KU5:KU7" si="159">(KV5-KS5)/(KV5-KT5)</f>
        <v>0.25</v>
      </c>
      <c r="KV5" s="242">
        <f>SMALL($JS$5:$JS$30,COUNTIF($JS$5:$JS$30,"&lt;="&amp;KS5)+1)</f>
        <v>200000</v>
      </c>
      <c r="KW5" s="241">
        <f t="shared" ref="KW5:KW7" si="160">(KS5-KT5)/(KV5-KT5)</f>
        <v>0.75</v>
      </c>
      <c r="KX5" s="241">
        <f t="shared" ref="KX5:KX7" si="161">KT5*KU5+KV5*KW5</f>
        <v>160000</v>
      </c>
      <c r="KY5" s="241" t="str">
        <f t="shared" ref="KY5:KY7" si="162">IF(KX5=KS5,"期望符合预期","不符合")</f>
        <v>期望符合预期</v>
      </c>
      <c r="LA5" s="242">
        <f>LA$2*$E5</f>
        <v>200000</v>
      </c>
      <c r="LB5" s="242">
        <f>IF(COUNTIF($JS$5:$JS$30,"&lt;="&amp;$JU5)=0,$JU5,SMALL($JS$5:$JS$30,COUNTIF($JS$5:$JS$30,"&lt;="&amp;LA5)))</f>
        <v>40000</v>
      </c>
      <c r="LC5" s="242">
        <f t="shared" ref="LC5:LC7" si="163">(LD5-LA5)/(LD5-LB5)</f>
        <v>0.23809523809523808</v>
      </c>
      <c r="LD5" s="242">
        <f>SMALL($JS$5:$JS$30,COUNTIF($JS$5:$JS$30,"&lt;="&amp;LA5)+1)</f>
        <v>250000</v>
      </c>
      <c r="LE5" s="241">
        <f t="shared" ref="LE5:LE7" si="164">(LA5-LB5)/(LD5-LB5)</f>
        <v>0.76190476190476186</v>
      </c>
      <c r="LF5" s="241">
        <f t="shared" ref="LF5:LF7" si="165">LB5*LC5+LD5*LE5</f>
        <v>200000</v>
      </c>
      <c r="LG5" s="241" t="str">
        <f t="shared" ref="LG5:LG7" si="166">IF(LF5=LA5,"期望符合预期","不符合")</f>
        <v>期望符合预期</v>
      </c>
    </row>
    <row r="6" spans="1:319" s="242" customFormat="1" x14ac:dyDescent="0.35">
      <c r="A6" s="63">
        <v>2</v>
      </c>
      <c r="B6" s="254" t="s">
        <v>1611</v>
      </c>
      <c r="C6" s="63">
        <v>1</v>
      </c>
      <c r="D6" s="63">
        <v>-1</v>
      </c>
      <c r="E6" s="63">
        <v>2</v>
      </c>
      <c r="F6" s="63">
        <f t="shared" si="16"/>
        <v>2</v>
      </c>
      <c r="G6" s="63">
        <f t="shared" ref="G6:G57" si="167">E6</f>
        <v>2</v>
      </c>
      <c r="H6" s="63"/>
      <c r="I6" s="265"/>
      <c r="J6" s="63">
        <f t="shared" si="17"/>
        <v>0</v>
      </c>
      <c r="K6" s="63">
        <f t="shared" si="18"/>
        <v>0</v>
      </c>
      <c r="L6" s="63">
        <v>0</v>
      </c>
      <c r="M6" s="266">
        <f>ROUND($BX$7/('全局参数|GlobalPar'!$B$19/10000/E6),6)*(7/5)</f>
        <v>1.3887999999999999E-3</v>
      </c>
      <c r="N6" s="267">
        <v>1</v>
      </c>
      <c r="O6" s="268">
        <f>ROUND(IF(N6&lt;&gt;0,$BX$4/('全局参数|GlobalPar'!$B$19/10000/E6)/N6,0),6)</f>
        <v>0</v>
      </c>
      <c r="P6" s="270">
        <f t="shared" si="19"/>
        <v>4.0000000000000002E-4</v>
      </c>
      <c r="Q6" s="285">
        <f t="shared" si="20"/>
        <v>0</v>
      </c>
      <c r="R6" s="282">
        <v>1</v>
      </c>
      <c r="S6" s="283">
        <v>1</v>
      </c>
      <c r="T6" s="284" t="str">
        <f t="shared" si="21"/>
        <v>[[1,1],[1,1],[1,1],[1,1],[1,1],[1,1],[1,1],[1,1],[1,1],[1,1],[2,2],[4,4],[6,6],[8,8],[10,10],[20,20],[40,40],[60,60],[80,80],[100,100]]</v>
      </c>
      <c r="U6" s="284">
        <v>1</v>
      </c>
      <c r="V6" s="284">
        <v>1</v>
      </c>
      <c r="W6" s="284" t="str">
        <f t="shared" ref="W6:W64" si="168">"[["&amp;GG6&amp;","&amp;GH6&amp;"],["&amp;GJ6&amp;","&amp;GK6&amp;"],["&amp;GM6&amp;","&amp;GN6&amp;"],["&amp;GP6&amp;","&amp;GQ6&amp;"],["&amp;GS6&amp;","&amp;GT6&amp;"],["&amp;GV6&amp;","&amp;GW6&amp;"],["&amp;GY6&amp;","&amp;GZ6&amp;"],["&amp;HB6&amp;","&amp;HC6&amp;"],["&amp;HE6&amp;","&amp;HF6&amp;"],["&amp;HH6&amp;","&amp;HI6&amp;"],["&amp;HK6&amp;","&amp;HL6&amp;"],["&amp;HN6&amp;","&amp;HO6&amp;"],["&amp;HQ6&amp;","&amp;HR6&amp;"],["&amp;HT6&amp;","&amp;HU6&amp;"],["&amp;HW6&amp;","&amp;HX6&amp;"],["&amp;HZ6&amp;","&amp;IA6&amp;"],["&amp;IC6&amp;","&amp;ID6&amp;"],["&amp;IF6&amp;","&amp;IG6&amp;"],["&amp;II6&amp;","&amp;IJ6&amp;"],["&amp;IL6&amp;","&amp;IM6&amp;"]]"</f>
        <v>[[1,1],[1,1],[1,1],[1,1],[1,1],[1,1],[1,1],[1,1],[1,1],[1,1],[1,1],[1,1],[1,1],[1,1],[1,1],[1,1],[1,1],[1,1],[1,1],[1,1]]</v>
      </c>
      <c r="X6" s="63">
        <v>0</v>
      </c>
      <c r="Y6" s="268">
        <v>0</v>
      </c>
      <c r="Z6" s="303">
        <f t="shared" si="22"/>
        <v>0</v>
      </c>
      <c r="AA6" s="303">
        <v>0.06</v>
      </c>
      <c r="AB6" s="303">
        <f t="shared" ref="AB6:AB61" si="169">CH6</f>
        <v>0.1</v>
      </c>
      <c r="AC6" s="304">
        <f>AC5</f>
        <v>0.05</v>
      </c>
      <c r="AD6" s="304">
        <f>AD5</f>
        <v>0</v>
      </c>
      <c r="AE6" s="304">
        <f>AE5</f>
        <v>0</v>
      </c>
      <c r="AF6" s="304">
        <f>AF5</f>
        <v>0</v>
      </c>
      <c r="AG6" s="63" t="str">
        <f t="shared" ref="AG6:AG61" si="170">"[["&amp;CI6&amp;","&amp;CJ6&amp;"],["&amp;CK6&amp;","&amp;CL6&amp;"],["&amp;CM6&amp;","&amp;CN6&amp;"]]"</f>
        <v>[[1,5],[2,2],[3,1]]</v>
      </c>
      <c r="AH6" s="256" t="str">
        <f t="shared" ref="AH6:AH61" si="171">"["&amp;CQ6&amp;","&amp;CS6&amp;","&amp;CU6&amp;"]"</f>
        <v>[0.017778,0.008889,0.005926]</v>
      </c>
      <c r="AI6" s="256">
        <v>0</v>
      </c>
      <c r="AJ6" s="256">
        <v>1</v>
      </c>
      <c r="AK6" s="256">
        <f t="shared" si="23"/>
        <v>1</v>
      </c>
      <c r="AL6" s="256">
        <v>0</v>
      </c>
      <c r="AM6" s="256">
        <f t="shared" ref="AM6:AM64" si="172">ROUND(E6*30%,2)</f>
        <v>0.6</v>
      </c>
      <c r="AN6" s="256" t="s">
        <v>2548</v>
      </c>
      <c r="AO6" s="324">
        <v>2</v>
      </c>
      <c r="AP6" s="63">
        <f t="shared" si="24"/>
        <v>-1</v>
      </c>
      <c r="AQ6" s="63">
        <v>0</v>
      </c>
      <c r="AR6" s="63"/>
      <c r="AS6" s="39"/>
      <c r="AT6" s="39">
        <v>1</v>
      </c>
      <c r="AU6" s="63">
        <v>1</v>
      </c>
      <c r="AV6" s="63">
        <f t="shared" ref="AV6:AV30" si="173">AU6</f>
        <v>1</v>
      </c>
      <c r="AW6" s="63">
        <v>0.5</v>
      </c>
      <c r="AX6" s="63">
        <v>1</v>
      </c>
      <c r="AY6" s="63"/>
      <c r="AZ6" s="39"/>
      <c r="BA6" s="39"/>
      <c r="BB6" s="328">
        <v>0.6</v>
      </c>
      <c r="BC6" s="39">
        <v>2</v>
      </c>
      <c r="BD6" s="39">
        <v>0.18</v>
      </c>
      <c r="BE6" s="39">
        <v>0.8</v>
      </c>
      <c r="BF6" s="39">
        <v>1</v>
      </c>
      <c r="BG6" s="39" t="s">
        <v>1604</v>
      </c>
      <c r="BH6" s="331" t="s">
        <v>1612</v>
      </c>
      <c r="BI6" s="331" t="s">
        <v>1612</v>
      </c>
      <c r="BJ6" s="265" t="s">
        <v>425</v>
      </c>
      <c r="BK6" s="265" t="s">
        <v>280</v>
      </c>
      <c r="BL6" s="265"/>
      <c r="BM6" s="265"/>
      <c r="BN6" s="81">
        <f t="shared" si="25"/>
        <v>1.5</v>
      </c>
      <c r="BO6" s="343">
        <f t="shared" si="26"/>
        <v>100</v>
      </c>
      <c r="BP6" s="81" t="s">
        <v>1606</v>
      </c>
      <c r="BQ6" s="81">
        <f t="shared" si="27"/>
        <v>0.746</v>
      </c>
      <c r="BR6" s="81"/>
      <c r="BS6" s="63">
        <f t="shared" si="28"/>
        <v>2</v>
      </c>
      <c r="BT6" s="63">
        <f t="shared" si="29"/>
        <v>2.12</v>
      </c>
      <c r="BV6" s="63">
        <f t="shared" si="30"/>
        <v>0</v>
      </c>
      <c r="BW6" s="354" t="s">
        <v>1613</v>
      </c>
      <c r="BX6" s="355">
        <f>1/7</f>
        <v>0.14285714285714285</v>
      </c>
      <c r="CG6" s="371">
        <f t="shared" si="31"/>
        <v>2.2000000000000002</v>
      </c>
      <c r="CH6" s="372">
        <f>CH5</f>
        <v>0.1</v>
      </c>
      <c r="CI6" s="373">
        <v>1</v>
      </c>
      <c r="CJ6" s="143">
        <v>5</v>
      </c>
      <c r="CK6" s="373">
        <v>2</v>
      </c>
      <c r="CL6" s="143">
        <v>2</v>
      </c>
      <c r="CM6" s="373">
        <v>3</v>
      </c>
      <c r="CN6" s="143">
        <v>1</v>
      </c>
      <c r="CO6" s="143">
        <f t="shared" ref="CO6:CO61" si="174">(CI6*CJ6+CK6*CL6+CM6*CN6)/(CJ6+CL6+CN6)</f>
        <v>1.5</v>
      </c>
      <c r="CP6" s="143">
        <f t="shared" ref="CP6:CT39" si="175">CP$3/10</f>
        <v>7.5</v>
      </c>
      <c r="CQ6" s="377">
        <f t="shared" ref="CQ6:CQ64" si="176">ROUND(E6*CH6/CP6/CO6,6)</f>
        <v>1.7777999999999999E-2</v>
      </c>
      <c r="CR6" s="143">
        <f t="shared" si="32"/>
        <v>15</v>
      </c>
      <c r="CS6" s="378">
        <f t="shared" ref="CS6:CS64" si="177">ROUND(E6*CH6/CR6/CO6,6)</f>
        <v>8.8889999999999993E-3</v>
      </c>
      <c r="CT6" s="143">
        <f t="shared" si="32"/>
        <v>22.5</v>
      </c>
      <c r="CU6" s="392">
        <f t="shared" ref="CU6:CU64" si="178">ROUND(E6*CH6/CT6/CO6,6)</f>
        <v>5.9259999999999998E-3</v>
      </c>
      <c r="CW6" s="242">
        <v>2E-3</v>
      </c>
      <c r="CX6" s="396">
        <f>CX5</f>
        <v>0</v>
      </c>
      <c r="CY6" s="270">
        <f t="shared" si="33"/>
        <v>0</v>
      </c>
      <c r="CZ6" s="394">
        <f t="shared" si="34"/>
        <v>0</v>
      </c>
      <c r="DA6" s="394">
        <f t="shared" si="35"/>
        <v>0</v>
      </c>
      <c r="DB6" s="395">
        <f t="shared" ref="DB6:DB61" si="179">IF(DA6&gt;$DB$3,CX6*$DB$3/DA6,$CX6)</f>
        <v>0</v>
      </c>
      <c r="DC6" s="419">
        <f t="shared" si="36"/>
        <v>0</v>
      </c>
      <c r="DD6" s="394">
        <f t="shared" si="37"/>
        <v>0</v>
      </c>
      <c r="DE6" s="420" t="e">
        <f t="shared" si="38"/>
        <v>#DIV/0!</v>
      </c>
      <c r="DF6" s="421">
        <f t="shared" ref="DF6:DF61" si="180">IF($DA$3&lt;$DI$2,DI6,DI6*INT($DA$3/$DI$2))</f>
        <v>1</v>
      </c>
      <c r="DG6" s="422">
        <f t="shared" ref="DG6:DG61" si="181">IF($DA$3&lt;$DI$2,DJ6,DJ6*INT($DA$3/$DI$2))</f>
        <v>1</v>
      </c>
      <c r="DH6" s="284"/>
      <c r="DI6" s="282">
        <v>1</v>
      </c>
      <c r="DJ6" s="283">
        <v>1</v>
      </c>
      <c r="DL6" s="428" t="s">
        <v>1614</v>
      </c>
      <c r="DM6" s="146">
        <v>1</v>
      </c>
      <c r="DN6" s="760"/>
      <c r="DO6" s="764"/>
      <c r="DQ6" s="427"/>
      <c r="DR6" s="421">
        <v>1</v>
      </c>
      <c r="DS6" s="270">
        <v>1</v>
      </c>
      <c r="DT6" s="427">
        <f t="shared" si="39"/>
        <v>3.333333333333337E-4</v>
      </c>
      <c r="DU6" s="421">
        <f t="shared" si="40"/>
        <v>1</v>
      </c>
      <c r="DV6" s="270">
        <f t="shared" ref="DV6:DV61" si="182">DS6</f>
        <v>1</v>
      </c>
      <c r="DW6" s="427">
        <f t="shared" si="42"/>
        <v>6.666666666666674E-4</v>
      </c>
      <c r="DX6" s="421">
        <f t="shared" si="43"/>
        <v>1</v>
      </c>
      <c r="DY6" s="270">
        <f t="shared" ref="DY6:DY61" si="183">DV6</f>
        <v>1</v>
      </c>
      <c r="DZ6" s="427">
        <f t="shared" si="45"/>
        <v>1.0000000000000011E-3</v>
      </c>
      <c r="EA6" s="421">
        <f t="shared" ref="EA6:EA61" si="184">DX6</f>
        <v>1</v>
      </c>
      <c r="EB6" s="270">
        <f t="shared" ref="EB6:EB61" si="185">DY6</f>
        <v>1</v>
      </c>
      <c r="EC6" s="427">
        <f t="shared" si="48"/>
        <v>1.3333333333333348E-3</v>
      </c>
      <c r="ED6" s="421">
        <f t="shared" ref="ED6:ED61" si="186">EA6</f>
        <v>1</v>
      </c>
      <c r="EE6" s="270">
        <f t="shared" ref="EE6:EE61" si="187">EB6</f>
        <v>1</v>
      </c>
      <c r="EF6" s="427">
        <f t="shared" si="51"/>
        <v>1.6666666666666685E-3</v>
      </c>
      <c r="EG6" s="421">
        <f t="shared" ref="EG6:EG61" si="188">ED6</f>
        <v>1</v>
      </c>
      <c r="EH6" s="270">
        <f t="shared" ref="EH6:EH61" si="189">EE6</f>
        <v>1</v>
      </c>
      <c r="EI6" s="427">
        <f t="shared" si="54"/>
        <v>3.333333333333337E-3</v>
      </c>
      <c r="EJ6" s="421">
        <f t="shared" ref="EJ6:EJ61" si="190">EG6</f>
        <v>1</v>
      </c>
      <c r="EK6" s="270">
        <f t="shared" ref="EK6:EK61" si="191">EH6</f>
        <v>1</v>
      </c>
      <c r="EL6" s="427">
        <f t="shared" si="57"/>
        <v>6.666666666666674E-3</v>
      </c>
      <c r="EM6" s="421">
        <f t="shared" ref="EM6:EM61" si="192">EJ6</f>
        <v>1</v>
      </c>
      <c r="EN6" s="270">
        <f t="shared" ref="EN6:EN61" si="193">EK6</f>
        <v>1</v>
      </c>
      <c r="EO6" s="427">
        <f t="shared" si="60"/>
        <v>1.0000000000000011E-2</v>
      </c>
      <c r="EP6" s="421">
        <f t="shared" ref="EP6:EP61" si="194">EM6</f>
        <v>1</v>
      </c>
      <c r="EQ6" s="270">
        <f t="shared" ref="EQ6:EQ61" si="195">EN6</f>
        <v>1</v>
      </c>
      <c r="ER6" s="427">
        <f t="shared" si="63"/>
        <v>1.3333333333333348E-2</v>
      </c>
      <c r="ES6" s="421">
        <f t="shared" ref="ES6:ES61" si="196">EP6</f>
        <v>1</v>
      </c>
      <c r="ET6" s="270">
        <f t="shared" ref="ET6:ET61" si="197">EQ6</f>
        <v>1</v>
      </c>
      <c r="EU6" s="427">
        <f t="shared" si="66"/>
        <v>1.6666666666666684E-2</v>
      </c>
      <c r="EV6" s="421">
        <f t="shared" si="67"/>
        <v>2</v>
      </c>
      <c r="EW6" s="270">
        <f t="shared" si="68"/>
        <v>2</v>
      </c>
      <c r="EX6" s="427">
        <f t="shared" si="69"/>
        <v>1.6666666666666684E-2</v>
      </c>
      <c r="EY6" s="421">
        <f t="shared" si="70"/>
        <v>4</v>
      </c>
      <c r="EZ6" s="270">
        <f t="shared" si="71"/>
        <v>4</v>
      </c>
      <c r="FA6" s="427">
        <f t="shared" si="72"/>
        <v>1.6666666666666684E-2</v>
      </c>
      <c r="FB6" s="421">
        <f t="shared" si="73"/>
        <v>6</v>
      </c>
      <c r="FC6" s="270">
        <f t="shared" si="74"/>
        <v>6</v>
      </c>
      <c r="FD6" s="427">
        <f t="shared" si="75"/>
        <v>1.6666666666666684E-2</v>
      </c>
      <c r="FE6" s="421">
        <f t="shared" si="76"/>
        <v>8</v>
      </c>
      <c r="FF6" s="270">
        <f t="shared" si="77"/>
        <v>8</v>
      </c>
      <c r="FG6" s="427">
        <f t="shared" si="78"/>
        <v>1.6666666666666684E-2</v>
      </c>
      <c r="FH6" s="421">
        <f t="shared" si="79"/>
        <v>10</v>
      </c>
      <c r="FI6" s="270">
        <f t="shared" si="80"/>
        <v>10</v>
      </c>
      <c r="FJ6" s="427">
        <f t="shared" si="81"/>
        <v>1.6666666666666684E-2</v>
      </c>
      <c r="FK6" s="421">
        <f t="shared" si="82"/>
        <v>20</v>
      </c>
      <c r="FL6" s="270">
        <f t="shared" si="83"/>
        <v>20</v>
      </c>
      <c r="FM6" s="427">
        <f t="shared" si="84"/>
        <v>1.6666666666666684E-2</v>
      </c>
      <c r="FN6" s="421">
        <f t="shared" si="85"/>
        <v>40</v>
      </c>
      <c r="FO6" s="270">
        <f t="shared" si="86"/>
        <v>40</v>
      </c>
      <c r="FP6" s="427">
        <f t="shared" si="87"/>
        <v>1.6666666666666684E-2</v>
      </c>
      <c r="FQ6" s="421">
        <f t="shared" si="88"/>
        <v>60</v>
      </c>
      <c r="FR6" s="270">
        <f t="shared" si="89"/>
        <v>60</v>
      </c>
      <c r="FS6" s="427">
        <f t="shared" si="90"/>
        <v>1.6666666666666684E-2</v>
      </c>
      <c r="FT6" s="421">
        <f t="shared" si="91"/>
        <v>80</v>
      </c>
      <c r="FU6" s="270">
        <f t="shared" si="92"/>
        <v>80</v>
      </c>
      <c r="FV6" s="427">
        <f t="shared" si="93"/>
        <v>1.6666666666666684E-2</v>
      </c>
      <c r="FW6" s="421">
        <f t="shared" si="94"/>
        <v>100</v>
      </c>
      <c r="FX6" s="270">
        <f t="shared" si="95"/>
        <v>100</v>
      </c>
      <c r="FY6" s="427">
        <f t="shared" si="96"/>
        <v>1.6666666666666684E-2</v>
      </c>
      <c r="GA6" s="428" t="s">
        <v>1614</v>
      </c>
      <c r="GB6" s="146">
        <v>1</v>
      </c>
      <c r="GC6" s="760"/>
      <c r="GD6" s="754"/>
      <c r="GF6" s="427"/>
      <c r="GG6" s="421">
        <v>1</v>
      </c>
      <c r="GH6" s="270">
        <v>1</v>
      </c>
      <c r="GI6" s="427">
        <f t="shared" si="97"/>
        <v>2.222222222222224E-7</v>
      </c>
      <c r="GJ6" s="421">
        <f t="shared" si="98"/>
        <v>1</v>
      </c>
      <c r="GK6" s="270">
        <f t="shared" si="99"/>
        <v>1</v>
      </c>
      <c r="GL6" s="427">
        <f t="shared" si="100"/>
        <v>4.4444444444444481E-7</v>
      </c>
      <c r="GM6" s="421">
        <f t="shared" si="101"/>
        <v>1</v>
      </c>
      <c r="GN6" s="270">
        <f t="shared" si="102"/>
        <v>1</v>
      </c>
      <c r="GO6" s="427">
        <f t="shared" si="103"/>
        <v>6.6666666666666724E-7</v>
      </c>
      <c r="GP6" s="421">
        <f t="shared" si="104"/>
        <v>1</v>
      </c>
      <c r="GQ6" s="270">
        <f t="shared" si="105"/>
        <v>1</v>
      </c>
      <c r="GR6" s="427">
        <f t="shared" si="106"/>
        <v>8.8888888888888961E-7</v>
      </c>
      <c r="GS6" s="421">
        <f t="shared" si="107"/>
        <v>1</v>
      </c>
      <c r="GT6" s="270">
        <f t="shared" si="108"/>
        <v>1</v>
      </c>
      <c r="GU6" s="427">
        <f t="shared" si="109"/>
        <v>1.1111111111111121E-6</v>
      </c>
      <c r="GV6" s="421">
        <f t="shared" si="110"/>
        <v>1</v>
      </c>
      <c r="GW6" s="270">
        <f t="shared" si="111"/>
        <v>1</v>
      </c>
      <c r="GX6" s="427">
        <f t="shared" si="112"/>
        <v>2.2222222222222242E-6</v>
      </c>
      <c r="GY6" s="421">
        <f t="shared" si="113"/>
        <v>1</v>
      </c>
      <c r="GZ6" s="270">
        <f t="shared" si="114"/>
        <v>1</v>
      </c>
      <c r="HA6" s="427">
        <f t="shared" si="115"/>
        <v>4.4444444444444484E-6</v>
      </c>
      <c r="HB6" s="421">
        <f t="shared" si="116"/>
        <v>1</v>
      </c>
      <c r="HC6" s="270">
        <f t="shared" si="117"/>
        <v>1</v>
      </c>
      <c r="HD6" s="427">
        <f t="shared" si="118"/>
        <v>6.6666666666666717E-6</v>
      </c>
      <c r="HE6" s="421">
        <f t="shared" si="119"/>
        <v>1</v>
      </c>
      <c r="HF6" s="270">
        <f t="shared" si="120"/>
        <v>1</v>
      </c>
      <c r="HG6" s="427">
        <f t="shared" si="121"/>
        <v>8.8888888888888968E-6</v>
      </c>
      <c r="HH6" s="421">
        <f t="shared" si="122"/>
        <v>1</v>
      </c>
      <c r="HI6" s="270">
        <f t="shared" si="123"/>
        <v>1</v>
      </c>
      <c r="HJ6" s="427">
        <f t="shared" si="124"/>
        <v>1.111111111111112E-5</v>
      </c>
      <c r="HK6" s="421">
        <f t="shared" si="125"/>
        <v>1</v>
      </c>
      <c r="HL6" s="270">
        <f t="shared" si="125"/>
        <v>1</v>
      </c>
      <c r="HM6" s="427">
        <f t="shared" si="126"/>
        <v>2.222222222222224E-5</v>
      </c>
      <c r="HN6" s="421">
        <f t="shared" si="127"/>
        <v>1</v>
      </c>
      <c r="HO6" s="270">
        <f t="shared" si="127"/>
        <v>1</v>
      </c>
      <c r="HP6" s="427">
        <f t="shared" si="128"/>
        <v>4.444444444444448E-5</v>
      </c>
      <c r="HQ6" s="421">
        <f t="shared" si="129"/>
        <v>1</v>
      </c>
      <c r="HR6" s="270">
        <f t="shared" si="129"/>
        <v>1</v>
      </c>
      <c r="HS6" s="427">
        <f t="shared" si="130"/>
        <v>6.6666666666666724E-5</v>
      </c>
      <c r="HT6" s="421">
        <f t="shared" si="131"/>
        <v>1</v>
      </c>
      <c r="HU6" s="270">
        <f t="shared" si="131"/>
        <v>1</v>
      </c>
      <c r="HV6" s="427">
        <f t="shared" si="132"/>
        <v>8.8888888888888961E-5</v>
      </c>
      <c r="HW6" s="421">
        <f t="shared" si="133"/>
        <v>1</v>
      </c>
      <c r="HX6" s="270">
        <f t="shared" si="133"/>
        <v>1</v>
      </c>
      <c r="HY6" s="427">
        <f t="shared" si="134"/>
        <v>1.111111111111112E-4</v>
      </c>
      <c r="HZ6" s="421">
        <f t="shared" si="135"/>
        <v>1</v>
      </c>
      <c r="IA6" s="270">
        <f t="shared" si="135"/>
        <v>1</v>
      </c>
      <c r="IB6" s="427">
        <f t="shared" si="136"/>
        <v>2.222222222222224E-4</v>
      </c>
      <c r="IC6" s="421">
        <f t="shared" si="137"/>
        <v>1</v>
      </c>
      <c r="ID6" s="270">
        <f t="shared" si="137"/>
        <v>1</v>
      </c>
      <c r="IE6" s="427">
        <f t="shared" si="138"/>
        <v>4.4444444444444479E-4</v>
      </c>
      <c r="IF6" s="421">
        <f t="shared" si="139"/>
        <v>1</v>
      </c>
      <c r="IG6" s="270">
        <f t="shared" si="139"/>
        <v>1</v>
      </c>
      <c r="IH6" s="427">
        <f t="shared" si="140"/>
        <v>6.6666666666666719E-4</v>
      </c>
      <c r="II6" s="421">
        <f t="shared" si="141"/>
        <v>1</v>
      </c>
      <c r="IJ6" s="270">
        <f t="shared" si="141"/>
        <v>1</v>
      </c>
      <c r="IK6" s="427">
        <f t="shared" si="142"/>
        <v>8.8888888888888958E-4</v>
      </c>
      <c r="IL6" s="421">
        <f t="shared" si="143"/>
        <v>1</v>
      </c>
      <c r="IM6" s="270">
        <f t="shared" si="143"/>
        <v>1</v>
      </c>
      <c r="IN6" s="427">
        <f t="shared" si="144"/>
        <v>1.111111111111112E-3</v>
      </c>
      <c r="IR6" s="242" t="str">
        <f>IF(IR5&gt;1,"概率错误","概率正确")</f>
        <v>概率正确</v>
      </c>
      <c r="IS6" s="447">
        <f t="shared" si="145"/>
        <v>0</v>
      </c>
      <c r="IT6" s="447">
        <f t="shared" si="145"/>
        <v>0</v>
      </c>
      <c r="IU6" s="447">
        <f t="shared" si="145"/>
        <v>0</v>
      </c>
      <c r="IV6" s="447">
        <f t="shared" si="145"/>
        <v>8.0000000000000007E-5</v>
      </c>
      <c r="IW6" s="447">
        <f t="shared" si="145"/>
        <v>1E-4</v>
      </c>
      <c r="IX6" s="447">
        <f t="shared" si="145"/>
        <v>2.0000000000000001E-4</v>
      </c>
      <c r="IY6" s="447">
        <f t="shared" si="145"/>
        <v>4.0000000000000002E-4</v>
      </c>
      <c r="IZ6" s="447">
        <f t="shared" si="145"/>
        <v>5.9999999999999995E-4</v>
      </c>
      <c r="JA6" s="447">
        <f t="shared" si="145"/>
        <v>8.0000000000000004E-4</v>
      </c>
      <c r="JB6" s="447">
        <f t="shared" si="145"/>
        <v>1E-3</v>
      </c>
      <c r="JC6" s="447">
        <f t="shared" si="146"/>
        <v>2E-3</v>
      </c>
      <c r="JD6" s="447">
        <f t="shared" si="146"/>
        <v>2.5000000000000001E-3</v>
      </c>
      <c r="JE6" s="447">
        <f t="shared" si="146"/>
        <v>2.4996000000000003E-3</v>
      </c>
      <c r="JF6" s="447">
        <f t="shared" si="146"/>
        <v>2.4992000000000005E-3</v>
      </c>
      <c r="JG6" s="447">
        <f t="shared" si="146"/>
        <v>2.4989999999999999E-3</v>
      </c>
      <c r="JH6" s="447">
        <f t="shared" si="146"/>
        <v>2.4980000000000002E-3</v>
      </c>
      <c r="JI6" s="447">
        <f t="shared" si="146"/>
        <v>2.4960000000000004E-3</v>
      </c>
      <c r="JJ6" s="447">
        <f t="shared" si="146"/>
        <v>2.4960000000000004E-3</v>
      </c>
      <c r="JK6" s="447">
        <f t="shared" si="146"/>
        <v>2.4960000000000004E-3</v>
      </c>
      <c r="JL6" s="447">
        <f t="shared" si="146"/>
        <v>2.49E-3</v>
      </c>
      <c r="JN6" s="1">
        <v>1</v>
      </c>
      <c r="JO6" s="6">
        <v>99999</v>
      </c>
      <c r="JQ6" s="455" t="s">
        <v>1615</v>
      </c>
      <c r="JR6" s="456">
        <v>1</v>
      </c>
      <c r="JS6" s="456">
        <v>100000</v>
      </c>
      <c r="JU6" s="242">
        <f t="shared" ref="JU6:JU57" si="198">JU$2*$E6</f>
        <v>40000</v>
      </c>
      <c r="JV6" s="242">
        <f t="shared" ref="JV6:JV57" si="199">IF(COUNTIF($JS$5:$JS$30,"&lt;="&amp;$JU6)=0,$JU6,SMALL($JS$5:$JS$30,COUNTIF($JS$5:$JS$30,"&lt;="&amp;JU6)))</f>
        <v>40000</v>
      </c>
      <c r="JW6" s="242">
        <f t="shared" si="147"/>
        <v>1</v>
      </c>
      <c r="JX6" s="242">
        <f t="shared" ref="JX6:JX57" si="200">SMALL($JS$5:$JS$30,COUNTIF($JS$5:$JS$30,"&lt;="&amp;JU6)+1)</f>
        <v>50000</v>
      </c>
      <c r="JY6" s="241">
        <f t="shared" si="148"/>
        <v>0</v>
      </c>
      <c r="JZ6" s="241">
        <f t="shared" si="149"/>
        <v>40000</v>
      </c>
      <c r="KA6" s="241" t="str">
        <f t="shared" si="150"/>
        <v>期望符合预期</v>
      </c>
      <c r="KC6" s="242">
        <f t="shared" ref="KC6:KC57" si="201">KC$2*$E6</f>
        <v>80000</v>
      </c>
      <c r="KD6" s="242">
        <f t="shared" ref="KD6:KD57" si="202">IF(COUNTIF($JS$5:$JS$30,"&lt;="&amp;$JU6)=0,$JU6,SMALL($JS$5:$JS$30,COUNTIF($JS$5:$JS$30,"&lt;="&amp;KC6)))</f>
        <v>40000</v>
      </c>
      <c r="KE6" s="242">
        <f t="shared" si="151"/>
        <v>0.33333333333333331</v>
      </c>
      <c r="KF6" s="242">
        <f t="shared" ref="KF6:KF57" si="203">SMALL($JS$5:$JS$30,COUNTIF($JS$5:$JS$30,"&lt;="&amp;KC6)+1)</f>
        <v>100000</v>
      </c>
      <c r="KG6" s="241">
        <f t="shared" si="152"/>
        <v>0.66666666666666663</v>
      </c>
      <c r="KH6" s="241">
        <f t="shared" si="153"/>
        <v>79999.999999999985</v>
      </c>
      <c r="KI6" s="241" t="str">
        <f t="shared" si="154"/>
        <v>期望符合预期</v>
      </c>
      <c r="KK6" s="242">
        <f t="shared" ref="KK6:KK57" si="204">KK$2*$E6</f>
        <v>120000</v>
      </c>
      <c r="KL6" s="242">
        <f t="shared" ref="KL6:KL57" si="205">IF(COUNTIF($JS$5:$JS$30,"&lt;="&amp;$JU6)=0,$JU6,SMALL($JS$5:$JS$30,COUNTIF($JS$5:$JS$30,"&lt;="&amp;KK6)))</f>
        <v>40000</v>
      </c>
      <c r="KM6" s="242">
        <f t="shared" si="155"/>
        <v>0.27272727272727271</v>
      </c>
      <c r="KN6" s="242">
        <f t="shared" ref="KN6:KN57" si="206">SMALL($JS$5:$JS$30,COUNTIF($JS$5:$JS$30,"&lt;="&amp;KK6)+1)</f>
        <v>150000</v>
      </c>
      <c r="KO6" s="241">
        <f t="shared" si="156"/>
        <v>0.72727272727272729</v>
      </c>
      <c r="KP6" s="241">
        <f t="shared" si="157"/>
        <v>120000</v>
      </c>
      <c r="KQ6" s="241" t="str">
        <f t="shared" si="158"/>
        <v>期望符合预期</v>
      </c>
      <c r="KS6" s="242">
        <f t="shared" ref="KS6:KS57" si="207">KS$2*$E6</f>
        <v>160000</v>
      </c>
      <c r="KT6" s="242">
        <f t="shared" ref="KT6:KT57" si="208">IF(COUNTIF($JS$5:$JS$30,"&lt;="&amp;$JU6)=0,$JU6,SMALL($JS$5:$JS$30,COUNTIF($JS$5:$JS$30,"&lt;="&amp;KS6)))</f>
        <v>40000</v>
      </c>
      <c r="KU6" s="242">
        <f t="shared" si="159"/>
        <v>0.25</v>
      </c>
      <c r="KV6" s="242">
        <f t="shared" ref="KV6:KV57" si="209">SMALL($JS$5:$JS$30,COUNTIF($JS$5:$JS$30,"&lt;="&amp;KS6)+1)</f>
        <v>200000</v>
      </c>
      <c r="KW6" s="241">
        <f t="shared" si="160"/>
        <v>0.75</v>
      </c>
      <c r="KX6" s="241">
        <f t="shared" si="161"/>
        <v>160000</v>
      </c>
      <c r="KY6" s="241" t="str">
        <f t="shared" si="162"/>
        <v>期望符合预期</v>
      </c>
      <c r="LA6" s="242">
        <f t="shared" ref="LA6:LA57" si="210">LA$2*$E6</f>
        <v>200000</v>
      </c>
      <c r="LB6" s="242">
        <f t="shared" ref="LB6:LB57" si="211">IF(COUNTIF($JS$5:$JS$30,"&lt;="&amp;$JU6)=0,$JU6,SMALL($JS$5:$JS$30,COUNTIF($JS$5:$JS$30,"&lt;="&amp;LA6)))</f>
        <v>40000</v>
      </c>
      <c r="LC6" s="242">
        <f t="shared" si="163"/>
        <v>0.23809523809523808</v>
      </c>
      <c r="LD6" s="242">
        <f t="shared" ref="LD6:LD57" si="212">SMALL($JS$5:$JS$30,COUNTIF($JS$5:$JS$30,"&lt;="&amp;LA6)+1)</f>
        <v>250000</v>
      </c>
      <c r="LE6" s="241">
        <f t="shared" si="164"/>
        <v>0.76190476190476186</v>
      </c>
      <c r="LF6" s="241">
        <f t="shared" si="165"/>
        <v>200000</v>
      </c>
      <c r="LG6" s="241" t="str">
        <f t="shared" si="166"/>
        <v>期望符合预期</v>
      </c>
    </row>
    <row r="7" spans="1:319" x14ac:dyDescent="0.35">
      <c r="A7" s="63">
        <v>3</v>
      </c>
      <c r="B7" s="254" t="s">
        <v>1616</v>
      </c>
      <c r="C7" s="63">
        <v>1</v>
      </c>
      <c r="D7" s="63">
        <v>-1</v>
      </c>
      <c r="E7" s="63">
        <v>3</v>
      </c>
      <c r="F7" s="63">
        <f t="shared" si="16"/>
        <v>3</v>
      </c>
      <c r="G7" s="63">
        <f t="shared" si="167"/>
        <v>3</v>
      </c>
      <c r="H7" s="63"/>
      <c r="I7" s="265"/>
      <c r="J7" s="63">
        <f t="shared" si="17"/>
        <v>0</v>
      </c>
      <c r="K7" s="63">
        <f t="shared" si="18"/>
        <v>0</v>
      </c>
      <c r="L7" s="63">
        <v>0</v>
      </c>
      <c r="M7" s="266">
        <f>ROUND($BX$7/('全局参数|GlobalPar'!$B$19/10000/E7),6)*(7/5)</f>
        <v>2.0831999999999999E-3</v>
      </c>
      <c r="N7" s="267">
        <v>1</v>
      </c>
      <c r="O7" s="268">
        <f>ROUND(IF(N7&lt;&gt;0,$BX$4/('全局参数|GlobalPar'!$B$19/10000/E7)/N7,0),6)</f>
        <v>0</v>
      </c>
      <c r="P7" s="270">
        <f t="shared" si="19"/>
        <v>5.9999999999999995E-4</v>
      </c>
      <c r="Q7" s="285">
        <f t="shared" si="20"/>
        <v>0</v>
      </c>
      <c r="R7" s="282">
        <v>1</v>
      </c>
      <c r="S7" s="283">
        <v>1</v>
      </c>
      <c r="T7" s="284" t="str">
        <f t="shared" si="21"/>
        <v>[[1,1],[1,1],[1,1],[1,1],[1,1],[1,1],[1,1],[1,1],[1,1],[1,1],[2,2],[4,4],[6,6],[8,8],[10,10],[20,20],[40,40],[60,60],[80,80],[100,100]]</v>
      </c>
      <c r="U7" s="284">
        <v>1</v>
      </c>
      <c r="V7" s="284">
        <v>1</v>
      </c>
      <c r="W7" s="284" t="str">
        <f t="shared" si="168"/>
        <v>[[1,1],[1,1],[1,1],[1,1],[1,1],[1,1],[1,1],[1,1],[1,1],[1,1],[1,1],[1,1],[1,1],[1,1],[1,1],[1,1],[1,1],[1,1],[1,1],[1,1]]</v>
      </c>
      <c r="X7" s="63">
        <v>0</v>
      </c>
      <c r="Y7" s="268">
        <v>0</v>
      </c>
      <c r="Z7" s="303">
        <f t="shared" si="22"/>
        <v>0</v>
      </c>
      <c r="AA7" s="303">
        <v>0.06</v>
      </c>
      <c r="AB7" s="303">
        <f t="shared" si="169"/>
        <v>0.1</v>
      </c>
      <c r="AC7" s="304">
        <f t="shared" ref="AC7:AF47" si="213">AC6</f>
        <v>0.05</v>
      </c>
      <c r="AD7" s="304">
        <f t="shared" si="213"/>
        <v>0</v>
      </c>
      <c r="AE7" s="304">
        <f t="shared" si="213"/>
        <v>0</v>
      </c>
      <c r="AF7" s="304">
        <f t="shared" si="213"/>
        <v>0</v>
      </c>
      <c r="AG7" s="63" t="str">
        <f t="shared" si="170"/>
        <v>[[1,5],[2,2],[3,1]]</v>
      </c>
      <c r="AH7" s="256" t="str">
        <f t="shared" si="171"/>
        <v>[0.026667,0.013333,0.008889]</v>
      </c>
      <c r="AI7" s="256">
        <v>0</v>
      </c>
      <c r="AJ7" s="256">
        <v>1</v>
      </c>
      <c r="AK7" s="256">
        <f t="shared" si="23"/>
        <v>1</v>
      </c>
      <c r="AL7" s="256">
        <v>0</v>
      </c>
      <c r="AM7" s="256">
        <f t="shared" si="172"/>
        <v>0.9</v>
      </c>
      <c r="AN7" s="256" t="s">
        <v>2548</v>
      </c>
      <c r="AO7" s="324">
        <v>2</v>
      </c>
      <c r="AP7" s="63">
        <f t="shared" si="24"/>
        <v>-1</v>
      </c>
      <c r="AQ7" s="63">
        <v>0</v>
      </c>
      <c r="AR7" s="39"/>
      <c r="AS7" s="39"/>
      <c r="AT7" s="39">
        <v>1</v>
      </c>
      <c r="AU7" s="63">
        <v>1</v>
      </c>
      <c r="AV7" s="63">
        <f t="shared" si="173"/>
        <v>1</v>
      </c>
      <c r="AW7" s="63">
        <v>0.5</v>
      </c>
      <c r="AX7" s="63">
        <v>1</v>
      </c>
      <c r="AY7" s="63"/>
      <c r="AZ7" s="39"/>
      <c r="BA7" s="39"/>
      <c r="BB7" s="328">
        <v>0.6</v>
      </c>
      <c r="BC7" s="39">
        <v>3</v>
      </c>
      <c r="BD7" s="39">
        <v>0.18</v>
      </c>
      <c r="BE7" s="39">
        <v>0.8</v>
      </c>
      <c r="BF7" s="39">
        <v>1</v>
      </c>
      <c r="BG7" s="39" t="s">
        <v>1604</v>
      </c>
      <c r="BH7" s="331" t="s">
        <v>1617</v>
      </c>
      <c r="BI7" s="331" t="s">
        <v>1617</v>
      </c>
      <c r="BJ7" s="265" t="s">
        <v>266</v>
      </c>
      <c r="BK7" s="265" t="s">
        <v>280</v>
      </c>
      <c r="BL7" s="265"/>
      <c r="BM7" s="265"/>
      <c r="BN7" s="81">
        <f t="shared" si="25"/>
        <v>2.25</v>
      </c>
      <c r="BO7" s="343">
        <f t="shared" si="26"/>
        <v>66.666666666666671</v>
      </c>
      <c r="BP7" s="81" t="s">
        <v>1606</v>
      </c>
      <c r="BQ7" s="81">
        <f t="shared" si="27"/>
        <v>0.746</v>
      </c>
      <c r="BR7" s="81"/>
      <c r="BS7" s="63">
        <f t="shared" si="28"/>
        <v>3</v>
      </c>
      <c r="BT7" s="63">
        <f t="shared" si="29"/>
        <v>3.18</v>
      </c>
      <c r="BV7" s="63">
        <f t="shared" si="30"/>
        <v>0</v>
      </c>
      <c r="BW7" s="356" t="s">
        <v>1618</v>
      </c>
      <c r="BX7" s="357">
        <f>BX6/BX3</f>
        <v>4.7619047619047619E-4</v>
      </c>
      <c r="CG7" s="371">
        <f t="shared" si="31"/>
        <v>3.3000000000000003</v>
      </c>
      <c r="CH7" s="372">
        <f t="shared" ref="CH7:CH64" si="214">CH6</f>
        <v>0.1</v>
      </c>
      <c r="CI7" s="373">
        <v>1</v>
      </c>
      <c r="CJ7" s="143">
        <v>5</v>
      </c>
      <c r="CK7" s="373">
        <v>2</v>
      </c>
      <c r="CL7" s="143">
        <v>2</v>
      </c>
      <c r="CM7" s="373">
        <v>3</v>
      </c>
      <c r="CN7" s="143">
        <v>1</v>
      </c>
      <c r="CO7" s="143">
        <f t="shared" si="174"/>
        <v>1.5</v>
      </c>
      <c r="CP7" s="143">
        <f t="shared" si="175"/>
        <v>7.5</v>
      </c>
      <c r="CQ7" s="377">
        <f t="shared" si="176"/>
        <v>2.6667E-2</v>
      </c>
      <c r="CR7" s="143">
        <f t="shared" si="32"/>
        <v>15</v>
      </c>
      <c r="CS7" s="378">
        <f t="shared" si="177"/>
        <v>1.3332999999999999E-2</v>
      </c>
      <c r="CT7" s="143">
        <f t="shared" si="32"/>
        <v>22.5</v>
      </c>
      <c r="CU7" s="392">
        <f t="shared" si="178"/>
        <v>8.8889999999999993E-3</v>
      </c>
      <c r="CW7" s="241">
        <v>2E-3</v>
      </c>
      <c r="CX7" s="396">
        <f t="shared" ref="CX7:CX64" si="215">CX6</f>
        <v>0</v>
      </c>
      <c r="CY7" s="270">
        <f t="shared" si="33"/>
        <v>0</v>
      </c>
      <c r="CZ7" s="394">
        <f t="shared" si="34"/>
        <v>0</v>
      </c>
      <c r="DA7" s="394">
        <f t="shared" si="35"/>
        <v>0</v>
      </c>
      <c r="DB7" s="395">
        <f t="shared" si="179"/>
        <v>0</v>
      </c>
      <c r="DC7" s="419">
        <f t="shared" si="36"/>
        <v>0</v>
      </c>
      <c r="DD7" s="394">
        <f t="shared" si="37"/>
        <v>0</v>
      </c>
      <c r="DE7" s="420" t="e">
        <f t="shared" si="38"/>
        <v>#DIV/0!</v>
      </c>
      <c r="DF7" s="421">
        <f t="shared" si="180"/>
        <v>1</v>
      </c>
      <c r="DG7" s="422">
        <f t="shared" si="181"/>
        <v>1</v>
      </c>
      <c r="DH7" s="284"/>
      <c r="DI7" s="282">
        <v>1</v>
      </c>
      <c r="DJ7" s="283">
        <v>1</v>
      </c>
      <c r="DM7" s="1"/>
      <c r="DN7" s="1"/>
      <c r="DO7" s="1"/>
      <c r="DQ7" s="427"/>
      <c r="DR7" s="421">
        <v>1</v>
      </c>
      <c r="DS7" s="270">
        <v>1</v>
      </c>
      <c r="DT7" s="427">
        <f t="shared" si="39"/>
        <v>5.0000000000000055E-4</v>
      </c>
      <c r="DU7" s="421">
        <f t="shared" si="40"/>
        <v>1</v>
      </c>
      <c r="DV7" s="270">
        <f t="shared" si="182"/>
        <v>1</v>
      </c>
      <c r="DW7" s="427">
        <f t="shared" si="42"/>
        <v>1.0000000000000011E-3</v>
      </c>
      <c r="DX7" s="421">
        <f t="shared" si="43"/>
        <v>1</v>
      </c>
      <c r="DY7" s="270">
        <f t="shared" si="183"/>
        <v>1</v>
      </c>
      <c r="DZ7" s="427">
        <f t="shared" si="45"/>
        <v>1.5000000000000015E-3</v>
      </c>
      <c r="EA7" s="421">
        <f t="shared" si="184"/>
        <v>1</v>
      </c>
      <c r="EB7" s="270">
        <f t="shared" si="185"/>
        <v>1</v>
      </c>
      <c r="EC7" s="427">
        <f t="shared" si="48"/>
        <v>2.0000000000000022E-3</v>
      </c>
      <c r="ED7" s="421">
        <f t="shared" si="186"/>
        <v>1</v>
      </c>
      <c r="EE7" s="270">
        <f t="shared" si="187"/>
        <v>1</v>
      </c>
      <c r="EF7" s="427">
        <f t="shared" si="51"/>
        <v>2.5000000000000027E-3</v>
      </c>
      <c r="EG7" s="421">
        <f t="shared" si="188"/>
        <v>1</v>
      </c>
      <c r="EH7" s="270">
        <f t="shared" si="189"/>
        <v>1</v>
      </c>
      <c r="EI7" s="427">
        <f t="shared" si="54"/>
        <v>5.0000000000000053E-3</v>
      </c>
      <c r="EJ7" s="421">
        <f t="shared" si="190"/>
        <v>1</v>
      </c>
      <c r="EK7" s="270">
        <f t="shared" si="191"/>
        <v>1</v>
      </c>
      <c r="EL7" s="427">
        <f t="shared" si="57"/>
        <v>1.0000000000000011E-2</v>
      </c>
      <c r="EM7" s="421">
        <f t="shared" si="192"/>
        <v>1</v>
      </c>
      <c r="EN7" s="270">
        <f t="shared" si="193"/>
        <v>1</v>
      </c>
      <c r="EO7" s="427">
        <f t="shared" si="60"/>
        <v>1.5000000000000017E-2</v>
      </c>
      <c r="EP7" s="421">
        <f t="shared" si="194"/>
        <v>1</v>
      </c>
      <c r="EQ7" s="270">
        <f t="shared" si="195"/>
        <v>1</v>
      </c>
      <c r="ER7" s="427">
        <f t="shared" si="63"/>
        <v>2.0000000000000021E-2</v>
      </c>
      <c r="ES7" s="421">
        <f t="shared" si="196"/>
        <v>1</v>
      </c>
      <c r="ET7" s="270">
        <f t="shared" si="197"/>
        <v>1</v>
      </c>
      <c r="EU7" s="427">
        <f t="shared" si="66"/>
        <v>2.5000000000000026E-2</v>
      </c>
      <c r="EV7" s="421">
        <f t="shared" si="67"/>
        <v>2</v>
      </c>
      <c r="EW7" s="270">
        <f t="shared" si="68"/>
        <v>2</v>
      </c>
      <c r="EX7" s="427">
        <f t="shared" si="69"/>
        <v>2.5000000000000026E-2</v>
      </c>
      <c r="EY7" s="421">
        <f t="shared" si="70"/>
        <v>4</v>
      </c>
      <c r="EZ7" s="270">
        <f t="shared" si="71"/>
        <v>4</v>
      </c>
      <c r="FA7" s="427">
        <f t="shared" si="72"/>
        <v>2.5000000000000026E-2</v>
      </c>
      <c r="FB7" s="421">
        <f t="shared" si="73"/>
        <v>6</v>
      </c>
      <c r="FC7" s="270">
        <f t="shared" si="74"/>
        <v>6</v>
      </c>
      <c r="FD7" s="427">
        <f t="shared" si="75"/>
        <v>2.5000000000000026E-2</v>
      </c>
      <c r="FE7" s="421">
        <f t="shared" si="76"/>
        <v>8</v>
      </c>
      <c r="FF7" s="270">
        <f t="shared" si="77"/>
        <v>8</v>
      </c>
      <c r="FG7" s="427">
        <f t="shared" si="78"/>
        <v>2.5000000000000026E-2</v>
      </c>
      <c r="FH7" s="421">
        <f t="shared" si="79"/>
        <v>10</v>
      </c>
      <c r="FI7" s="270">
        <f t="shared" si="80"/>
        <v>10</v>
      </c>
      <c r="FJ7" s="427">
        <f t="shared" si="81"/>
        <v>2.5000000000000026E-2</v>
      </c>
      <c r="FK7" s="421">
        <f t="shared" si="82"/>
        <v>20</v>
      </c>
      <c r="FL7" s="270">
        <f t="shared" si="83"/>
        <v>20</v>
      </c>
      <c r="FM7" s="427">
        <f t="shared" si="84"/>
        <v>2.5000000000000026E-2</v>
      </c>
      <c r="FN7" s="421">
        <f t="shared" si="85"/>
        <v>40</v>
      </c>
      <c r="FO7" s="270">
        <f t="shared" si="86"/>
        <v>40</v>
      </c>
      <c r="FP7" s="427">
        <f t="shared" si="87"/>
        <v>2.5000000000000026E-2</v>
      </c>
      <c r="FQ7" s="421">
        <f t="shared" si="88"/>
        <v>60</v>
      </c>
      <c r="FR7" s="270">
        <f t="shared" si="89"/>
        <v>60</v>
      </c>
      <c r="FS7" s="427">
        <f t="shared" si="90"/>
        <v>2.5000000000000026E-2</v>
      </c>
      <c r="FT7" s="421">
        <f t="shared" si="91"/>
        <v>80</v>
      </c>
      <c r="FU7" s="270">
        <f t="shared" si="92"/>
        <v>80</v>
      </c>
      <c r="FV7" s="427">
        <f t="shared" si="93"/>
        <v>2.5000000000000026E-2</v>
      </c>
      <c r="FW7" s="421">
        <f t="shared" si="94"/>
        <v>100</v>
      </c>
      <c r="FX7" s="270">
        <f t="shared" si="95"/>
        <v>100</v>
      </c>
      <c r="FY7" s="427">
        <f t="shared" si="96"/>
        <v>2.5000000000000026E-2</v>
      </c>
      <c r="GB7" s="1"/>
      <c r="GC7" s="1"/>
      <c r="GD7" s="1"/>
      <c r="GF7" s="427"/>
      <c r="GG7" s="421">
        <v>1</v>
      </c>
      <c r="GH7" s="270">
        <v>1</v>
      </c>
      <c r="GI7" s="427">
        <f t="shared" si="97"/>
        <v>3.3333333333333362E-7</v>
      </c>
      <c r="GJ7" s="421">
        <f t="shared" si="98"/>
        <v>1</v>
      </c>
      <c r="GK7" s="270">
        <f t="shared" si="99"/>
        <v>1</v>
      </c>
      <c r="GL7" s="427">
        <f t="shared" si="100"/>
        <v>6.6666666666666724E-7</v>
      </c>
      <c r="GM7" s="421">
        <f t="shared" si="101"/>
        <v>1</v>
      </c>
      <c r="GN7" s="270">
        <f t="shared" si="102"/>
        <v>1</v>
      </c>
      <c r="GO7" s="427">
        <f t="shared" si="103"/>
        <v>1.0000000000000008E-6</v>
      </c>
      <c r="GP7" s="421">
        <f t="shared" si="104"/>
        <v>1</v>
      </c>
      <c r="GQ7" s="270">
        <f t="shared" si="105"/>
        <v>1</v>
      </c>
      <c r="GR7" s="427">
        <f t="shared" si="106"/>
        <v>1.3333333333333345E-6</v>
      </c>
      <c r="GS7" s="421">
        <f t="shared" si="107"/>
        <v>1</v>
      </c>
      <c r="GT7" s="270">
        <f t="shared" si="108"/>
        <v>1</v>
      </c>
      <c r="GU7" s="427">
        <f t="shared" si="109"/>
        <v>1.6666666666666679E-6</v>
      </c>
      <c r="GV7" s="421">
        <f t="shared" si="110"/>
        <v>1</v>
      </c>
      <c r="GW7" s="270">
        <f t="shared" si="111"/>
        <v>1</v>
      </c>
      <c r="GX7" s="427">
        <f t="shared" si="112"/>
        <v>3.3333333333333359E-6</v>
      </c>
      <c r="GY7" s="421">
        <f t="shared" si="113"/>
        <v>1</v>
      </c>
      <c r="GZ7" s="270">
        <f t="shared" si="114"/>
        <v>1</v>
      </c>
      <c r="HA7" s="427">
        <f t="shared" si="115"/>
        <v>6.6666666666666717E-6</v>
      </c>
      <c r="HB7" s="421">
        <f t="shared" si="116"/>
        <v>1</v>
      </c>
      <c r="HC7" s="270">
        <f t="shared" si="117"/>
        <v>1</v>
      </c>
      <c r="HD7" s="427">
        <f t="shared" si="118"/>
        <v>1.0000000000000008E-5</v>
      </c>
      <c r="HE7" s="421">
        <f t="shared" si="119"/>
        <v>1</v>
      </c>
      <c r="HF7" s="270">
        <f t="shared" si="120"/>
        <v>1</v>
      </c>
      <c r="HG7" s="427">
        <f t="shared" si="121"/>
        <v>1.3333333333333343E-5</v>
      </c>
      <c r="HH7" s="421">
        <f t="shared" si="122"/>
        <v>1</v>
      </c>
      <c r="HI7" s="270">
        <f t="shared" si="123"/>
        <v>1</v>
      </c>
      <c r="HJ7" s="427">
        <f t="shared" si="124"/>
        <v>1.6666666666666681E-5</v>
      </c>
      <c r="HK7" s="421">
        <f t="shared" si="125"/>
        <v>1</v>
      </c>
      <c r="HL7" s="270">
        <f t="shared" si="125"/>
        <v>1</v>
      </c>
      <c r="HM7" s="427">
        <f t="shared" si="126"/>
        <v>3.3333333333333362E-5</v>
      </c>
      <c r="HN7" s="421">
        <f t="shared" si="127"/>
        <v>1</v>
      </c>
      <c r="HO7" s="270">
        <f t="shared" si="127"/>
        <v>1</v>
      </c>
      <c r="HP7" s="427">
        <f t="shared" si="128"/>
        <v>6.6666666666666724E-5</v>
      </c>
      <c r="HQ7" s="421">
        <f t="shared" si="129"/>
        <v>1</v>
      </c>
      <c r="HR7" s="270">
        <f t="shared" si="129"/>
        <v>1</v>
      </c>
      <c r="HS7" s="427">
        <f t="shared" si="130"/>
        <v>1.0000000000000009E-4</v>
      </c>
      <c r="HT7" s="421">
        <f t="shared" si="131"/>
        <v>1</v>
      </c>
      <c r="HU7" s="270">
        <f t="shared" si="131"/>
        <v>1</v>
      </c>
      <c r="HV7" s="427">
        <f t="shared" si="132"/>
        <v>1.3333333333333345E-4</v>
      </c>
      <c r="HW7" s="421">
        <f t="shared" si="133"/>
        <v>1</v>
      </c>
      <c r="HX7" s="270">
        <f t="shared" si="133"/>
        <v>1</v>
      </c>
      <c r="HY7" s="427">
        <f t="shared" si="134"/>
        <v>1.666666666666668E-4</v>
      </c>
      <c r="HZ7" s="421">
        <f t="shared" si="135"/>
        <v>1</v>
      </c>
      <c r="IA7" s="270">
        <f t="shared" si="135"/>
        <v>1</v>
      </c>
      <c r="IB7" s="427">
        <f t="shared" si="136"/>
        <v>3.3333333333333359E-4</v>
      </c>
      <c r="IC7" s="421">
        <f t="shared" si="137"/>
        <v>1</v>
      </c>
      <c r="ID7" s="270">
        <f t="shared" si="137"/>
        <v>1</v>
      </c>
      <c r="IE7" s="427">
        <f t="shared" si="138"/>
        <v>6.6666666666666719E-4</v>
      </c>
      <c r="IF7" s="421">
        <f t="shared" si="139"/>
        <v>1</v>
      </c>
      <c r="IG7" s="270">
        <f t="shared" si="139"/>
        <v>1</v>
      </c>
      <c r="IH7" s="427">
        <f t="shared" si="140"/>
        <v>1.0000000000000009E-3</v>
      </c>
      <c r="II7" s="421">
        <f t="shared" si="141"/>
        <v>1</v>
      </c>
      <c r="IJ7" s="270">
        <f t="shared" si="141"/>
        <v>1</v>
      </c>
      <c r="IK7" s="427">
        <f t="shared" si="142"/>
        <v>1.3333333333333344E-3</v>
      </c>
      <c r="IL7" s="421">
        <f t="shared" si="143"/>
        <v>1</v>
      </c>
      <c r="IM7" s="270">
        <f t="shared" si="143"/>
        <v>1</v>
      </c>
      <c r="IN7" s="427">
        <f t="shared" si="144"/>
        <v>1.6666666666666681E-3</v>
      </c>
      <c r="IS7" s="447">
        <f t="shared" si="145"/>
        <v>0</v>
      </c>
      <c r="IT7" s="447">
        <f t="shared" si="145"/>
        <v>0</v>
      </c>
      <c r="IU7" s="447">
        <f t="shared" si="145"/>
        <v>0</v>
      </c>
      <c r="IV7" s="447">
        <f t="shared" si="145"/>
        <v>1.2000000000000002E-4</v>
      </c>
      <c r="IW7" s="447">
        <f t="shared" si="145"/>
        <v>1.5000000000000001E-4</v>
      </c>
      <c r="IX7" s="447">
        <f t="shared" si="145"/>
        <v>3.0000000000000003E-4</v>
      </c>
      <c r="IY7" s="447">
        <f t="shared" si="145"/>
        <v>6.0000000000000006E-4</v>
      </c>
      <c r="IZ7" s="447">
        <f t="shared" si="145"/>
        <v>9.0000000000000019E-4</v>
      </c>
      <c r="JA7" s="447">
        <f t="shared" si="145"/>
        <v>1.2000000000000001E-3</v>
      </c>
      <c r="JB7" s="447">
        <f t="shared" si="145"/>
        <v>1.5000000000000002E-3</v>
      </c>
      <c r="JC7" s="447">
        <f t="shared" si="146"/>
        <v>3.0000000000000005E-3</v>
      </c>
      <c r="JD7" s="447">
        <f t="shared" si="146"/>
        <v>3.7499999999999999E-3</v>
      </c>
      <c r="JE7" s="447">
        <f t="shared" si="146"/>
        <v>3.7494E-3</v>
      </c>
      <c r="JF7" s="447">
        <f t="shared" si="146"/>
        <v>3.7488000000000005E-3</v>
      </c>
      <c r="JG7" s="447">
        <f t="shared" si="146"/>
        <v>3.7485000000000001E-3</v>
      </c>
      <c r="JH7" s="447">
        <f t="shared" si="146"/>
        <v>3.7470000000000003E-3</v>
      </c>
      <c r="JI7" s="447">
        <f t="shared" si="146"/>
        <v>3.7440000000000004E-3</v>
      </c>
      <c r="JJ7" s="447">
        <f t="shared" si="146"/>
        <v>3.7440000000000004E-3</v>
      </c>
      <c r="JK7" s="447">
        <f t="shared" si="146"/>
        <v>3.7440000000000004E-3</v>
      </c>
      <c r="JL7" s="447">
        <f t="shared" si="146"/>
        <v>3.735E-3</v>
      </c>
      <c r="JN7" s="1">
        <v>2</v>
      </c>
      <c r="JO7" s="6">
        <v>99999</v>
      </c>
      <c r="JQ7" s="457" t="s">
        <v>1610</v>
      </c>
      <c r="JR7" s="458">
        <v>3</v>
      </c>
      <c r="JS7" s="458">
        <v>150000</v>
      </c>
      <c r="JT7" s="242"/>
      <c r="JU7" s="242">
        <f t="shared" si="198"/>
        <v>60000</v>
      </c>
      <c r="JV7" s="242">
        <f t="shared" si="199"/>
        <v>50000</v>
      </c>
      <c r="JW7" s="242">
        <f t="shared" si="147"/>
        <v>0.8</v>
      </c>
      <c r="JX7" s="242">
        <f t="shared" si="200"/>
        <v>100000</v>
      </c>
      <c r="JY7" s="241">
        <f t="shared" si="148"/>
        <v>0.2</v>
      </c>
      <c r="JZ7" s="241">
        <f t="shared" si="149"/>
        <v>60000</v>
      </c>
      <c r="KA7" s="241" t="str">
        <f t="shared" si="150"/>
        <v>期望符合预期</v>
      </c>
      <c r="KC7" s="242">
        <f t="shared" si="201"/>
        <v>120000</v>
      </c>
      <c r="KD7" s="242">
        <f t="shared" si="202"/>
        <v>100000</v>
      </c>
      <c r="KE7" s="242">
        <f t="shared" si="151"/>
        <v>0.6</v>
      </c>
      <c r="KF7" s="242">
        <f t="shared" si="203"/>
        <v>150000</v>
      </c>
      <c r="KG7" s="241">
        <f t="shared" si="152"/>
        <v>0.4</v>
      </c>
      <c r="KH7" s="241">
        <f t="shared" si="153"/>
        <v>120000</v>
      </c>
      <c r="KI7" s="241" t="str">
        <f t="shared" si="154"/>
        <v>期望符合预期</v>
      </c>
      <c r="KK7" s="242">
        <f t="shared" si="204"/>
        <v>180000</v>
      </c>
      <c r="KL7" s="242">
        <f t="shared" si="205"/>
        <v>150000</v>
      </c>
      <c r="KM7" s="242">
        <f t="shared" si="155"/>
        <v>0.4</v>
      </c>
      <c r="KN7" s="242">
        <f t="shared" si="206"/>
        <v>200000</v>
      </c>
      <c r="KO7" s="241">
        <f t="shared" si="156"/>
        <v>0.6</v>
      </c>
      <c r="KP7" s="241">
        <f t="shared" si="157"/>
        <v>180000</v>
      </c>
      <c r="KQ7" s="241" t="str">
        <f t="shared" si="158"/>
        <v>期望符合预期</v>
      </c>
      <c r="KS7" s="242">
        <f t="shared" si="207"/>
        <v>240000</v>
      </c>
      <c r="KT7" s="242">
        <f t="shared" si="208"/>
        <v>200000</v>
      </c>
      <c r="KU7" s="242">
        <f t="shared" si="159"/>
        <v>0.2</v>
      </c>
      <c r="KV7" s="242">
        <f t="shared" si="209"/>
        <v>250000</v>
      </c>
      <c r="KW7" s="241">
        <f t="shared" si="160"/>
        <v>0.8</v>
      </c>
      <c r="KX7" s="241">
        <f t="shared" si="161"/>
        <v>240000</v>
      </c>
      <c r="KY7" s="241" t="str">
        <f t="shared" si="162"/>
        <v>期望符合预期</v>
      </c>
      <c r="LA7" s="242">
        <f t="shared" si="210"/>
        <v>300000</v>
      </c>
      <c r="LB7" s="242">
        <f t="shared" si="211"/>
        <v>300000</v>
      </c>
      <c r="LC7" s="242">
        <f t="shared" si="163"/>
        <v>1</v>
      </c>
      <c r="LD7" s="242">
        <f t="shared" si="212"/>
        <v>500000</v>
      </c>
      <c r="LE7" s="241">
        <f t="shared" si="164"/>
        <v>0</v>
      </c>
      <c r="LF7" s="241">
        <f t="shared" si="165"/>
        <v>300000</v>
      </c>
      <c r="LG7" s="241" t="str">
        <f t="shared" si="166"/>
        <v>期望符合预期</v>
      </c>
    </row>
    <row r="8" spans="1:319" s="242" customFormat="1" ht="16.2" x14ac:dyDescent="0.4">
      <c r="A8" s="63">
        <v>4</v>
      </c>
      <c r="B8" s="254" t="s">
        <v>1619</v>
      </c>
      <c r="C8" s="63">
        <v>1</v>
      </c>
      <c r="D8" s="63">
        <v>-1</v>
      </c>
      <c r="E8" s="63">
        <v>4</v>
      </c>
      <c r="F8" s="63">
        <f t="shared" si="16"/>
        <v>4</v>
      </c>
      <c r="G8" s="63">
        <f t="shared" si="167"/>
        <v>4</v>
      </c>
      <c r="H8" s="63"/>
      <c r="I8" s="265"/>
      <c r="J8" s="63">
        <f t="shared" si="17"/>
        <v>0</v>
      </c>
      <c r="K8" s="63">
        <f t="shared" si="18"/>
        <v>0</v>
      </c>
      <c r="L8" s="63">
        <v>0</v>
      </c>
      <c r="M8" s="266">
        <f>ROUND($BX$7/('全局参数|GlobalPar'!$B$19/10000/E8),6)*(7/5)</f>
        <v>2.7775999999999999E-3</v>
      </c>
      <c r="N8" s="267">
        <v>1</v>
      </c>
      <c r="O8" s="268">
        <f>ROUND(IF(N8&lt;&gt;0,$BX$4/('全局参数|GlobalPar'!$B$19/10000/E8)/N8,0),6)</f>
        <v>0</v>
      </c>
      <c r="P8" s="270">
        <f t="shared" si="19"/>
        <v>8.0000000000000004E-4</v>
      </c>
      <c r="Q8" s="285">
        <f t="shared" si="20"/>
        <v>0</v>
      </c>
      <c r="R8" s="282">
        <v>1</v>
      </c>
      <c r="S8" s="283">
        <v>1</v>
      </c>
      <c r="T8" s="284" t="str">
        <f t="shared" si="21"/>
        <v>[[1,1],[1,1],[1,1],[1,1],[1,1],[1,1],[1,1],[1,1],[1,1],[1,1],[2,2],[4,4],[6,6],[8,8],[10,10],[20,20],[40,40],[60,60],[80,80],[100,100]]</v>
      </c>
      <c r="U8" s="284">
        <v>1</v>
      </c>
      <c r="V8" s="284">
        <v>1</v>
      </c>
      <c r="W8" s="284" t="str">
        <f t="shared" si="168"/>
        <v>[[1,1],[1,1],[1,1],[1,1],[1,1],[1,1],[1,1],[1,1],[1,1],[1,1],[1,1],[1,1],[1,1],[1,1],[1,1],[1,1],[1,1],[1,1],[1,1],[1,1]]</v>
      </c>
      <c r="X8" s="63">
        <v>0</v>
      </c>
      <c r="Y8" s="268">
        <v>0</v>
      </c>
      <c r="Z8" s="303">
        <f t="shared" si="22"/>
        <v>0</v>
      </c>
      <c r="AA8" s="303">
        <v>0.06</v>
      </c>
      <c r="AB8" s="303">
        <f t="shared" si="169"/>
        <v>0.1</v>
      </c>
      <c r="AC8" s="304">
        <f t="shared" si="213"/>
        <v>0.05</v>
      </c>
      <c r="AD8" s="304">
        <f t="shared" si="213"/>
        <v>0</v>
      </c>
      <c r="AE8" s="304">
        <f t="shared" si="213"/>
        <v>0</v>
      </c>
      <c r="AF8" s="304">
        <f t="shared" si="213"/>
        <v>0</v>
      </c>
      <c r="AG8" s="63" t="str">
        <f t="shared" si="170"/>
        <v>[[1,5],[2,2],[3,1]]</v>
      </c>
      <c r="AH8" s="256" t="str">
        <f t="shared" si="171"/>
        <v>[0.035556,0.017778,0.011852]</v>
      </c>
      <c r="AI8" s="256">
        <v>0</v>
      </c>
      <c r="AJ8" s="256">
        <v>1</v>
      </c>
      <c r="AK8" s="256">
        <f t="shared" si="23"/>
        <v>1</v>
      </c>
      <c r="AL8" s="256">
        <v>0</v>
      </c>
      <c r="AM8" s="256">
        <f t="shared" si="172"/>
        <v>1.2</v>
      </c>
      <c r="AN8" s="256" t="s">
        <v>2548</v>
      </c>
      <c r="AO8" s="324">
        <v>2</v>
      </c>
      <c r="AP8" s="63">
        <f t="shared" si="24"/>
        <v>-1</v>
      </c>
      <c r="AQ8" s="63">
        <v>0</v>
      </c>
      <c r="AR8" s="63"/>
      <c r="AS8" s="39"/>
      <c r="AT8" s="39">
        <v>1</v>
      </c>
      <c r="AU8" s="261">
        <v>0.85</v>
      </c>
      <c r="AV8" s="63">
        <f t="shared" si="173"/>
        <v>0.85</v>
      </c>
      <c r="AW8" s="63">
        <v>0.5</v>
      </c>
      <c r="AX8" s="63">
        <v>1</v>
      </c>
      <c r="AY8" s="63"/>
      <c r="AZ8" s="39"/>
      <c r="BA8" s="39"/>
      <c r="BB8" s="328">
        <v>0.6</v>
      </c>
      <c r="BC8" s="39">
        <v>4</v>
      </c>
      <c r="BD8" s="39">
        <v>0.18</v>
      </c>
      <c r="BE8" s="39">
        <v>0.8</v>
      </c>
      <c r="BF8" s="39">
        <v>1</v>
      </c>
      <c r="BG8" s="39" t="s">
        <v>1604</v>
      </c>
      <c r="BH8" s="331" t="s">
        <v>1620</v>
      </c>
      <c r="BI8" s="331" t="s">
        <v>1620</v>
      </c>
      <c r="BJ8" s="265" t="s">
        <v>541</v>
      </c>
      <c r="BK8" s="265" t="s">
        <v>280</v>
      </c>
      <c r="BL8" s="265"/>
      <c r="BM8" s="265"/>
      <c r="BN8" s="81">
        <f t="shared" si="25"/>
        <v>3</v>
      </c>
      <c r="BO8" s="343">
        <f t="shared" si="26"/>
        <v>50</v>
      </c>
      <c r="BP8" s="81" t="s">
        <v>1606</v>
      </c>
      <c r="BQ8" s="81">
        <f t="shared" si="27"/>
        <v>0.63400000000000001</v>
      </c>
      <c r="BR8" s="81"/>
      <c r="BS8" s="63">
        <f t="shared" si="28"/>
        <v>4</v>
      </c>
      <c r="BT8" s="63">
        <f t="shared" si="29"/>
        <v>4.24</v>
      </c>
      <c r="BV8" s="63">
        <f t="shared" si="30"/>
        <v>0</v>
      </c>
      <c r="CC8" s="358"/>
      <c r="CG8" s="371">
        <f t="shared" si="31"/>
        <v>4.4000000000000004</v>
      </c>
      <c r="CH8" s="372">
        <f t="shared" si="214"/>
        <v>0.1</v>
      </c>
      <c r="CI8" s="373">
        <v>1</v>
      </c>
      <c r="CJ8" s="143">
        <v>5</v>
      </c>
      <c r="CK8" s="373">
        <v>2</v>
      </c>
      <c r="CL8" s="143">
        <v>2</v>
      </c>
      <c r="CM8" s="373">
        <v>3</v>
      </c>
      <c r="CN8" s="143">
        <v>1</v>
      </c>
      <c r="CO8" s="143">
        <f t="shared" si="174"/>
        <v>1.5</v>
      </c>
      <c r="CP8" s="143">
        <f t="shared" si="175"/>
        <v>7.5</v>
      </c>
      <c r="CQ8" s="377">
        <f t="shared" si="176"/>
        <v>3.5555999999999997E-2</v>
      </c>
      <c r="CR8" s="143">
        <f t="shared" si="32"/>
        <v>15</v>
      </c>
      <c r="CS8" s="378">
        <f t="shared" si="177"/>
        <v>1.7777999999999999E-2</v>
      </c>
      <c r="CT8" s="143">
        <f t="shared" si="32"/>
        <v>22.5</v>
      </c>
      <c r="CU8" s="392">
        <f t="shared" si="178"/>
        <v>1.1852E-2</v>
      </c>
      <c r="CW8" s="242">
        <v>2E-3</v>
      </c>
      <c r="CX8" s="396">
        <f t="shared" si="215"/>
        <v>0</v>
      </c>
      <c r="CY8" s="270">
        <f t="shared" si="33"/>
        <v>0</v>
      </c>
      <c r="CZ8" s="394">
        <f t="shared" si="34"/>
        <v>0</v>
      </c>
      <c r="DA8" s="394">
        <f t="shared" si="35"/>
        <v>0</v>
      </c>
      <c r="DB8" s="395">
        <f t="shared" si="179"/>
        <v>0</v>
      </c>
      <c r="DC8" s="419">
        <f t="shared" si="36"/>
        <v>0</v>
      </c>
      <c r="DD8" s="394">
        <f t="shared" si="37"/>
        <v>0</v>
      </c>
      <c r="DE8" s="420" t="e">
        <f t="shared" si="38"/>
        <v>#DIV/0!</v>
      </c>
      <c r="DF8" s="421">
        <f t="shared" si="180"/>
        <v>1</v>
      </c>
      <c r="DG8" s="422">
        <f t="shared" si="181"/>
        <v>1</v>
      </c>
      <c r="DH8" s="284"/>
      <c r="DI8" s="282">
        <v>1</v>
      </c>
      <c r="DJ8" s="283">
        <v>1</v>
      </c>
      <c r="DL8" s="429" t="s">
        <v>1621</v>
      </c>
      <c r="DQ8" s="427"/>
      <c r="DR8" s="421">
        <v>1</v>
      </c>
      <c r="DS8" s="270">
        <v>1</v>
      </c>
      <c r="DT8" s="427">
        <f t="shared" si="39"/>
        <v>6.666666666666674E-4</v>
      </c>
      <c r="DU8" s="421">
        <f t="shared" si="40"/>
        <v>1</v>
      </c>
      <c r="DV8" s="270">
        <f t="shared" si="182"/>
        <v>1</v>
      </c>
      <c r="DW8" s="427">
        <f t="shared" si="42"/>
        <v>1.3333333333333348E-3</v>
      </c>
      <c r="DX8" s="421">
        <f t="shared" si="43"/>
        <v>1</v>
      </c>
      <c r="DY8" s="270">
        <f t="shared" si="183"/>
        <v>1</v>
      </c>
      <c r="DZ8" s="427">
        <f t="shared" si="45"/>
        <v>2.0000000000000022E-3</v>
      </c>
      <c r="EA8" s="421">
        <f t="shared" si="184"/>
        <v>1</v>
      </c>
      <c r="EB8" s="270">
        <f t="shared" si="185"/>
        <v>1</v>
      </c>
      <c r="EC8" s="427">
        <f t="shared" si="48"/>
        <v>2.6666666666666696E-3</v>
      </c>
      <c r="ED8" s="421">
        <f t="shared" si="186"/>
        <v>1</v>
      </c>
      <c r="EE8" s="270">
        <f t="shared" si="187"/>
        <v>1</v>
      </c>
      <c r="EF8" s="427">
        <f t="shared" si="51"/>
        <v>3.333333333333337E-3</v>
      </c>
      <c r="EG8" s="421">
        <f t="shared" si="188"/>
        <v>1</v>
      </c>
      <c r="EH8" s="270">
        <f t="shared" si="189"/>
        <v>1</v>
      </c>
      <c r="EI8" s="427">
        <f t="shared" si="54"/>
        <v>6.666666666666674E-3</v>
      </c>
      <c r="EJ8" s="421">
        <f t="shared" si="190"/>
        <v>1</v>
      </c>
      <c r="EK8" s="270">
        <f t="shared" si="191"/>
        <v>1</v>
      </c>
      <c r="EL8" s="427">
        <f t="shared" si="57"/>
        <v>1.3333333333333348E-2</v>
      </c>
      <c r="EM8" s="421">
        <f t="shared" si="192"/>
        <v>1</v>
      </c>
      <c r="EN8" s="270">
        <f t="shared" si="193"/>
        <v>1</v>
      </c>
      <c r="EO8" s="427">
        <f t="shared" si="60"/>
        <v>2.0000000000000021E-2</v>
      </c>
      <c r="EP8" s="421">
        <f t="shared" si="194"/>
        <v>1</v>
      </c>
      <c r="EQ8" s="270">
        <f t="shared" si="195"/>
        <v>1</v>
      </c>
      <c r="ER8" s="427">
        <f t="shared" si="63"/>
        <v>2.6666666666666696E-2</v>
      </c>
      <c r="ES8" s="421">
        <f t="shared" si="196"/>
        <v>1</v>
      </c>
      <c r="ET8" s="270">
        <f t="shared" si="197"/>
        <v>1</v>
      </c>
      <c r="EU8" s="427">
        <f t="shared" si="66"/>
        <v>3.3333333333333368E-2</v>
      </c>
      <c r="EV8" s="421">
        <f t="shared" si="67"/>
        <v>2</v>
      </c>
      <c r="EW8" s="270">
        <f t="shared" si="68"/>
        <v>2</v>
      </c>
      <c r="EX8" s="427">
        <f t="shared" si="69"/>
        <v>3.3333333333333368E-2</v>
      </c>
      <c r="EY8" s="421">
        <f t="shared" si="70"/>
        <v>4</v>
      </c>
      <c r="EZ8" s="270">
        <f t="shared" si="71"/>
        <v>4</v>
      </c>
      <c r="FA8" s="427">
        <f t="shared" si="72"/>
        <v>3.3333333333333368E-2</v>
      </c>
      <c r="FB8" s="421">
        <f t="shared" si="73"/>
        <v>6</v>
      </c>
      <c r="FC8" s="270">
        <f t="shared" si="74"/>
        <v>6</v>
      </c>
      <c r="FD8" s="427">
        <f t="shared" si="75"/>
        <v>3.3333333333333368E-2</v>
      </c>
      <c r="FE8" s="421">
        <f t="shared" si="76"/>
        <v>8</v>
      </c>
      <c r="FF8" s="270">
        <f t="shared" si="77"/>
        <v>8</v>
      </c>
      <c r="FG8" s="427">
        <f t="shared" si="78"/>
        <v>3.3333333333333368E-2</v>
      </c>
      <c r="FH8" s="421">
        <f t="shared" si="79"/>
        <v>10</v>
      </c>
      <c r="FI8" s="270">
        <f t="shared" si="80"/>
        <v>10</v>
      </c>
      <c r="FJ8" s="427">
        <f t="shared" si="81"/>
        <v>3.3333333333333368E-2</v>
      </c>
      <c r="FK8" s="421">
        <f t="shared" si="82"/>
        <v>20</v>
      </c>
      <c r="FL8" s="270">
        <f t="shared" si="83"/>
        <v>20</v>
      </c>
      <c r="FM8" s="427">
        <f t="shared" si="84"/>
        <v>3.3333333333333368E-2</v>
      </c>
      <c r="FN8" s="421">
        <f t="shared" si="85"/>
        <v>40</v>
      </c>
      <c r="FO8" s="270">
        <f t="shared" si="86"/>
        <v>40</v>
      </c>
      <c r="FP8" s="427">
        <f t="shared" si="87"/>
        <v>3.3333333333333368E-2</v>
      </c>
      <c r="FQ8" s="421">
        <f t="shared" si="88"/>
        <v>60</v>
      </c>
      <c r="FR8" s="270">
        <f t="shared" si="89"/>
        <v>60</v>
      </c>
      <c r="FS8" s="427">
        <f t="shared" si="90"/>
        <v>3.3333333333333368E-2</v>
      </c>
      <c r="FT8" s="421">
        <f t="shared" si="91"/>
        <v>80</v>
      </c>
      <c r="FU8" s="270">
        <f t="shared" si="92"/>
        <v>80</v>
      </c>
      <c r="FV8" s="427">
        <f t="shared" si="93"/>
        <v>3.3333333333333368E-2</v>
      </c>
      <c r="FW8" s="421">
        <f t="shared" si="94"/>
        <v>100</v>
      </c>
      <c r="FX8" s="270">
        <f t="shared" si="95"/>
        <v>100</v>
      </c>
      <c r="FY8" s="427">
        <f t="shared" si="96"/>
        <v>3.3333333333333368E-2</v>
      </c>
      <c r="GA8" s="429" t="s">
        <v>1622</v>
      </c>
      <c r="GF8" s="427"/>
      <c r="GG8" s="421">
        <v>1</v>
      </c>
      <c r="GH8" s="270">
        <v>1</v>
      </c>
      <c r="GI8" s="427">
        <f t="shared" si="97"/>
        <v>4.4444444444444481E-7</v>
      </c>
      <c r="GJ8" s="421">
        <f t="shared" si="98"/>
        <v>1</v>
      </c>
      <c r="GK8" s="270">
        <f t="shared" si="99"/>
        <v>1</v>
      </c>
      <c r="GL8" s="427">
        <f t="shared" si="100"/>
        <v>8.8888888888888961E-7</v>
      </c>
      <c r="GM8" s="421">
        <f t="shared" si="101"/>
        <v>1</v>
      </c>
      <c r="GN8" s="270">
        <f t="shared" si="102"/>
        <v>1</v>
      </c>
      <c r="GO8" s="427">
        <f t="shared" si="103"/>
        <v>1.3333333333333345E-6</v>
      </c>
      <c r="GP8" s="421">
        <f t="shared" si="104"/>
        <v>1</v>
      </c>
      <c r="GQ8" s="270">
        <f t="shared" si="105"/>
        <v>1</v>
      </c>
      <c r="GR8" s="427">
        <f t="shared" si="106"/>
        <v>1.7777777777777792E-6</v>
      </c>
      <c r="GS8" s="421">
        <f t="shared" si="107"/>
        <v>1</v>
      </c>
      <c r="GT8" s="270">
        <f t="shared" si="108"/>
        <v>1</v>
      </c>
      <c r="GU8" s="427">
        <f t="shared" si="109"/>
        <v>2.2222222222222242E-6</v>
      </c>
      <c r="GV8" s="421">
        <f t="shared" si="110"/>
        <v>1</v>
      </c>
      <c r="GW8" s="270">
        <f t="shared" si="111"/>
        <v>1</v>
      </c>
      <c r="GX8" s="427">
        <f t="shared" si="112"/>
        <v>4.4444444444444484E-6</v>
      </c>
      <c r="GY8" s="421">
        <f t="shared" si="113"/>
        <v>1</v>
      </c>
      <c r="GZ8" s="270">
        <f t="shared" si="114"/>
        <v>1</v>
      </c>
      <c r="HA8" s="427">
        <f t="shared" si="115"/>
        <v>8.8888888888888968E-6</v>
      </c>
      <c r="HB8" s="421">
        <f t="shared" si="116"/>
        <v>1</v>
      </c>
      <c r="HC8" s="270">
        <f t="shared" si="117"/>
        <v>1</v>
      </c>
      <c r="HD8" s="427">
        <f t="shared" si="118"/>
        <v>1.3333333333333343E-5</v>
      </c>
      <c r="HE8" s="421">
        <f t="shared" si="119"/>
        <v>1</v>
      </c>
      <c r="HF8" s="270">
        <f t="shared" si="120"/>
        <v>1</v>
      </c>
      <c r="HG8" s="427">
        <f t="shared" si="121"/>
        <v>1.7777777777777794E-5</v>
      </c>
      <c r="HH8" s="421">
        <f t="shared" si="122"/>
        <v>1</v>
      </c>
      <c r="HI8" s="270">
        <f t="shared" si="123"/>
        <v>1</v>
      </c>
      <c r="HJ8" s="427">
        <f t="shared" si="124"/>
        <v>2.222222222222224E-5</v>
      </c>
      <c r="HK8" s="421">
        <f t="shared" si="125"/>
        <v>1</v>
      </c>
      <c r="HL8" s="270">
        <f t="shared" si="125"/>
        <v>1</v>
      </c>
      <c r="HM8" s="427">
        <f t="shared" si="126"/>
        <v>4.444444444444448E-5</v>
      </c>
      <c r="HN8" s="421">
        <f t="shared" si="127"/>
        <v>1</v>
      </c>
      <c r="HO8" s="270">
        <f t="shared" si="127"/>
        <v>1</v>
      </c>
      <c r="HP8" s="427">
        <f t="shared" si="128"/>
        <v>8.8888888888888961E-5</v>
      </c>
      <c r="HQ8" s="421">
        <f t="shared" si="129"/>
        <v>1</v>
      </c>
      <c r="HR8" s="270">
        <f t="shared" si="129"/>
        <v>1</v>
      </c>
      <c r="HS8" s="427">
        <f t="shared" si="130"/>
        <v>1.3333333333333345E-4</v>
      </c>
      <c r="HT8" s="421">
        <f t="shared" si="131"/>
        <v>1</v>
      </c>
      <c r="HU8" s="270">
        <f t="shared" si="131"/>
        <v>1</v>
      </c>
      <c r="HV8" s="427">
        <f t="shared" si="132"/>
        <v>1.7777777777777792E-4</v>
      </c>
      <c r="HW8" s="421">
        <f t="shared" si="133"/>
        <v>1</v>
      </c>
      <c r="HX8" s="270">
        <f t="shared" si="133"/>
        <v>1</v>
      </c>
      <c r="HY8" s="427">
        <f t="shared" si="134"/>
        <v>2.222222222222224E-4</v>
      </c>
      <c r="HZ8" s="421">
        <f t="shared" si="135"/>
        <v>1</v>
      </c>
      <c r="IA8" s="270">
        <f t="shared" si="135"/>
        <v>1</v>
      </c>
      <c r="IB8" s="427">
        <f t="shared" si="136"/>
        <v>4.4444444444444479E-4</v>
      </c>
      <c r="IC8" s="421">
        <f t="shared" si="137"/>
        <v>1</v>
      </c>
      <c r="ID8" s="270">
        <f t="shared" si="137"/>
        <v>1</v>
      </c>
      <c r="IE8" s="427">
        <f t="shared" si="138"/>
        <v>8.8888888888888958E-4</v>
      </c>
      <c r="IF8" s="421">
        <f t="shared" si="139"/>
        <v>1</v>
      </c>
      <c r="IG8" s="270">
        <f t="shared" si="139"/>
        <v>1</v>
      </c>
      <c r="IH8" s="427">
        <f t="shared" si="140"/>
        <v>1.3333333333333344E-3</v>
      </c>
      <c r="II8" s="421">
        <f t="shared" si="141"/>
        <v>1</v>
      </c>
      <c r="IJ8" s="270">
        <f t="shared" si="141"/>
        <v>1</v>
      </c>
      <c r="IK8" s="427">
        <f t="shared" si="142"/>
        <v>1.7777777777777792E-3</v>
      </c>
      <c r="IL8" s="421">
        <f t="shared" si="143"/>
        <v>1</v>
      </c>
      <c r="IM8" s="270">
        <f t="shared" si="143"/>
        <v>1</v>
      </c>
      <c r="IN8" s="427">
        <f t="shared" si="144"/>
        <v>2.222222222222224E-3</v>
      </c>
      <c r="IQ8" s="448" t="s">
        <v>791</v>
      </c>
      <c r="IS8" s="447">
        <f t="shared" si="145"/>
        <v>0</v>
      </c>
      <c r="IT8" s="447">
        <f t="shared" si="145"/>
        <v>0</v>
      </c>
      <c r="IU8" s="447">
        <f t="shared" si="145"/>
        <v>0</v>
      </c>
      <c r="IV8" s="447">
        <f t="shared" si="145"/>
        <v>1.6000000000000001E-4</v>
      </c>
      <c r="IW8" s="447">
        <f t="shared" si="145"/>
        <v>2.0000000000000001E-4</v>
      </c>
      <c r="IX8" s="447">
        <f t="shared" si="145"/>
        <v>4.0000000000000002E-4</v>
      </c>
      <c r="IY8" s="447">
        <f t="shared" si="145"/>
        <v>8.0000000000000004E-4</v>
      </c>
      <c r="IZ8" s="447">
        <f t="shared" si="145"/>
        <v>1.1999999999999999E-3</v>
      </c>
      <c r="JA8" s="447">
        <f t="shared" si="145"/>
        <v>1.6000000000000001E-3</v>
      </c>
      <c r="JB8" s="447">
        <f t="shared" si="145"/>
        <v>2E-3</v>
      </c>
      <c r="JC8" s="447">
        <f t="shared" si="146"/>
        <v>4.0000000000000001E-3</v>
      </c>
      <c r="JD8" s="447">
        <f t="shared" si="146"/>
        <v>5.0000000000000001E-3</v>
      </c>
      <c r="JE8" s="447">
        <f t="shared" si="146"/>
        <v>4.9992000000000005E-3</v>
      </c>
      <c r="JF8" s="447">
        <f t="shared" si="146"/>
        <v>4.9984000000000009E-3</v>
      </c>
      <c r="JG8" s="447">
        <f t="shared" si="146"/>
        <v>4.9979999999999998E-3</v>
      </c>
      <c r="JH8" s="447">
        <f t="shared" si="146"/>
        <v>4.9960000000000004E-3</v>
      </c>
      <c r="JI8" s="447">
        <f t="shared" si="146"/>
        <v>4.9920000000000008E-3</v>
      </c>
      <c r="JJ8" s="447">
        <f t="shared" si="146"/>
        <v>4.9920000000000008E-3</v>
      </c>
      <c r="JK8" s="447">
        <f t="shared" si="146"/>
        <v>4.9920000000000008E-3</v>
      </c>
      <c r="JL8" s="447">
        <f t="shared" si="146"/>
        <v>4.9800000000000001E-3</v>
      </c>
      <c r="JN8" s="1">
        <v>3</v>
      </c>
      <c r="JO8" s="6">
        <v>99999</v>
      </c>
      <c r="JQ8" s="455" t="s">
        <v>1615</v>
      </c>
      <c r="JR8" s="456">
        <v>2</v>
      </c>
      <c r="JS8" s="456">
        <v>200000</v>
      </c>
      <c r="JU8" s="242">
        <f t="shared" si="198"/>
        <v>80000</v>
      </c>
      <c r="JV8" s="242">
        <f t="shared" si="199"/>
        <v>50000</v>
      </c>
      <c r="JW8" s="242">
        <f t="shared" ref="JW8:JW57" si="216">(JX8-JU8)/(JX8-JV8)</f>
        <v>0.4</v>
      </c>
      <c r="JX8" s="242">
        <f t="shared" si="200"/>
        <v>100000</v>
      </c>
      <c r="JY8" s="241">
        <f t="shared" ref="JY8:JY57" si="217">(JU8-JV8)/(JX8-JV8)</f>
        <v>0.6</v>
      </c>
      <c r="JZ8" s="241">
        <f t="shared" ref="JZ8:JZ57" si="218">JV8*JW8+JX8*JY8</f>
        <v>80000</v>
      </c>
      <c r="KA8" s="241" t="str">
        <f t="shared" ref="KA8:KA57" si="219">IF(JZ8=JU8,"期望符合预期","不符合")</f>
        <v>期望符合预期</v>
      </c>
      <c r="KC8" s="242">
        <f t="shared" si="201"/>
        <v>160000</v>
      </c>
      <c r="KD8" s="242">
        <f t="shared" si="202"/>
        <v>150000</v>
      </c>
      <c r="KE8" s="242">
        <f t="shared" ref="KE8:KE57" si="220">(KF8-KC8)/(KF8-KD8)</f>
        <v>0.8</v>
      </c>
      <c r="KF8" s="242">
        <f t="shared" si="203"/>
        <v>200000</v>
      </c>
      <c r="KG8" s="241">
        <f t="shared" ref="KG8:KG57" si="221">(KC8-KD8)/(KF8-KD8)</f>
        <v>0.2</v>
      </c>
      <c r="KH8" s="241">
        <f t="shared" ref="KH8:KH57" si="222">KD8*KE8+KF8*KG8</f>
        <v>160000</v>
      </c>
      <c r="KI8" s="241" t="str">
        <f t="shared" ref="KI8:KI57" si="223">IF(KH8=KC8,"期望符合预期","不符合")</f>
        <v>期望符合预期</v>
      </c>
      <c r="KK8" s="242">
        <f t="shared" si="204"/>
        <v>240000</v>
      </c>
      <c r="KL8" s="242">
        <f t="shared" si="205"/>
        <v>200000</v>
      </c>
      <c r="KM8" s="242">
        <f t="shared" ref="KM8:KM57" si="224">(KN8-KK8)/(KN8-KL8)</f>
        <v>0.2</v>
      </c>
      <c r="KN8" s="242">
        <f t="shared" si="206"/>
        <v>250000</v>
      </c>
      <c r="KO8" s="241">
        <f t="shared" ref="KO8:KO57" si="225">(KK8-KL8)/(KN8-KL8)</f>
        <v>0.8</v>
      </c>
      <c r="KP8" s="241">
        <f t="shared" ref="KP8:KP57" si="226">KL8*KM8+KN8*KO8</f>
        <v>240000</v>
      </c>
      <c r="KQ8" s="241" t="str">
        <f t="shared" ref="KQ8:KQ57" si="227">IF(KP8=KK8,"期望符合预期","不符合")</f>
        <v>期望符合预期</v>
      </c>
      <c r="KS8" s="242">
        <f t="shared" si="207"/>
        <v>320000</v>
      </c>
      <c r="KT8" s="242">
        <f t="shared" si="208"/>
        <v>300000</v>
      </c>
      <c r="KU8" s="242">
        <f t="shared" ref="KU8:KU57" si="228">(KV8-KS8)/(KV8-KT8)</f>
        <v>0.9</v>
      </c>
      <c r="KV8" s="242">
        <f t="shared" si="209"/>
        <v>500000</v>
      </c>
      <c r="KW8" s="241">
        <f t="shared" ref="KW8:KW57" si="229">(KS8-KT8)/(KV8-KT8)</f>
        <v>0.1</v>
      </c>
      <c r="KX8" s="241">
        <f t="shared" ref="KX8:KX57" si="230">KT8*KU8+KV8*KW8</f>
        <v>320000</v>
      </c>
      <c r="KY8" s="241" t="str">
        <f t="shared" ref="KY8:KY57" si="231">IF(KX8=KS8,"期望符合预期","不符合")</f>
        <v>期望符合预期</v>
      </c>
      <c r="LA8" s="242">
        <f t="shared" si="210"/>
        <v>400000</v>
      </c>
      <c r="LB8" s="242">
        <f t="shared" si="211"/>
        <v>300000</v>
      </c>
      <c r="LC8" s="242">
        <f t="shared" ref="LC8:LC57" si="232">(LD8-LA8)/(LD8-LB8)</f>
        <v>0.5</v>
      </c>
      <c r="LD8" s="242">
        <f t="shared" si="212"/>
        <v>500000</v>
      </c>
      <c r="LE8" s="241">
        <f t="shared" ref="LE8:LE57" si="233">(LA8-LB8)/(LD8-LB8)</f>
        <v>0.5</v>
      </c>
      <c r="LF8" s="241">
        <f t="shared" ref="LF8:LF57" si="234">LB8*LC8+LD8*LE8</f>
        <v>400000</v>
      </c>
      <c r="LG8" s="241" t="str">
        <f t="shared" ref="LG8:LG57" si="235">IF(LF8=LA8,"期望符合预期","不符合")</f>
        <v>期望符合预期</v>
      </c>
    </row>
    <row r="9" spans="1:319" s="242" customFormat="1" x14ac:dyDescent="0.35">
      <c r="A9" s="63">
        <v>5</v>
      </c>
      <c r="B9" s="254" t="s">
        <v>1623</v>
      </c>
      <c r="C9" s="63">
        <v>1</v>
      </c>
      <c r="D9" s="143">
        <v>-1</v>
      </c>
      <c r="E9" s="63">
        <v>5</v>
      </c>
      <c r="F9" s="63">
        <f t="shared" si="16"/>
        <v>5</v>
      </c>
      <c r="G9" s="63">
        <f t="shared" si="167"/>
        <v>5</v>
      </c>
      <c r="H9" s="63"/>
      <c r="I9" s="265"/>
      <c r="J9" s="63">
        <f t="shared" si="17"/>
        <v>0</v>
      </c>
      <c r="K9" s="63">
        <f t="shared" si="18"/>
        <v>0</v>
      </c>
      <c r="L9" s="63">
        <v>0</v>
      </c>
      <c r="M9" s="266">
        <f>ROUND($BX$7/('全局参数|GlobalPar'!$B$19/10000/E9),6)*(7/5)</f>
        <v>3.4719999999999998E-3</v>
      </c>
      <c r="N9" s="267">
        <v>1</v>
      </c>
      <c r="O9" s="268">
        <f>ROUND(IF(N9&lt;&gt;0,$BX$4/('全局参数|GlobalPar'!$B$19/10000/E9)/N9,0),6)</f>
        <v>0</v>
      </c>
      <c r="P9" s="270">
        <f t="shared" si="19"/>
        <v>1E-3</v>
      </c>
      <c r="Q9" s="285">
        <f t="shared" si="20"/>
        <v>0</v>
      </c>
      <c r="R9" s="282">
        <v>1</v>
      </c>
      <c r="S9" s="283">
        <v>1</v>
      </c>
      <c r="T9" s="284" t="str">
        <f t="shared" si="21"/>
        <v>[[1,1],[1,1],[1,1],[1,1],[1,1],[1,1],[1,1],[1,1],[1,1],[1,1],[2,2],[4,4],[6,6],[8,8],[10,10],[20,20],[40,40],[60,60],[80,80],[100,100]]</v>
      </c>
      <c r="U9" s="284">
        <v>1</v>
      </c>
      <c r="V9" s="284">
        <v>1</v>
      </c>
      <c r="W9" s="284" t="str">
        <f t="shared" si="168"/>
        <v>[[1,1],[1,1],[1,1],[1,1],[1,1],[1,1],[1,1],[1,1],[1,1],[1,1],[1,1],[1,1],[1,1],[1,1],[1,1],[1,1],[1,1],[1,1],[1,1],[1,1]]</v>
      </c>
      <c r="X9" s="63">
        <v>0</v>
      </c>
      <c r="Y9" s="268">
        <v>0</v>
      </c>
      <c r="Z9" s="303">
        <f t="shared" si="22"/>
        <v>0</v>
      </c>
      <c r="AA9" s="303">
        <v>0.06</v>
      </c>
      <c r="AB9" s="303">
        <f t="shared" si="169"/>
        <v>0.1</v>
      </c>
      <c r="AC9" s="304">
        <f t="shared" si="213"/>
        <v>0.05</v>
      </c>
      <c r="AD9" s="304">
        <f t="shared" si="213"/>
        <v>0</v>
      </c>
      <c r="AE9" s="304">
        <f t="shared" si="213"/>
        <v>0</v>
      </c>
      <c r="AF9" s="304">
        <f t="shared" si="213"/>
        <v>0</v>
      </c>
      <c r="AG9" s="63" t="str">
        <f t="shared" si="170"/>
        <v>[[1,5],[2,2],[3,1]]</v>
      </c>
      <c r="AH9" s="256" t="str">
        <f t="shared" si="171"/>
        <v>[0.044444,0.022222,0.014815]</v>
      </c>
      <c r="AI9" s="256">
        <v>0</v>
      </c>
      <c r="AJ9" s="256">
        <v>1</v>
      </c>
      <c r="AK9" s="256">
        <f t="shared" si="23"/>
        <v>1</v>
      </c>
      <c r="AL9" s="256">
        <v>0</v>
      </c>
      <c r="AM9" s="256">
        <f t="shared" si="172"/>
        <v>1.5</v>
      </c>
      <c r="AN9" s="256" t="s">
        <v>2548</v>
      </c>
      <c r="AO9" s="324">
        <v>3</v>
      </c>
      <c r="AP9" s="63">
        <f t="shared" si="24"/>
        <v>-1</v>
      </c>
      <c r="AQ9" s="63">
        <v>0</v>
      </c>
      <c r="AR9" s="63"/>
      <c r="AS9" s="39"/>
      <c r="AT9" s="39">
        <v>1</v>
      </c>
      <c r="AU9" s="261">
        <v>0.85</v>
      </c>
      <c r="AV9" s="63">
        <f t="shared" si="173"/>
        <v>0.85</v>
      </c>
      <c r="AW9" s="63">
        <v>0.5</v>
      </c>
      <c r="AX9" s="63">
        <v>1</v>
      </c>
      <c r="AY9" s="63"/>
      <c r="AZ9" s="39"/>
      <c r="BA9" s="39"/>
      <c r="BB9" s="328">
        <v>0.6</v>
      </c>
      <c r="BC9" s="39">
        <v>5</v>
      </c>
      <c r="BD9" s="39">
        <v>0.18</v>
      </c>
      <c r="BE9" s="39">
        <v>1</v>
      </c>
      <c r="BF9" s="39">
        <v>1</v>
      </c>
      <c r="BG9" s="39" t="s">
        <v>1604</v>
      </c>
      <c r="BH9" s="331" t="s">
        <v>1624</v>
      </c>
      <c r="BI9" s="331" t="s">
        <v>1625</v>
      </c>
      <c r="BJ9" s="265" t="s">
        <v>548</v>
      </c>
      <c r="BK9" s="265" t="s">
        <v>280</v>
      </c>
      <c r="BL9" s="265"/>
      <c r="BM9" s="265"/>
      <c r="BN9" s="81">
        <f t="shared" si="25"/>
        <v>3.75</v>
      </c>
      <c r="BO9" s="343">
        <f t="shared" si="26"/>
        <v>40</v>
      </c>
      <c r="BP9" s="81" t="s">
        <v>1606</v>
      </c>
      <c r="BQ9" s="81">
        <f t="shared" si="27"/>
        <v>0.63400000000000001</v>
      </c>
      <c r="BR9" s="81"/>
      <c r="BS9" s="63">
        <f t="shared" si="28"/>
        <v>5</v>
      </c>
      <c r="BT9" s="63">
        <f t="shared" si="29"/>
        <v>5.3000000000000007</v>
      </c>
      <c r="BV9" s="63">
        <f t="shared" si="30"/>
        <v>0</v>
      </c>
      <c r="CG9" s="371">
        <f t="shared" si="31"/>
        <v>5.5</v>
      </c>
      <c r="CH9" s="372">
        <f t="shared" si="214"/>
        <v>0.1</v>
      </c>
      <c r="CI9" s="373">
        <v>1</v>
      </c>
      <c r="CJ9" s="143">
        <v>5</v>
      </c>
      <c r="CK9" s="373">
        <v>2</v>
      </c>
      <c r="CL9" s="143">
        <v>2</v>
      </c>
      <c r="CM9" s="373">
        <v>3</v>
      </c>
      <c r="CN9" s="143">
        <v>1</v>
      </c>
      <c r="CO9" s="143">
        <f t="shared" si="174"/>
        <v>1.5</v>
      </c>
      <c r="CP9" s="143">
        <f t="shared" si="175"/>
        <v>7.5</v>
      </c>
      <c r="CQ9" s="377">
        <f t="shared" si="176"/>
        <v>4.4443999999999997E-2</v>
      </c>
      <c r="CR9" s="143">
        <f t="shared" si="32"/>
        <v>15</v>
      </c>
      <c r="CS9" s="378">
        <f t="shared" si="177"/>
        <v>2.2221999999999999E-2</v>
      </c>
      <c r="CT9" s="143">
        <f t="shared" si="32"/>
        <v>22.5</v>
      </c>
      <c r="CU9" s="392">
        <f t="shared" si="178"/>
        <v>1.4815E-2</v>
      </c>
      <c r="CW9" s="242">
        <v>2E-3</v>
      </c>
      <c r="CX9" s="396">
        <f t="shared" si="215"/>
        <v>0</v>
      </c>
      <c r="CY9" s="270">
        <f t="shared" si="33"/>
        <v>0</v>
      </c>
      <c r="CZ9" s="394">
        <f t="shared" si="34"/>
        <v>0</v>
      </c>
      <c r="DA9" s="394">
        <f t="shared" si="35"/>
        <v>0</v>
      </c>
      <c r="DB9" s="395">
        <f t="shared" si="179"/>
        <v>0</v>
      </c>
      <c r="DC9" s="419">
        <f t="shared" si="36"/>
        <v>0</v>
      </c>
      <c r="DD9" s="394">
        <f t="shared" si="37"/>
        <v>0</v>
      </c>
      <c r="DE9" s="420" t="e">
        <f t="shared" si="38"/>
        <v>#DIV/0!</v>
      </c>
      <c r="DF9" s="421">
        <f t="shared" si="180"/>
        <v>1</v>
      </c>
      <c r="DG9" s="422">
        <f t="shared" si="181"/>
        <v>1</v>
      </c>
      <c r="DH9" s="284"/>
      <c r="DI9" s="282">
        <v>1</v>
      </c>
      <c r="DJ9" s="283">
        <v>1</v>
      </c>
      <c r="DL9" s="430"/>
      <c r="DQ9" s="427"/>
      <c r="DR9" s="421">
        <v>1</v>
      </c>
      <c r="DS9" s="270">
        <v>1</v>
      </c>
      <c r="DT9" s="427">
        <f t="shared" si="39"/>
        <v>8.3333333333333425E-4</v>
      </c>
      <c r="DU9" s="421">
        <f t="shared" si="40"/>
        <v>1</v>
      </c>
      <c r="DV9" s="270">
        <f t="shared" si="182"/>
        <v>1</v>
      </c>
      <c r="DW9" s="427">
        <f t="shared" si="42"/>
        <v>1.6666666666666685E-3</v>
      </c>
      <c r="DX9" s="421">
        <f t="shared" si="43"/>
        <v>1</v>
      </c>
      <c r="DY9" s="270">
        <f t="shared" si="183"/>
        <v>1</v>
      </c>
      <c r="DZ9" s="427">
        <f t="shared" si="45"/>
        <v>2.5000000000000027E-3</v>
      </c>
      <c r="EA9" s="421">
        <f t="shared" si="184"/>
        <v>1</v>
      </c>
      <c r="EB9" s="270">
        <f t="shared" si="185"/>
        <v>1</v>
      </c>
      <c r="EC9" s="427">
        <f t="shared" si="48"/>
        <v>3.333333333333337E-3</v>
      </c>
      <c r="ED9" s="421">
        <f t="shared" si="186"/>
        <v>1</v>
      </c>
      <c r="EE9" s="270">
        <f t="shared" si="187"/>
        <v>1</v>
      </c>
      <c r="EF9" s="427">
        <f t="shared" si="51"/>
        <v>4.1666666666666709E-3</v>
      </c>
      <c r="EG9" s="421">
        <f t="shared" si="188"/>
        <v>1</v>
      </c>
      <c r="EH9" s="270">
        <f t="shared" si="189"/>
        <v>1</v>
      </c>
      <c r="EI9" s="427">
        <f t="shared" si="54"/>
        <v>8.3333333333333419E-3</v>
      </c>
      <c r="EJ9" s="421">
        <f t="shared" si="190"/>
        <v>1</v>
      </c>
      <c r="EK9" s="270">
        <f t="shared" si="191"/>
        <v>1</v>
      </c>
      <c r="EL9" s="427">
        <f t="shared" si="57"/>
        <v>1.6666666666666684E-2</v>
      </c>
      <c r="EM9" s="421">
        <f t="shared" si="192"/>
        <v>1</v>
      </c>
      <c r="EN9" s="270">
        <f t="shared" si="193"/>
        <v>1</v>
      </c>
      <c r="EO9" s="427">
        <f t="shared" si="60"/>
        <v>2.5000000000000026E-2</v>
      </c>
      <c r="EP9" s="421">
        <f t="shared" si="194"/>
        <v>1</v>
      </c>
      <c r="EQ9" s="270">
        <f t="shared" si="195"/>
        <v>1</v>
      </c>
      <c r="ER9" s="427">
        <f t="shared" si="63"/>
        <v>3.3333333333333368E-2</v>
      </c>
      <c r="ES9" s="421">
        <f t="shared" si="196"/>
        <v>1</v>
      </c>
      <c r="ET9" s="270">
        <f t="shared" si="197"/>
        <v>1</v>
      </c>
      <c r="EU9" s="427">
        <f t="shared" si="66"/>
        <v>4.1666666666666713E-2</v>
      </c>
      <c r="EV9" s="421">
        <f t="shared" si="67"/>
        <v>2</v>
      </c>
      <c r="EW9" s="270">
        <f t="shared" si="68"/>
        <v>2</v>
      </c>
      <c r="EX9" s="427">
        <f t="shared" si="69"/>
        <v>4.1666666666666713E-2</v>
      </c>
      <c r="EY9" s="421">
        <f t="shared" si="70"/>
        <v>4</v>
      </c>
      <c r="EZ9" s="270">
        <f t="shared" si="71"/>
        <v>4</v>
      </c>
      <c r="FA9" s="427">
        <f t="shared" si="72"/>
        <v>4.1666666666666713E-2</v>
      </c>
      <c r="FB9" s="421">
        <f t="shared" si="73"/>
        <v>6</v>
      </c>
      <c r="FC9" s="270">
        <f t="shared" si="74"/>
        <v>6</v>
      </c>
      <c r="FD9" s="427">
        <f t="shared" si="75"/>
        <v>4.1666666666666713E-2</v>
      </c>
      <c r="FE9" s="421">
        <f t="shared" si="76"/>
        <v>8</v>
      </c>
      <c r="FF9" s="270">
        <f t="shared" si="77"/>
        <v>8</v>
      </c>
      <c r="FG9" s="427">
        <f t="shared" si="78"/>
        <v>4.1666666666666713E-2</v>
      </c>
      <c r="FH9" s="421">
        <f t="shared" si="79"/>
        <v>10</v>
      </c>
      <c r="FI9" s="270">
        <f t="shared" si="80"/>
        <v>10</v>
      </c>
      <c r="FJ9" s="427">
        <f t="shared" si="81"/>
        <v>4.1666666666666713E-2</v>
      </c>
      <c r="FK9" s="421">
        <f t="shared" si="82"/>
        <v>20</v>
      </c>
      <c r="FL9" s="270">
        <f t="shared" si="83"/>
        <v>20</v>
      </c>
      <c r="FM9" s="427">
        <f t="shared" si="84"/>
        <v>4.1666666666666713E-2</v>
      </c>
      <c r="FN9" s="421">
        <f t="shared" si="85"/>
        <v>40</v>
      </c>
      <c r="FO9" s="270">
        <f t="shared" si="86"/>
        <v>40</v>
      </c>
      <c r="FP9" s="427">
        <f t="shared" si="87"/>
        <v>4.1666666666666713E-2</v>
      </c>
      <c r="FQ9" s="421">
        <f t="shared" si="88"/>
        <v>60</v>
      </c>
      <c r="FR9" s="270">
        <f t="shared" si="89"/>
        <v>60</v>
      </c>
      <c r="FS9" s="427">
        <f t="shared" si="90"/>
        <v>4.1666666666666713E-2</v>
      </c>
      <c r="FT9" s="421">
        <f t="shared" si="91"/>
        <v>80</v>
      </c>
      <c r="FU9" s="270">
        <f t="shared" si="92"/>
        <v>80</v>
      </c>
      <c r="FV9" s="427">
        <f t="shared" si="93"/>
        <v>4.1666666666666713E-2</v>
      </c>
      <c r="FW9" s="421">
        <f t="shared" si="94"/>
        <v>100</v>
      </c>
      <c r="FX9" s="270">
        <f t="shared" si="95"/>
        <v>100</v>
      </c>
      <c r="FY9" s="427">
        <f t="shared" si="96"/>
        <v>4.1666666666666713E-2</v>
      </c>
      <c r="GA9" s="430"/>
      <c r="GF9" s="427"/>
      <c r="GG9" s="421">
        <v>1</v>
      </c>
      <c r="GH9" s="270">
        <v>1</v>
      </c>
      <c r="GI9" s="427">
        <f t="shared" si="97"/>
        <v>5.5555555555555605E-7</v>
      </c>
      <c r="GJ9" s="421">
        <f t="shared" si="98"/>
        <v>1</v>
      </c>
      <c r="GK9" s="270">
        <f t="shared" si="99"/>
        <v>1</v>
      </c>
      <c r="GL9" s="427">
        <f t="shared" si="100"/>
        <v>1.1111111111111121E-6</v>
      </c>
      <c r="GM9" s="421">
        <f t="shared" si="101"/>
        <v>1</v>
      </c>
      <c r="GN9" s="270">
        <f t="shared" si="102"/>
        <v>1</v>
      </c>
      <c r="GO9" s="427">
        <f t="shared" si="103"/>
        <v>1.6666666666666679E-6</v>
      </c>
      <c r="GP9" s="421">
        <f t="shared" si="104"/>
        <v>1</v>
      </c>
      <c r="GQ9" s="270">
        <f t="shared" si="105"/>
        <v>1</v>
      </c>
      <c r="GR9" s="427">
        <f t="shared" si="106"/>
        <v>2.2222222222222242E-6</v>
      </c>
      <c r="GS9" s="421">
        <f t="shared" si="107"/>
        <v>1</v>
      </c>
      <c r="GT9" s="270">
        <f t="shared" si="108"/>
        <v>1</v>
      </c>
      <c r="GU9" s="427">
        <f t="shared" si="109"/>
        <v>2.77777777777778E-6</v>
      </c>
      <c r="GV9" s="421">
        <f t="shared" si="110"/>
        <v>1</v>
      </c>
      <c r="GW9" s="270">
        <f t="shared" si="111"/>
        <v>1</v>
      </c>
      <c r="GX9" s="427">
        <f t="shared" si="112"/>
        <v>5.5555555555555601E-6</v>
      </c>
      <c r="GY9" s="421">
        <f t="shared" si="113"/>
        <v>1</v>
      </c>
      <c r="GZ9" s="270">
        <f t="shared" si="114"/>
        <v>1</v>
      </c>
      <c r="HA9" s="427">
        <f t="shared" si="115"/>
        <v>1.111111111111112E-5</v>
      </c>
      <c r="HB9" s="421">
        <f t="shared" si="116"/>
        <v>1</v>
      </c>
      <c r="HC9" s="270">
        <f t="shared" si="117"/>
        <v>1</v>
      </c>
      <c r="HD9" s="427">
        <f t="shared" si="118"/>
        <v>1.6666666666666681E-5</v>
      </c>
      <c r="HE9" s="421">
        <f t="shared" si="119"/>
        <v>1</v>
      </c>
      <c r="HF9" s="270">
        <f t="shared" si="120"/>
        <v>1</v>
      </c>
      <c r="HG9" s="427">
        <f t="shared" si="121"/>
        <v>2.222222222222224E-5</v>
      </c>
      <c r="HH9" s="421">
        <f t="shared" si="122"/>
        <v>1</v>
      </c>
      <c r="HI9" s="270">
        <f t="shared" si="123"/>
        <v>1</v>
      </c>
      <c r="HJ9" s="427">
        <f t="shared" si="124"/>
        <v>2.7777777777777799E-5</v>
      </c>
      <c r="HK9" s="421">
        <f t="shared" si="125"/>
        <v>1</v>
      </c>
      <c r="HL9" s="270">
        <f t="shared" si="125"/>
        <v>1</v>
      </c>
      <c r="HM9" s="427">
        <f t="shared" si="126"/>
        <v>5.5555555555555599E-5</v>
      </c>
      <c r="HN9" s="421">
        <f t="shared" si="127"/>
        <v>1</v>
      </c>
      <c r="HO9" s="270">
        <f t="shared" si="127"/>
        <v>1</v>
      </c>
      <c r="HP9" s="427">
        <f t="shared" si="128"/>
        <v>1.111111111111112E-4</v>
      </c>
      <c r="HQ9" s="421">
        <f t="shared" si="129"/>
        <v>1</v>
      </c>
      <c r="HR9" s="270">
        <f t="shared" si="129"/>
        <v>1</v>
      </c>
      <c r="HS9" s="427">
        <f t="shared" si="130"/>
        <v>1.666666666666668E-4</v>
      </c>
      <c r="HT9" s="421">
        <f t="shared" si="131"/>
        <v>1</v>
      </c>
      <c r="HU9" s="270">
        <f t="shared" si="131"/>
        <v>1</v>
      </c>
      <c r="HV9" s="427">
        <f t="shared" si="132"/>
        <v>2.222222222222224E-4</v>
      </c>
      <c r="HW9" s="421">
        <f t="shared" si="133"/>
        <v>1</v>
      </c>
      <c r="HX9" s="270">
        <f t="shared" si="133"/>
        <v>1</v>
      </c>
      <c r="HY9" s="427">
        <f t="shared" si="134"/>
        <v>2.7777777777777799E-4</v>
      </c>
      <c r="HZ9" s="421">
        <f t="shared" si="135"/>
        <v>1</v>
      </c>
      <c r="IA9" s="270">
        <f t="shared" si="135"/>
        <v>1</v>
      </c>
      <c r="IB9" s="427">
        <f t="shared" si="136"/>
        <v>5.5555555555555599E-4</v>
      </c>
      <c r="IC9" s="421">
        <f t="shared" si="137"/>
        <v>1</v>
      </c>
      <c r="ID9" s="270">
        <f t="shared" si="137"/>
        <v>1</v>
      </c>
      <c r="IE9" s="427">
        <f t="shared" si="138"/>
        <v>1.111111111111112E-3</v>
      </c>
      <c r="IF9" s="421">
        <f t="shared" si="139"/>
        <v>1</v>
      </c>
      <c r="IG9" s="270">
        <f t="shared" si="139"/>
        <v>1</v>
      </c>
      <c r="IH9" s="427">
        <f t="shared" si="140"/>
        <v>1.6666666666666681E-3</v>
      </c>
      <c r="II9" s="421">
        <f t="shared" si="141"/>
        <v>1</v>
      </c>
      <c r="IJ9" s="270">
        <f t="shared" si="141"/>
        <v>1</v>
      </c>
      <c r="IK9" s="427">
        <f t="shared" si="142"/>
        <v>2.222222222222224E-3</v>
      </c>
      <c r="IL9" s="421">
        <f t="shared" si="143"/>
        <v>1</v>
      </c>
      <c r="IM9" s="270">
        <f t="shared" si="143"/>
        <v>1</v>
      </c>
      <c r="IN9" s="427">
        <f t="shared" si="144"/>
        <v>2.7777777777777801E-3</v>
      </c>
      <c r="IS9" s="447">
        <f t="shared" si="145"/>
        <v>0</v>
      </c>
      <c r="IT9" s="447">
        <f t="shared" si="145"/>
        <v>0</v>
      </c>
      <c r="IU9" s="447">
        <f t="shared" si="145"/>
        <v>0</v>
      </c>
      <c r="IV9" s="447">
        <f t="shared" si="145"/>
        <v>2.0000000000000001E-4</v>
      </c>
      <c r="IW9" s="447">
        <f t="shared" si="145"/>
        <v>2.5000000000000001E-4</v>
      </c>
      <c r="IX9" s="447">
        <f t="shared" si="145"/>
        <v>5.0000000000000001E-4</v>
      </c>
      <c r="IY9" s="447">
        <f t="shared" si="145"/>
        <v>1E-3</v>
      </c>
      <c r="IZ9" s="447">
        <f t="shared" si="145"/>
        <v>1.5E-3</v>
      </c>
      <c r="JA9" s="447">
        <f t="shared" si="145"/>
        <v>2E-3</v>
      </c>
      <c r="JB9" s="447">
        <f t="shared" si="145"/>
        <v>2.5000000000000001E-3</v>
      </c>
      <c r="JC9" s="447">
        <f t="shared" si="146"/>
        <v>5.0000000000000001E-3</v>
      </c>
      <c r="JD9" s="447">
        <f t="shared" si="146"/>
        <v>6.2500000000000003E-3</v>
      </c>
      <c r="JE9" s="447">
        <f t="shared" si="146"/>
        <v>6.2490000000000011E-3</v>
      </c>
      <c r="JF9" s="447">
        <f t="shared" si="146"/>
        <v>6.2480000000000009E-3</v>
      </c>
      <c r="JG9" s="447">
        <f t="shared" si="146"/>
        <v>6.2474999999999996E-3</v>
      </c>
      <c r="JH9" s="447">
        <f t="shared" si="146"/>
        <v>6.2449999999999997E-3</v>
      </c>
      <c r="JI9" s="447">
        <f t="shared" si="146"/>
        <v>6.2400000000000008E-3</v>
      </c>
      <c r="JJ9" s="447">
        <f t="shared" si="146"/>
        <v>6.2400000000000008E-3</v>
      </c>
      <c r="JK9" s="447">
        <f t="shared" si="146"/>
        <v>6.2400000000000008E-3</v>
      </c>
      <c r="JL9" s="447">
        <f t="shared" si="146"/>
        <v>6.2249999999999996E-3</v>
      </c>
      <c r="JN9" s="1">
        <v>4</v>
      </c>
      <c r="JO9" s="6">
        <v>99999</v>
      </c>
      <c r="JQ9" s="455" t="s">
        <v>1626</v>
      </c>
      <c r="JR9" s="456">
        <v>1</v>
      </c>
      <c r="JS9" s="456">
        <v>250000</v>
      </c>
      <c r="JU9" s="242">
        <f t="shared" si="198"/>
        <v>100000</v>
      </c>
      <c r="JV9" s="242">
        <f t="shared" si="199"/>
        <v>100000</v>
      </c>
      <c r="JW9" s="242">
        <f t="shared" si="216"/>
        <v>1</v>
      </c>
      <c r="JX9" s="242">
        <f t="shared" si="200"/>
        <v>150000</v>
      </c>
      <c r="JY9" s="241">
        <f t="shared" si="217"/>
        <v>0</v>
      </c>
      <c r="JZ9" s="241">
        <f t="shared" si="218"/>
        <v>100000</v>
      </c>
      <c r="KA9" s="241" t="str">
        <f t="shared" si="219"/>
        <v>期望符合预期</v>
      </c>
      <c r="KC9" s="242">
        <f t="shared" si="201"/>
        <v>200000</v>
      </c>
      <c r="KD9" s="242">
        <f t="shared" si="202"/>
        <v>200000</v>
      </c>
      <c r="KE9" s="242">
        <f t="shared" si="220"/>
        <v>1</v>
      </c>
      <c r="KF9" s="242">
        <f t="shared" si="203"/>
        <v>250000</v>
      </c>
      <c r="KG9" s="241">
        <f t="shared" si="221"/>
        <v>0</v>
      </c>
      <c r="KH9" s="241">
        <f t="shared" si="222"/>
        <v>200000</v>
      </c>
      <c r="KI9" s="241" t="str">
        <f t="shared" si="223"/>
        <v>期望符合预期</v>
      </c>
      <c r="KK9" s="242">
        <f t="shared" si="204"/>
        <v>300000</v>
      </c>
      <c r="KL9" s="242">
        <f t="shared" si="205"/>
        <v>300000</v>
      </c>
      <c r="KM9" s="242">
        <f t="shared" si="224"/>
        <v>1</v>
      </c>
      <c r="KN9" s="242">
        <f t="shared" si="206"/>
        <v>500000</v>
      </c>
      <c r="KO9" s="241">
        <f t="shared" si="225"/>
        <v>0</v>
      </c>
      <c r="KP9" s="241">
        <f t="shared" si="226"/>
        <v>300000</v>
      </c>
      <c r="KQ9" s="241" t="str">
        <f t="shared" si="227"/>
        <v>期望符合预期</v>
      </c>
      <c r="KS9" s="242">
        <f t="shared" si="207"/>
        <v>400000</v>
      </c>
      <c r="KT9" s="242">
        <f t="shared" si="208"/>
        <v>300000</v>
      </c>
      <c r="KU9" s="242">
        <f t="shared" si="228"/>
        <v>0.5</v>
      </c>
      <c r="KV9" s="242">
        <f t="shared" si="209"/>
        <v>500000</v>
      </c>
      <c r="KW9" s="241">
        <f t="shared" si="229"/>
        <v>0.5</v>
      </c>
      <c r="KX9" s="241">
        <f t="shared" si="230"/>
        <v>400000</v>
      </c>
      <c r="KY9" s="241" t="str">
        <f t="shared" si="231"/>
        <v>期望符合预期</v>
      </c>
      <c r="LA9" s="242">
        <f t="shared" si="210"/>
        <v>500000</v>
      </c>
      <c r="LB9" s="242">
        <f t="shared" si="211"/>
        <v>500000</v>
      </c>
      <c r="LC9" s="242">
        <f t="shared" si="232"/>
        <v>1</v>
      </c>
      <c r="LD9" s="242">
        <f t="shared" si="212"/>
        <v>750000</v>
      </c>
      <c r="LE9" s="241">
        <f t="shared" si="233"/>
        <v>0</v>
      </c>
      <c r="LF9" s="241">
        <f t="shared" si="234"/>
        <v>500000</v>
      </c>
      <c r="LG9" s="241" t="str">
        <f t="shared" si="235"/>
        <v>期望符合预期</v>
      </c>
    </row>
    <row r="10" spans="1:319" x14ac:dyDescent="0.35">
      <c r="A10" s="63">
        <v>6</v>
      </c>
      <c r="B10" s="254" t="s">
        <v>1627</v>
      </c>
      <c r="C10" s="63">
        <v>1</v>
      </c>
      <c r="D10" s="63">
        <v>-1</v>
      </c>
      <c r="E10" s="63">
        <v>5</v>
      </c>
      <c r="F10" s="63">
        <f t="shared" si="16"/>
        <v>5</v>
      </c>
      <c r="G10" s="63">
        <f t="shared" si="167"/>
        <v>5</v>
      </c>
      <c r="H10" s="63"/>
      <c r="I10" s="265"/>
      <c r="J10" s="63">
        <f t="shared" si="17"/>
        <v>0</v>
      </c>
      <c r="K10" s="63">
        <f t="shared" si="18"/>
        <v>0</v>
      </c>
      <c r="L10" s="63">
        <v>0</v>
      </c>
      <c r="M10" s="266">
        <f>ROUND($BX$7/('全局参数|GlobalPar'!$B$19/10000/E10),6)*(7/5)</f>
        <v>3.4719999999999998E-3</v>
      </c>
      <c r="N10" s="267">
        <v>1</v>
      </c>
      <c r="O10" s="268">
        <f>ROUND(IF(N10&lt;&gt;0,$BX$4/('全局参数|GlobalPar'!$B$19/10000/E10)/N10,0),6)</f>
        <v>0</v>
      </c>
      <c r="P10" s="270">
        <f t="shared" si="19"/>
        <v>1E-3</v>
      </c>
      <c r="Q10" s="285">
        <f t="shared" si="20"/>
        <v>0</v>
      </c>
      <c r="R10" s="282">
        <v>2</v>
      </c>
      <c r="S10" s="283">
        <v>1</v>
      </c>
      <c r="T10" s="284" t="str">
        <f t="shared" si="21"/>
        <v>[[2,1],[2,1],[2,1],[2,1],[2,1],[2,1],[2,1],[2,1],[2,1],[2,1],[4,2],[8,4],[12,6],[16,8],[20,10],[40,20],[80,40],[120,60],[160,80],[200,100]]</v>
      </c>
      <c r="U10" s="284">
        <v>1</v>
      </c>
      <c r="V10" s="284">
        <v>1</v>
      </c>
      <c r="W10" s="284" t="str">
        <f t="shared" si="168"/>
        <v>[[1,1],[1,1],[1,1],[1,1],[1,1],[1,1],[1,1],[1,1],[1,1],[1,1],[1,1],[1,1],[1,1],[1,1],[1,1],[1,1],[1,1],[1,1],[1,1],[1,1]]</v>
      </c>
      <c r="X10" s="63">
        <v>0</v>
      </c>
      <c r="Y10" s="268">
        <v>0</v>
      </c>
      <c r="Z10" s="303">
        <f t="shared" si="22"/>
        <v>0</v>
      </c>
      <c r="AA10" s="303">
        <v>0.06</v>
      </c>
      <c r="AB10" s="303">
        <f t="shared" si="169"/>
        <v>0.1</v>
      </c>
      <c r="AC10" s="304">
        <f t="shared" si="213"/>
        <v>0.05</v>
      </c>
      <c r="AD10" s="304">
        <f t="shared" si="213"/>
        <v>0</v>
      </c>
      <c r="AE10" s="304">
        <f t="shared" si="213"/>
        <v>0</v>
      </c>
      <c r="AF10" s="304">
        <f t="shared" si="213"/>
        <v>0</v>
      </c>
      <c r="AG10" s="63" t="str">
        <f t="shared" si="170"/>
        <v>[[1,5],[2,2],[3,1]]</v>
      </c>
      <c r="AH10" s="256" t="str">
        <f t="shared" si="171"/>
        <v>[0.044444,0.022222,0.014815]</v>
      </c>
      <c r="AI10" s="256">
        <v>0</v>
      </c>
      <c r="AJ10" s="256">
        <v>1</v>
      </c>
      <c r="AK10" s="256">
        <f t="shared" si="23"/>
        <v>1</v>
      </c>
      <c r="AL10" s="256">
        <v>0</v>
      </c>
      <c r="AM10" s="256">
        <f t="shared" si="172"/>
        <v>1.5</v>
      </c>
      <c r="AN10" s="256" t="s">
        <v>2548</v>
      </c>
      <c r="AO10" s="324">
        <v>3</v>
      </c>
      <c r="AP10" s="63">
        <f t="shared" si="24"/>
        <v>-1</v>
      </c>
      <c r="AQ10" s="63">
        <v>0</v>
      </c>
      <c r="AR10" s="39"/>
      <c r="AS10" s="39"/>
      <c r="AT10" s="39">
        <v>1</v>
      </c>
      <c r="AU10" s="261">
        <v>0.85</v>
      </c>
      <c r="AV10" s="63">
        <f t="shared" si="173"/>
        <v>0.85</v>
      </c>
      <c r="AW10" s="63">
        <v>0.5</v>
      </c>
      <c r="AX10" s="63">
        <v>1</v>
      </c>
      <c r="AY10" s="63"/>
      <c r="AZ10" s="39"/>
      <c r="BA10" s="39"/>
      <c r="BB10" s="328">
        <v>0.6</v>
      </c>
      <c r="BC10" s="39">
        <v>5</v>
      </c>
      <c r="BD10" s="39">
        <v>0.18</v>
      </c>
      <c r="BE10" s="39">
        <v>0.8</v>
      </c>
      <c r="BF10" s="39">
        <v>1</v>
      </c>
      <c r="BG10" s="39" t="s">
        <v>1604</v>
      </c>
      <c r="BH10" s="331" t="s">
        <v>1628</v>
      </c>
      <c r="BI10" s="331" t="s">
        <v>1628</v>
      </c>
      <c r="BJ10" s="265" t="s">
        <v>399</v>
      </c>
      <c r="BK10" s="265" t="s">
        <v>280</v>
      </c>
      <c r="BL10" s="265"/>
      <c r="BM10" s="265"/>
      <c r="BN10" s="81">
        <f t="shared" si="25"/>
        <v>3.75</v>
      </c>
      <c r="BO10" s="343">
        <f t="shared" si="26"/>
        <v>40</v>
      </c>
      <c r="BP10" s="81" t="s">
        <v>1606</v>
      </c>
      <c r="BQ10" s="81">
        <f t="shared" si="27"/>
        <v>0.63400000000000001</v>
      </c>
      <c r="BR10" s="81"/>
      <c r="BS10" s="63">
        <f t="shared" si="28"/>
        <v>5</v>
      </c>
      <c r="BT10" s="63">
        <f t="shared" si="29"/>
        <v>5.3000000000000007</v>
      </c>
      <c r="BV10" s="63">
        <f t="shared" si="30"/>
        <v>0</v>
      </c>
      <c r="CG10" s="371">
        <f t="shared" si="31"/>
        <v>5.5</v>
      </c>
      <c r="CH10" s="372">
        <f t="shared" si="214"/>
        <v>0.1</v>
      </c>
      <c r="CI10" s="373">
        <v>1</v>
      </c>
      <c r="CJ10" s="143">
        <v>5</v>
      </c>
      <c r="CK10" s="373">
        <v>2</v>
      </c>
      <c r="CL10" s="143">
        <v>2</v>
      </c>
      <c r="CM10" s="373">
        <v>3</v>
      </c>
      <c r="CN10" s="143">
        <v>1</v>
      </c>
      <c r="CO10" s="143">
        <f t="shared" si="174"/>
        <v>1.5</v>
      </c>
      <c r="CP10" s="143">
        <f t="shared" si="175"/>
        <v>7.5</v>
      </c>
      <c r="CQ10" s="377">
        <f t="shared" si="176"/>
        <v>4.4443999999999997E-2</v>
      </c>
      <c r="CR10" s="143">
        <f t="shared" si="32"/>
        <v>15</v>
      </c>
      <c r="CS10" s="378">
        <f t="shared" si="177"/>
        <v>2.2221999999999999E-2</v>
      </c>
      <c r="CT10" s="143">
        <f t="shared" si="32"/>
        <v>22.5</v>
      </c>
      <c r="CU10" s="392">
        <f t="shared" si="178"/>
        <v>1.4815E-2</v>
      </c>
      <c r="CW10" s="241">
        <v>2E-3</v>
      </c>
      <c r="CX10" s="396">
        <f t="shared" si="215"/>
        <v>0</v>
      </c>
      <c r="CY10" s="270">
        <f t="shared" si="33"/>
        <v>0</v>
      </c>
      <c r="CZ10" s="394">
        <f t="shared" si="34"/>
        <v>0</v>
      </c>
      <c r="DA10" s="394">
        <f t="shared" si="35"/>
        <v>0</v>
      </c>
      <c r="DB10" s="395">
        <f t="shared" si="179"/>
        <v>0</v>
      </c>
      <c r="DC10" s="419">
        <f t="shared" si="36"/>
        <v>0</v>
      </c>
      <c r="DD10" s="394">
        <f t="shared" si="37"/>
        <v>0</v>
      </c>
      <c r="DE10" s="420" t="e">
        <f t="shared" si="38"/>
        <v>#DIV/0!</v>
      </c>
      <c r="DF10" s="421">
        <f t="shared" si="180"/>
        <v>2</v>
      </c>
      <c r="DG10" s="422">
        <f t="shared" si="181"/>
        <v>1</v>
      </c>
      <c r="DH10" s="284"/>
      <c r="DI10" s="282">
        <v>2</v>
      </c>
      <c r="DJ10" s="283">
        <v>1</v>
      </c>
      <c r="DL10" s="431"/>
      <c r="DM10" s="432"/>
      <c r="DQ10" s="427"/>
      <c r="DR10" s="421">
        <v>2</v>
      </c>
      <c r="DS10" s="270">
        <v>1</v>
      </c>
      <c r="DT10" s="427">
        <f t="shared" si="39"/>
        <v>4.1666666666666713E-4</v>
      </c>
      <c r="DU10" s="421">
        <f t="shared" si="40"/>
        <v>2</v>
      </c>
      <c r="DV10" s="270">
        <f t="shared" si="182"/>
        <v>1</v>
      </c>
      <c r="DW10" s="427">
        <f t="shared" si="42"/>
        <v>8.3333333333333425E-4</v>
      </c>
      <c r="DX10" s="421">
        <f t="shared" si="43"/>
        <v>2</v>
      </c>
      <c r="DY10" s="270">
        <f t="shared" si="183"/>
        <v>1</v>
      </c>
      <c r="DZ10" s="427">
        <f t="shared" si="45"/>
        <v>1.2500000000000013E-3</v>
      </c>
      <c r="EA10" s="421">
        <f t="shared" si="184"/>
        <v>2</v>
      </c>
      <c r="EB10" s="270">
        <f t="shared" si="185"/>
        <v>1</v>
      </c>
      <c r="EC10" s="427">
        <f t="shared" si="48"/>
        <v>1.6666666666666685E-3</v>
      </c>
      <c r="ED10" s="421">
        <f t="shared" si="186"/>
        <v>2</v>
      </c>
      <c r="EE10" s="270">
        <f t="shared" si="187"/>
        <v>1</v>
      </c>
      <c r="EF10" s="427">
        <f t="shared" si="51"/>
        <v>2.0833333333333355E-3</v>
      </c>
      <c r="EG10" s="421">
        <f t="shared" si="188"/>
        <v>2</v>
      </c>
      <c r="EH10" s="270">
        <f t="shared" si="189"/>
        <v>1</v>
      </c>
      <c r="EI10" s="427">
        <f t="shared" si="54"/>
        <v>4.1666666666666709E-3</v>
      </c>
      <c r="EJ10" s="421">
        <f t="shared" si="190"/>
        <v>2</v>
      </c>
      <c r="EK10" s="270">
        <f t="shared" si="191"/>
        <v>1</v>
      </c>
      <c r="EL10" s="427">
        <f t="shared" si="57"/>
        <v>8.3333333333333419E-3</v>
      </c>
      <c r="EM10" s="421">
        <f t="shared" si="192"/>
        <v>2</v>
      </c>
      <c r="EN10" s="270">
        <f t="shared" si="193"/>
        <v>1</v>
      </c>
      <c r="EO10" s="427">
        <f t="shared" si="60"/>
        <v>1.2500000000000013E-2</v>
      </c>
      <c r="EP10" s="421">
        <f t="shared" si="194"/>
        <v>2</v>
      </c>
      <c r="EQ10" s="270">
        <f t="shared" si="195"/>
        <v>1</v>
      </c>
      <c r="ER10" s="427">
        <f t="shared" si="63"/>
        <v>1.6666666666666684E-2</v>
      </c>
      <c r="ES10" s="421">
        <f t="shared" si="196"/>
        <v>2</v>
      </c>
      <c r="ET10" s="270">
        <f t="shared" si="197"/>
        <v>1</v>
      </c>
      <c r="EU10" s="427">
        <f t="shared" si="66"/>
        <v>2.0833333333333356E-2</v>
      </c>
      <c r="EV10" s="421">
        <f t="shared" si="67"/>
        <v>4</v>
      </c>
      <c r="EW10" s="270">
        <f t="shared" si="68"/>
        <v>2</v>
      </c>
      <c r="EX10" s="427">
        <f t="shared" si="69"/>
        <v>2.0833333333333356E-2</v>
      </c>
      <c r="EY10" s="421">
        <f t="shared" si="70"/>
        <v>8</v>
      </c>
      <c r="EZ10" s="270">
        <f t="shared" si="71"/>
        <v>4</v>
      </c>
      <c r="FA10" s="427">
        <f t="shared" si="72"/>
        <v>2.0833333333333356E-2</v>
      </c>
      <c r="FB10" s="421">
        <f t="shared" si="73"/>
        <v>12</v>
      </c>
      <c r="FC10" s="270">
        <f t="shared" si="74"/>
        <v>6</v>
      </c>
      <c r="FD10" s="427">
        <f t="shared" si="75"/>
        <v>2.0833333333333356E-2</v>
      </c>
      <c r="FE10" s="421">
        <f t="shared" si="76"/>
        <v>16</v>
      </c>
      <c r="FF10" s="270">
        <f t="shared" si="77"/>
        <v>8</v>
      </c>
      <c r="FG10" s="427">
        <f t="shared" si="78"/>
        <v>2.0833333333333356E-2</v>
      </c>
      <c r="FH10" s="421">
        <f t="shared" si="79"/>
        <v>20</v>
      </c>
      <c r="FI10" s="270">
        <f t="shared" si="80"/>
        <v>10</v>
      </c>
      <c r="FJ10" s="427">
        <f t="shared" si="81"/>
        <v>2.0833333333333356E-2</v>
      </c>
      <c r="FK10" s="421">
        <f t="shared" si="82"/>
        <v>40</v>
      </c>
      <c r="FL10" s="270">
        <f t="shared" si="83"/>
        <v>20</v>
      </c>
      <c r="FM10" s="427">
        <f t="shared" si="84"/>
        <v>2.0833333333333356E-2</v>
      </c>
      <c r="FN10" s="421">
        <f t="shared" si="85"/>
        <v>80</v>
      </c>
      <c r="FO10" s="270">
        <f t="shared" si="86"/>
        <v>40</v>
      </c>
      <c r="FP10" s="427">
        <f t="shared" si="87"/>
        <v>2.0833333333333356E-2</v>
      </c>
      <c r="FQ10" s="421">
        <f t="shared" si="88"/>
        <v>120</v>
      </c>
      <c r="FR10" s="270">
        <f t="shared" si="89"/>
        <v>60</v>
      </c>
      <c r="FS10" s="427">
        <f t="shared" si="90"/>
        <v>2.0833333333333356E-2</v>
      </c>
      <c r="FT10" s="421">
        <f t="shared" si="91"/>
        <v>160</v>
      </c>
      <c r="FU10" s="270">
        <f t="shared" si="92"/>
        <v>80</v>
      </c>
      <c r="FV10" s="427">
        <f t="shared" si="93"/>
        <v>2.0833333333333356E-2</v>
      </c>
      <c r="FW10" s="421">
        <f t="shared" si="94"/>
        <v>200</v>
      </c>
      <c r="FX10" s="270">
        <f t="shared" si="95"/>
        <v>100</v>
      </c>
      <c r="FY10" s="427">
        <f t="shared" si="96"/>
        <v>2.0833333333333356E-2</v>
      </c>
      <c r="GA10" s="437" t="s">
        <v>1629</v>
      </c>
      <c r="GB10" s="432"/>
      <c r="GF10" s="427"/>
      <c r="GG10" s="421">
        <v>1</v>
      </c>
      <c r="GH10" s="270">
        <v>1</v>
      </c>
      <c r="GI10" s="427">
        <f t="shared" si="97"/>
        <v>5.5555555555555605E-7</v>
      </c>
      <c r="GJ10" s="421">
        <f t="shared" si="98"/>
        <v>1</v>
      </c>
      <c r="GK10" s="270">
        <f t="shared" si="99"/>
        <v>1</v>
      </c>
      <c r="GL10" s="427">
        <f t="shared" si="100"/>
        <v>1.1111111111111121E-6</v>
      </c>
      <c r="GM10" s="421">
        <f t="shared" si="101"/>
        <v>1</v>
      </c>
      <c r="GN10" s="270">
        <f t="shared" si="102"/>
        <v>1</v>
      </c>
      <c r="GO10" s="427">
        <f t="shared" si="103"/>
        <v>1.6666666666666679E-6</v>
      </c>
      <c r="GP10" s="421">
        <f t="shared" si="104"/>
        <v>1</v>
      </c>
      <c r="GQ10" s="270">
        <f t="shared" si="105"/>
        <v>1</v>
      </c>
      <c r="GR10" s="427">
        <f t="shared" si="106"/>
        <v>2.2222222222222242E-6</v>
      </c>
      <c r="GS10" s="421">
        <f t="shared" si="107"/>
        <v>1</v>
      </c>
      <c r="GT10" s="270">
        <f t="shared" si="108"/>
        <v>1</v>
      </c>
      <c r="GU10" s="427">
        <f t="shared" si="109"/>
        <v>2.77777777777778E-6</v>
      </c>
      <c r="GV10" s="421">
        <f t="shared" si="110"/>
        <v>1</v>
      </c>
      <c r="GW10" s="270">
        <f t="shared" si="111"/>
        <v>1</v>
      </c>
      <c r="GX10" s="427">
        <f t="shared" si="112"/>
        <v>5.5555555555555601E-6</v>
      </c>
      <c r="GY10" s="421">
        <f t="shared" si="113"/>
        <v>1</v>
      </c>
      <c r="GZ10" s="270">
        <f t="shared" si="114"/>
        <v>1</v>
      </c>
      <c r="HA10" s="427">
        <f t="shared" si="115"/>
        <v>1.111111111111112E-5</v>
      </c>
      <c r="HB10" s="421">
        <f t="shared" si="116"/>
        <v>1</v>
      </c>
      <c r="HC10" s="270">
        <f t="shared" si="117"/>
        <v>1</v>
      </c>
      <c r="HD10" s="427">
        <f t="shared" si="118"/>
        <v>1.6666666666666681E-5</v>
      </c>
      <c r="HE10" s="421">
        <f t="shared" si="119"/>
        <v>1</v>
      </c>
      <c r="HF10" s="270">
        <f t="shared" si="120"/>
        <v>1</v>
      </c>
      <c r="HG10" s="427">
        <f t="shared" si="121"/>
        <v>2.222222222222224E-5</v>
      </c>
      <c r="HH10" s="421">
        <f t="shared" si="122"/>
        <v>1</v>
      </c>
      <c r="HI10" s="270">
        <f t="shared" si="123"/>
        <v>1</v>
      </c>
      <c r="HJ10" s="427">
        <f t="shared" si="124"/>
        <v>2.7777777777777799E-5</v>
      </c>
      <c r="HK10" s="421">
        <f t="shared" si="125"/>
        <v>1</v>
      </c>
      <c r="HL10" s="270">
        <f t="shared" si="125"/>
        <v>1</v>
      </c>
      <c r="HM10" s="427">
        <f t="shared" si="126"/>
        <v>5.5555555555555599E-5</v>
      </c>
      <c r="HN10" s="421">
        <f t="shared" si="127"/>
        <v>1</v>
      </c>
      <c r="HO10" s="270">
        <f t="shared" si="127"/>
        <v>1</v>
      </c>
      <c r="HP10" s="427">
        <f t="shared" si="128"/>
        <v>1.111111111111112E-4</v>
      </c>
      <c r="HQ10" s="421">
        <f t="shared" si="129"/>
        <v>1</v>
      </c>
      <c r="HR10" s="270">
        <f t="shared" si="129"/>
        <v>1</v>
      </c>
      <c r="HS10" s="427">
        <f t="shared" si="130"/>
        <v>1.666666666666668E-4</v>
      </c>
      <c r="HT10" s="421">
        <f t="shared" si="131"/>
        <v>1</v>
      </c>
      <c r="HU10" s="270">
        <f t="shared" si="131"/>
        <v>1</v>
      </c>
      <c r="HV10" s="427">
        <f t="shared" si="132"/>
        <v>2.222222222222224E-4</v>
      </c>
      <c r="HW10" s="421">
        <f t="shared" si="133"/>
        <v>1</v>
      </c>
      <c r="HX10" s="270">
        <f t="shared" si="133"/>
        <v>1</v>
      </c>
      <c r="HY10" s="427">
        <f t="shared" si="134"/>
        <v>2.7777777777777799E-4</v>
      </c>
      <c r="HZ10" s="421">
        <f t="shared" si="135"/>
        <v>1</v>
      </c>
      <c r="IA10" s="270">
        <f t="shared" si="135"/>
        <v>1</v>
      </c>
      <c r="IB10" s="427">
        <f t="shared" si="136"/>
        <v>5.5555555555555599E-4</v>
      </c>
      <c r="IC10" s="421">
        <f t="shared" si="137"/>
        <v>1</v>
      </c>
      <c r="ID10" s="270">
        <f t="shared" si="137"/>
        <v>1</v>
      </c>
      <c r="IE10" s="427">
        <f t="shared" si="138"/>
        <v>1.111111111111112E-3</v>
      </c>
      <c r="IF10" s="421">
        <f t="shared" si="139"/>
        <v>1</v>
      </c>
      <c r="IG10" s="270">
        <f t="shared" si="139"/>
        <v>1</v>
      </c>
      <c r="IH10" s="427">
        <f t="shared" si="140"/>
        <v>1.6666666666666681E-3</v>
      </c>
      <c r="II10" s="421">
        <f t="shared" si="141"/>
        <v>1</v>
      </c>
      <c r="IJ10" s="270">
        <f t="shared" si="141"/>
        <v>1</v>
      </c>
      <c r="IK10" s="427">
        <f t="shared" si="142"/>
        <v>2.222222222222224E-3</v>
      </c>
      <c r="IL10" s="421">
        <f t="shared" si="143"/>
        <v>1</v>
      </c>
      <c r="IM10" s="270">
        <f t="shared" si="143"/>
        <v>1</v>
      </c>
      <c r="IN10" s="427">
        <f t="shared" si="144"/>
        <v>2.7777777777777801E-3</v>
      </c>
      <c r="IS10" s="447">
        <f t="shared" si="145"/>
        <v>0</v>
      </c>
      <c r="IT10" s="447">
        <f t="shared" si="145"/>
        <v>0</v>
      </c>
      <c r="IU10" s="447">
        <f t="shared" si="145"/>
        <v>0</v>
      </c>
      <c r="IV10" s="447">
        <f t="shared" si="145"/>
        <v>2.0000000000000001E-4</v>
      </c>
      <c r="IW10" s="447">
        <f t="shared" si="145"/>
        <v>2.5000000000000001E-4</v>
      </c>
      <c r="IX10" s="447">
        <f t="shared" si="145"/>
        <v>5.0000000000000001E-4</v>
      </c>
      <c r="IY10" s="447">
        <f t="shared" si="145"/>
        <v>1E-3</v>
      </c>
      <c r="IZ10" s="447">
        <f t="shared" si="145"/>
        <v>1.5E-3</v>
      </c>
      <c r="JA10" s="447">
        <f t="shared" si="145"/>
        <v>2E-3</v>
      </c>
      <c r="JB10" s="447">
        <f t="shared" si="145"/>
        <v>2.5000000000000001E-3</v>
      </c>
      <c r="JC10" s="447">
        <f t="shared" si="146"/>
        <v>5.0000000000000001E-3</v>
      </c>
      <c r="JD10" s="447">
        <f t="shared" si="146"/>
        <v>6.2500000000000003E-3</v>
      </c>
      <c r="JE10" s="447">
        <f t="shared" si="146"/>
        <v>6.2490000000000011E-3</v>
      </c>
      <c r="JF10" s="447">
        <f t="shared" si="146"/>
        <v>6.2480000000000009E-3</v>
      </c>
      <c r="JG10" s="447">
        <f t="shared" si="146"/>
        <v>6.2474999999999996E-3</v>
      </c>
      <c r="JH10" s="447">
        <f t="shared" si="146"/>
        <v>6.2449999999999997E-3</v>
      </c>
      <c r="JI10" s="447">
        <f t="shared" si="146"/>
        <v>6.2400000000000008E-3</v>
      </c>
      <c r="JJ10" s="447">
        <f t="shared" si="146"/>
        <v>6.2400000000000008E-3</v>
      </c>
      <c r="JK10" s="447">
        <f t="shared" si="146"/>
        <v>6.2400000000000008E-3</v>
      </c>
      <c r="JL10" s="447">
        <f t="shared" si="146"/>
        <v>6.2249999999999996E-3</v>
      </c>
      <c r="JN10" s="1">
        <v>5</v>
      </c>
      <c r="JO10" s="6">
        <v>99999</v>
      </c>
      <c r="JQ10" s="455" t="s">
        <v>1615</v>
      </c>
      <c r="JR10" s="456">
        <v>3</v>
      </c>
      <c r="JS10" s="456">
        <v>300000</v>
      </c>
      <c r="JT10" s="242"/>
      <c r="JU10" s="242">
        <f t="shared" si="198"/>
        <v>100000</v>
      </c>
      <c r="JV10" s="242">
        <f t="shared" si="199"/>
        <v>100000</v>
      </c>
      <c r="JW10" s="242">
        <f t="shared" si="216"/>
        <v>1</v>
      </c>
      <c r="JX10" s="242">
        <f t="shared" si="200"/>
        <v>150000</v>
      </c>
      <c r="JY10" s="241">
        <f t="shared" si="217"/>
        <v>0</v>
      </c>
      <c r="JZ10" s="241">
        <f t="shared" si="218"/>
        <v>100000</v>
      </c>
      <c r="KA10" s="241" t="str">
        <f t="shared" si="219"/>
        <v>期望符合预期</v>
      </c>
      <c r="KC10" s="242">
        <f t="shared" si="201"/>
        <v>200000</v>
      </c>
      <c r="KD10" s="242">
        <f t="shared" si="202"/>
        <v>200000</v>
      </c>
      <c r="KE10" s="242">
        <f t="shared" si="220"/>
        <v>1</v>
      </c>
      <c r="KF10" s="242">
        <f t="shared" si="203"/>
        <v>250000</v>
      </c>
      <c r="KG10" s="241">
        <f t="shared" si="221"/>
        <v>0</v>
      </c>
      <c r="KH10" s="241">
        <f t="shared" si="222"/>
        <v>200000</v>
      </c>
      <c r="KI10" s="241" t="str">
        <f t="shared" si="223"/>
        <v>期望符合预期</v>
      </c>
      <c r="KK10" s="242">
        <f t="shared" si="204"/>
        <v>300000</v>
      </c>
      <c r="KL10" s="242">
        <f t="shared" si="205"/>
        <v>300000</v>
      </c>
      <c r="KM10" s="242">
        <f t="shared" si="224"/>
        <v>1</v>
      </c>
      <c r="KN10" s="242">
        <f t="shared" si="206"/>
        <v>500000</v>
      </c>
      <c r="KO10" s="241">
        <f t="shared" si="225"/>
        <v>0</v>
      </c>
      <c r="KP10" s="241">
        <f t="shared" si="226"/>
        <v>300000</v>
      </c>
      <c r="KQ10" s="241" t="str">
        <f t="shared" si="227"/>
        <v>期望符合预期</v>
      </c>
      <c r="KS10" s="242">
        <f t="shared" si="207"/>
        <v>400000</v>
      </c>
      <c r="KT10" s="242">
        <f t="shared" si="208"/>
        <v>300000</v>
      </c>
      <c r="KU10" s="242">
        <f t="shared" si="228"/>
        <v>0.5</v>
      </c>
      <c r="KV10" s="242">
        <f t="shared" si="209"/>
        <v>500000</v>
      </c>
      <c r="KW10" s="241">
        <f t="shared" si="229"/>
        <v>0.5</v>
      </c>
      <c r="KX10" s="241">
        <f t="shared" si="230"/>
        <v>400000</v>
      </c>
      <c r="KY10" s="241" t="str">
        <f t="shared" si="231"/>
        <v>期望符合预期</v>
      </c>
      <c r="LA10" s="242">
        <f t="shared" si="210"/>
        <v>500000</v>
      </c>
      <c r="LB10" s="242">
        <f t="shared" si="211"/>
        <v>500000</v>
      </c>
      <c r="LC10" s="242">
        <f t="shared" si="232"/>
        <v>1</v>
      </c>
      <c r="LD10" s="242">
        <f t="shared" si="212"/>
        <v>750000</v>
      </c>
      <c r="LE10" s="241">
        <f t="shared" si="233"/>
        <v>0</v>
      </c>
      <c r="LF10" s="241">
        <f t="shared" si="234"/>
        <v>500000</v>
      </c>
      <c r="LG10" s="241" t="str">
        <f t="shared" si="235"/>
        <v>期望符合预期</v>
      </c>
    </row>
    <row r="11" spans="1:319" s="243" customFormat="1" x14ac:dyDescent="0.35">
      <c r="A11" s="63">
        <v>7</v>
      </c>
      <c r="B11" s="254" t="s">
        <v>1630</v>
      </c>
      <c r="C11" s="63">
        <v>1</v>
      </c>
      <c r="D11" s="63">
        <v>-1</v>
      </c>
      <c r="E11" s="63">
        <v>6</v>
      </c>
      <c r="F11" s="63">
        <f t="shared" si="16"/>
        <v>6</v>
      </c>
      <c r="G11" s="63">
        <f t="shared" si="167"/>
        <v>6</v>
      </c>
      <c r="H11" s="63"/>
      <c r="I11" s="265"/>
      <c r="J11" s="63">
        <f t="shared" si="17"/>
        <v>0</v>
      </c>
      <c r="K11" s="63">
        <f t="shared" si="18"/>
        <v>0</v>
      </c>
      <c r="L11" s="63">
        <v>0</v>
      </c>
      <c r="M11" s="266">
        <f>ROUND($BX$7/('全局参数|GlobalPar'!$B$19/10000/E11),6)*(7/5)</f>
        <v>4.1663999999999998E-3</v>
      </c>
      <c r="N11" s="267">
        <v>1</v>
      </c>
      <c r="O11" s="268">
        <f>ROUND(IF(N11&lt;&gt;0,$BX$4/('全局参数|GlobalPar'!$B$19/10000/E11)/N11,0),6)</f>
        <v>0</v>
      </c>
      <c r="P11" s="270">
        <f t="shared" si="19"/>
        <v>1.1999999999999999E-3</v>
      </c>
      <c r="Q11" s="285">
        <f t="shared" si="20"/>
        <v>0</v>
      </c>
      <c r="R11" s="282">
        <v>2</v>
      </c>
      <c r="S11" s="283">
        <v>1</v>
      </c>
      <c r="T11" s="284" t="str">
        <f t="shared" si="21"/>
        <v>[[2,1],[2,1],[2,1],[2,1],[2,1],[2,1],[2,1],[2,1],[2,1],[2,1],[4,2],[8,4],[12,6],[16,8],[20,10],[40,20],[80,40],[120,60],[160,80],[200,100]]</v>
      </c>
      <c r="U11" s="284">
        <v>1</v>
      </c>
      <c r="V11" s="284">
        <v>1</v>
      </c>
      <c r="W11" s="284" t="str">
        <f t="shared" si="168"/>
        <v>[[1,1],[1,1],[1,1],[1,1],[1,1],[1,1],[1,1],[1,1],[1,1],[1,1],[1,1],[1,1],[1,1],[1,1],[1,1],[1,1],[1,1],[1,1],[1,1],[1,1]]</v>
      </c>
      <c r="X11" s="63">
        <v>0</v>
      </c>
      <c r="Y11" s="268">
        <v>0</v>
      </c>
      <c r="Z11" s="303">
        <f t="shared" si="22"/>
        <v>0</v>
      </c>
      <c r="AA11" s="303">
        <v>0.06</v>
      </c>
      <c r="AB11" s="303">
        <f t="shared" si="169"/>
        <v>0.1</v>
      </c>
      <c r="AC11" s="304">
        <f t="shared" si="213"/>
        <v>0.05</v>
      </c>
      <c r="AD11" s="304">
        <f t="shared" si="213"/>
        <v>0</v>
      </c>
      <c r="AE11" s="304">
        <f t="shared" si="213"/>
        <v>0</v>
      </c>
      <c r="AF11" s="304">
        <f t="shared" si="213"/>
        <v>0</v>
      </c>
      <c r="AG11" s="63" t="str">
        <f t="shared" si="170"/>
        <v>[[1,5],[2,2],[3,1]]</v>
      </c>
      <c r="AH11" s="256" t="str">
        <f t="shared" si="171"/>
        <v>[0.053333,0.026667,0.017778]</v>
      </c>
      <c r="AI11" s="256">
        <v>0</v>
      </c>
      <c r="AJ11" s="256">
        <v>1</v>
      </c>
      <c r="AK11" s="256">
        <f t="shared" si="23"/>
        <v>1</v>
      </c>
      <c r="AL11" s="256">
        <v>0</v>
      </c>
      <c r="AM11" s="256">
        <f t="shared" si="172"/>
        <v>1.8</v>
      </c>
      <c r="AN11" s="256" t="s">
        <v>2548</v>
      </c>
      <c r="AO11" s="324">
        <v>3</v>
      </c>
      <c r="AP11" s="63">
        <f t="shared" si="24"/>
        <v>-1</v>
      </c>
      <c r="AQ11" s="63">
        <v>0</v>
      </c>
      <c r="AR11" s="63"/>
      <c r="AS11" s="39"/>
      <c r="AT11" s="39">
        <v>1</v>
      </c>
      <c r="AU11" s="261">
        <v>0.75</v>
      </c>
      <c r="AV11" s="63">
        <f t="shared" si="173"/>
        <v>0.75</v>
      </c>
      <c r="AW11" s="63">
        <v>0.5</v>
      </c>
      <c r="AX11" s="63">
        <v>1</v>
      </c>
      <c r="AY11" s="63"/>
      <c r="AZ11" s="39"/>
      <c r="BA11" s="39"/>
      <c r="BB11" s="328">
        <v>0.6</v>
      </c>
      <c r="BC11" s="39">
        <v>7</v>
      </c>
      <c r="BD11" s="39">
        <v>0.18</v>
      </c>
      <c r="BE11" s="39">
        <v>0.8</v>
      </c>
      <c r="BF11" s="39">
        <v>1</v>
      </c>
      <c r="BG11" s="39" t="s">
        <v>1604</v>
      </c>
      <c r="BH11" s="331" t="s">
        <v>1631</v>
      </c>
      <c r="BI11" s="331" t="s">
        <v>1631</v>
      </c>
      <c r="BJ11" s="265" t="s">
        <v>1122</v>
      </c>
      <c r="BK11" s="265" t="s">
        <v>280</v>
      </c>
      <c r="BL11" s="265"/>
      <c r="BM11" s="265"/>
      <c r="BN11" s="81">
        <f t="shared" si="25"/>
        <v>4.5</v>
      </c>
      <c r="BO11" s="343">
        <f t="shared" si="26"/>
        <v>33.333333333333336</v>
      </c>
      <c r="BP11" s="81" t="s">
        <v>1606</v>
      </c>
      <c r="BQ11" s="81">
        <f t="shared" si="27"/>
        <v>0.56000000000000005</v>
      </c>
      <c r="BR11" s="81"/>
      <c r="BS11" s="63">
        <f t="shared" si="28"/>
        <v>6</v>
      </c>
      <c r="BT11" s="63">
        <f t="shared" si="29"/>
        <v>6.36</v>
      </c>
      <c r="BV11" s="63">
        <f t="shared" si="30"/>
        <v>0</v>
      </c>
      <c r="CG11" s="371">
        <f t="shared" si="31"/>
        <v>6.6000000000000005</v>
      </c>
      <c r="CH11" s="372">
        <f t="shared" si="214"/>
        <v>0.1</v>
      </c>
      <c r="CI11" s="373">
        <v>1</v>
      </c>
      <c r="CJ11" s="143">
        <v>5</v>
      </c>
      <c r="CK11" s="373">
        <v>2</v>
      </c>
      <c r="CL11" s="143">
        <v>2</v>
      </c>
      <c r="CM11" s="373">
        <v>3</v>
      </c>
      <c r="CN11" s="143">
        <v>1</v>
      </c>
      <c r="CO11" s="143">
        <f t="shared" si="174"/>
        <v>1.5</v>
      </c>
      <c r="CP11" s="143">
        <f t="shared" si="175"/>
        <v>7.5</v>
      </c>
      <c r="CQ11" s="377">
        <f t="shared" si="176"/>
        <v>5.3332999999999998E-2</v>
      </c>
      <c r="CR11" s="143">
        <f t="shared" si="32"/>
        <v>15</v>
      </c>
      <c r="CS11" s="378">
        <f t="shared" si="177"/>
        <v>2.6667E-2</v>
      </c>
      <c r="CT11" s="143">
        <f t="shared" si="32"/>
        <v>22.5</v>
      </c>
      <c r="CU11" s="392">
        <f t="shared" si="178"/>
        <v>1.7777999999999999E-2</v>
      </c>
      <c r="CV11" s="242"/>
      <c r="CW11" s="242">
        <v>2E-3</v>
      </c>
      <c r="CX11" s="396">
        <f t="shared" si="215"/>
        <v>0</v>
      </c>
      <c r="CY11" s="270">
        <f t="shared" si="33"/>
        <v>0</v>
      </c>
      <c r="CZ11" s="394">
        <f t="shared" si="34"/>
        <v>0</v>
      </c>
      <c r="DA11" s="394">
        <f t="shared" si="35"/>
        <v>0</v>
      </c>
      <c r="DB11" s="395">
        <f t="shared" si="179"/>
        <v>0</v>
      </c>
      <c r="DC11" s="419">
        <f t="shared" si="36"/>
        <v>0</v>
      </c>
      <c r="DD11" s="394">
        <f t="shared" si="37"/>
        <v>0</v>
      </c>
      <c r="DE11" s="420" t="e">
        <f t="shared" si="38"/>
        <v>#DIV/0!</v>
      </c>
      <c r="DF11" s="421">
        <f t="shared" si="180"/>
        <v>2</v>
      </c>
      <c r="DG11" s="422">
        <f t="shared" si="181"/>
        <v>1</v>
      </c>
      <c r="DH11" s="284"/>
      <c r="DI11" s="282">
        <v>2</v>
      </c>
      <c r="DJ11" s="283">
        <v>1</v>
      </c>
      <c r="DK11" s="242"/>
      <c r="DL11" s="430"/>
      <c r="DM11" s="242"/>
      <c r="DN11" s="242"/>
      <c r="DO11" s="242"/>
      <c r="DP11" s="242"/>
      <c r="DQ11" s="427"/>
      <c r="DR11" s="421">
        <v>2</v>
      </c>
      <c r="DS11" s="270">
        <v>1</v>
      </c>
      <c r="DT11" s="427">
        <f t="shared" si="39"/>
        <v>5.0000000000000055E-4</v>
      </c>
      <c r="DU11" s="421">
        <f t="shared" si="40"/>
        <v>2</v>
      </c>
      <c r="DV11" s="270">
        <f t="shared" si="182"/>
        <v>1</v>
      </c>
      <c r="DW11" s="427">
        <f t="shared" si="42"/>
        <v>1.0000000000000011E-3</v>
      </c>
      <c r="DX11" s="421">
        <f t="shared" si="43"/>
        <v>2</v>
      </c>
      <c r="DY11" s="270">
        <f t="shared" si="183"/>
        <v>1</v>
      </c>
      <c r="DZ11" s="427">
        <f t="shared" si="45"/>
        <v>1.5000000000000015E-3</v>
      </c>
      <c r="EA11" s="421">
        <f t="shared" si="184"/>
        <v>2</v>
      </c>
      <c r="EB11" s="270">
        <f t="shared" si="185"/>
        <v>1</v>
      </c>
      <c r="EC11" s="427">
        <f t="shared" si="48"/>
        <v>2.0000000000000022E-3</v>
      </c>
      <c r="ED11" s="421">
        <f t="shared" si="186"/>
        <v>2</v>
      </c>
      <c r="EE11" s="270">
        <f t="shared" si="187"/>
        <v>1</v>
      </c>
      <c r="EF11" s="427">
        <f t="shared" si="51"/>
        <v>2.5000000000000027E-3</v>
      </c>
      <c r="EG11" s="421">
        <f t="shared" si="188"/>
        <v>2</v>
      </c>
      <c r="EH11" s="270">
        <f t="shared" si="189"/>
        <v>1</v>
      </c>
      <c r="EI11" s="427">
        <f t="shared" si="54"/>
        <v>5.0000000000000053E-3</v>
      </c>
      <c r="EJ11" s="421">
        <f t="shared" si="190"/>
        <v>2</v>
      </c>
      <c r="EK11" s="270">
        <f t="shared" si="191"/>
        <v>1</v>
      </c>
      <c r="EL11" s="427">
        <f t="shared" si="57"/>
        <v>1.0000000000000011E-2</v>
      </c>
      <c r="EM11" s="421">
        <f t="shared" si="192"/>
        <v>2</v>
      </c>
      <c r="EN11" s="270">
        <f t="shared" si="193"/>
        <v>1</v>
      </c>
      <c r="EO11" s="427">
        <f t="shared" si="60"/>
        <v>1.5000000000000017E-2</v>
      </c>
      <c r="EP11" s="421">
        <f t="shared" si="194"/>
        <v>2</v>
      </c>
      <c r="EQ11" s="270">
        <f t="shared" si="195"/>
        <v>1</v>
      </c>
      <c r="ER11" s="427">
        <f t="shared" si="63"/>
        <v>2.0000000000000021E-2</v>
      </c>
      <c r="ES11" s="421">
        <f t="shared" si="196"/>
        <v>2</v>
      </c>
      <c r="ET11" s="270">
        <f t="shared" si="197"/>
        <v>1</v>
      </c>
      <c r="EU11" s="427">
        <f t="shared" si="66"/>
        <v>2.5000000000000026E-2</v>
      </c>
      <c r="EV11" s="421">
        <f t="shared" si="67"/>
        <v>4</v>
      </c>
      <c r="EW11" s="270">
        <f t="shared" si="68"/>
        <v>2</v>
      </c>
      <c r="EX11" s="427">
        <f t="shared" si="69"/>
        <v>2.5000000000000026E-2</v>
      </c>
      <c r="EY11" s="421">
        <f t="shared" si="70"/>
        <v>8</v>
      </c>
      <c r="EZ11" s="270">
        <f t="shared" si="71"/>
        <v>4</v>
      </c>
      <c r="FA11" s="427">
        <f t="shared" si="72"/>
        <v>2.5000000000000026E-2</v>
      </c>
      <c r="FB11" s="421">
        <f t="shared" si="73"/>
        <v>12</v>
      </c>
      <c r="FC11" s="270">
        <f t="shared" si="74"/>
        <v>6</v>
      </c>
      <c r="FD11" s="427">
        <f t="shared" si="75"/>
        <v>2.5000000000000026E-2</v>
      </c>
      <c r="FE11" s="421">
        <f t="shared" si="76"/>
        <v>16</v>
      </c>
      <c r="FF11" s="270">
        <f t="shared" si="77"/>
        <v>8</v>
      </c>
      <c r="FG11" s="427">
        <f t="shared" si="78"/>
        <v>2.5000000000000026E-2</v>
      </c>
      <c r="FH11" s="421">
        <f t="shared" si="79"/>
        <v>20</v>
      </c>
      <c r="FI11" s="270">
        <f t="shared" si="80"/>
        <v>10</v>
      </c>
      <c r="FJ11" s="427">
        <f t="shared" si="81"/>
        <v>2.5000000000000026E-2</v>
      </c>
      <c r="FK11" s="421">
        <f t="shared" si="82"/>
        <v>40</v>
      </c>
      <c r="FL11" s="270">
        <f t="shared" si="83"/>
        <v>20</v>
      </c>
      <c r="FM11" s="427">
        <f t="shared" si="84"/>
        <v>2.5000000000000026E-2</v>
      </c>
      <c r="FN11" s="421">
        <f t="shared" si="85"/>
        <v>80</v>
      </c>
      <c r="FO11" s="270">
        <f t="shared" si="86"/>
        <v>40</v>
      </c>
      <c r="FP11" s="427">
        <f t="shared" si="87"/>
        <v>2.5000000000000026E-2</v>
      </c>
      <c r="FQ11" s="421">
        <f t="shared" si="88"/>
        <v>120</v>
      </c>
      <c r="FR11" s="270">
        <f t="shared" si="89"/>
        <v>60</v>
      </c>
      <c r="FS11" s="427">
        <f t="shared" si="90"/>
        <v>2.5000000000000026E-2</v>
      </c>
      <c r="FT11" s="421">
        <f t="shared" si="91"/>
        <v>160</v>
      </c>
      <c r="FU11" s="270">
        <f t="shared" si="92"/>
        <v>80</v>
      </c>
      <c r="FV11" s="427">
        <f t="shared" si="93"/>
        <v>2.5000000000000026E-2</v>
      </c>
      <c r="FW11" s="421">
        <f t="shared" si="94"/>
        <v>200</v>
      </c>
      <c r="FX11" s="270">
        <f t="shared" si="95"/>
        <v>100</v>
      </c>
      <c r="FY11" s="427">
        <f t="shared" si="96"/>
        <v>2.5000000000000026E-2</v>
      </c>
      <c r="FZ11" s="242"/>
      <c r="GA11" s="242" t="s">
        <v>978</v>
      </c>
      <c r="GB11" s="256">
        <v>100000</v>
      </c>
      <c r="GC11" s="242"/>
      <c r="GD11" s="242"/>
      <c r="GE11" s="242"/>
      <c r="GF11" s="427"/>
      <c r="GG11" s="421">
        <v>1</v>
      </c>
      <c r="GH11" s="270">
        <v>1</v>
      </c>
      <c r="GI11" s="427">
        <f t="shared" si="97"/>
        <v>6.6666666666666724E-7</v>
      </c>
      <c r="GJ11" s="421">
        <f t="shared" si="98"/>
        <v>1</v>
      </c>
      <c r="GK11" s="270">
        <f t="shared" si="99"/>
        <v>1</v>
      </c>
      <c r="GL11" s="427">
        <f t="shared" si="100"/>
        <v>1.3333333333333345E-6</v>
      </c>
      <c r="GM11" s="421">
        <f t="shared" si="101"/>
        <v>1</v>
      </c>
      <c r="GN11" s="270">
        <f t="shared" si="102"/>
        <v>1</v>
      </c>
      <c r="GO11" s="427">
        <f t="shared" si="103"/>
        <v>2.0000000000000016E-6</v>
      </c>
      <c r="GP11" s="421">
        <f t="shared" si="104"/>
        <v>1</v>
      </c>
      <c r="GQ11" s="270">
        <f t="shared" si="105"/>
        <v>1</v>
      </c>
      <c r="GR11" s="427">
        <f t="shared" si="106"/>
        <v>2.6666666666666689E-6</v>
      </c>
      <c r="GS11" s="421">
        <f t="shared" si="107"/>
        <v>1</v>
      </c>
      <c r="GT11" s="270">
        <f t="shared" si="108"/>
        <v>1</v>
      </c>
      <c r="GU11" s="427">
        <f t="shared" si="109"/>
        <v>3.3333333333333359E-6</v>
      </c>
      <c r="GV11" s="421">
        <f t="shared" si="110"/>
        <v>1</v>
      </c>
      <c r="GW11" s="270">
        <f t="shared" si="111"/>
        <v>1</v>
      </c>
      <c r="GX11" s="427">
        <f t="shared" si="112"/>
        <v>6.6666666666666717E-6</v>
      </c>
      <c r="GY11" s="421">
        <f t="shared" si="113"/>
        <v>1</v>
      </c>
      <c r="GZ11" s="270">
        <f t="shared" si="114"/>
        <v>1</v>
      </c>
      <c r="HA11" s="427">
        <f t="shared" si="115"/>
        <v>1.3333333333333343E-5</v>
      </c>
      <c r="HB11" s="421">
        <f t="shared" si="116"/>
        <v>1</v>
      </c>
      <c r="HC11" s="270">
        <f t="shared" si="117"/>
        <v>1</v>
      </c>
      <c r="HD11" s="427">
        <f t="shared" si="118"/>
        <v>2.0000000000000015E-5</v>
      </c>
      <c r="HE11" s="421">
        <f t="shared" si="119"/>
        <v>1</v>
      </c>
      <c r="HF11" s="270">
        <f t="shared" si="120"/>
        <v>1</v>
      </c>
      <c r="HG11" s="427">
        <f t="shared" si="121"/>
        <v>2.6666666666666687E-5</v>
      </c>
      <c r="HH11" s="421">
        <f t="shared" si="122"/>
        <v>1</v>
      </c>
      <c r="HI11" s="270">
        <f t="shared" si="123"/>
        <v>1</v>
      </c>
      <c r="HJ11" s="427">
        <f t="shared" si="124"/>
        <v>3.3333333333333362E-5</v>
      </c>
      <c r="HK11" s="421">
        <f t="shared" si="125"/>
        <v>1</v>
      </c>
      <c r="HL11" s="270">
        <f t="shared" si="125"/>
        <v>1</v>
      </c>
      <c r="HM11" s="427">
        <f t="shared" si="126"/>
        <v>6.6666666666666724E-5</v>
      </c>
      <c r="HN11" s="421">
        <f t="shared" si="127"/>
        <v>1</v>
      </c>
      <c r="HO11" s="270">
        <f t="shared" si="127"/>
        <v>1</v>
      </c>
      <c r="HP11" s="427">
        <f t="shared" si="128"/>
        <v>1.3333333333333345E-4</v>
      </c>
      <c r="HQ11" s="421">
        <f t="shared" si="129"/>
        <v>1</v>
      </c>
      <c r="HR11" s="270">
        <f t="shared" si="129"/>
        <v>1</v>
      </c>
      <c r="HS11" s="427">
        <f t="shared" si="130"/>
        <v>2.0000000000000017E-4</v>
      </c>
      <c r="HT11" s="421">
        <f t="shared" si="131"/>
        <v>1</v>
      </c>
      <c r="HU11" s="270">
        <f t="shared" si="131"/>
        <v>1</v>
      </c>
      <c r="HV11" s="427">
        <f t="shared" si="132"/>
        <v>2.666666666666669E-4</v>
      </c>
      <c r="HW11" s="421">
        <f t="shared" si="133"/>
        <v>1</v>
      </c>
      <c r="HX11" s="270">
        <f t="shared" si="133"/>
        <v>1</v>
      </c>
      <c r="HY11" s="427">
        <f t="shared" si="134"/>
        <v>3.3333333333333359E-4</v>
      </c>
      <c r="HZ11" s="421">
        <f t="shared" si="135"/>
        <v>1</v>
      </c>
      <c r="IA11" s="270">
        <f t="shared" si="135"/>
        <v>1</v>
      </c>
      <c r="IB11" s="427">
        <f t="shared" si="136"/>
        <v>6.6666666666666719E-4</v>
      </c>
      <c r="IC11" s="421">
        <f t="shared" si="137"/>
        <v>1</v>
      </c>
      <c r="ID11" s="270">
        <f t="shared" si="137"/>
        <v>1</v>
      </c>
      <c r="IE11" s="427">
        <f t="shared" si="138"/>
        <v>1.3333333333333344E-3</v>
      </c>
      <c r="IF11" s="421">
        <f t="shared" si="139"/>
        <v>1</v>
      </c>
      <c r="IG11" s="270">
        <f t="shared" si="139"/>
        <v>1</v>
      </c>
      <c r="IH11" s="427">
        <f t="shared" si="140"/>
        <v>2.0000000000000018E-3</v>
      </c>
      <c r="II11" s="421">
        <f t="shared" si="141"/>
        <v>1</v>
      </c>
      <c r="IJ11" s="270">
        <f t="shared" si="141"/>
        <v>1</v>
      </c>
      <c r="IK11" s="427">
        <f t="shared" si="142"/>
        <v>2.6666666666666687E-3</v>
      </c>
      <c r="IL11" s="421">
        <f t="shared" si="143"/>
        <v>1</v>
      </c>
      <c r="IM11" s="270">
        <f t="shared" si="143"/>
        <v>1</v>
      </c>
      <c r="IN11" s="427">
        <f t="shared" si="144"/>
        <v>3.3333333333333361E-3</v>
      </c>
      <c r="IO11" s="242"/>
      <c r="IP11" s="242"/>
      <c r="IQ11" s="242"/>
      <c r="IR11" s="242"/>
      <c r="IS11" s="447">
        <f t="shared" si="145"/>
        <v>0</v>
      </c>
      <c r="IT11" s="447">
        <f t="shared" si="145"/>
        <v>0</v>
      </c>
      <c r="IU11" s="447">
        <f t="shared" si="145"/>
        <v>0</v>
      </c>
      <c r="IV11" s="447">
        <f t="shared" si="145"/>
        <v>2.4000000000000003E-4</v>
      </c>
      <c r="IW11" s="447">
        <f t="shared" si="145"/>
        <v>3.0000000000000003E-4</v>
      </c>
      <c r="IX11" s="447">
        <f t="shared" si="145"/>
        <v>6.0000000000000006E-4</v>
      </c>
      <c r="IY11" s="447">
        <f t="shared" si="145"/>
        <v>1.2000000000000001E-3</v>
      </c>
      <c r="IZ11" s="447">
        <f t="shared" si="145"/>
        <v>1.8000000000000004E-3</v>
      </c>
      <c r="JA11" s="447">
        <f t="shared" si="145"/>
        <v>2.4000000000000002E-3</v>
      </c>
      <c r="JB11" s="447">
        <f t="shared" si="145"/>
        <v>3.0000000000000005E-3</v>
      </c>
      <c r="JC11" s="447">
        <f t="shared" si="146"/>
        <v>6.000000000000001E-3</v>
      </c>
      <c r="JD11" s="447">
        <f t="shared" si="146"/>
        <v>7.4999999999999997E-3</v>
      </c>
      <c r="JE11" s="447">
        <f t="shared" si="146"/>
        <v>7.4987999999999999E-3</v>
      </c>
      <c r="JF11" s="447">
        <f t="shared" si="146"/>
        <v>7.497600000000001E-3</v>
      </c>
      <c r="JG11" s="447">
        <f t="shared" si="146"/>
        <v>7.4970000000000002E-3</v>
      </c>
      <c r="JH11" s="447">
        <f t="shared" si="146"/>
        <v>7.4940000000000007E-3</v>
      </c>
      <c r="JI11" s="447">
        <f t="shared" si="146"/>
        <v>7.4880000000000007E-3</v>
      </c>
      <c r="JJ11" s="447">
        <f t="shared" si="146"/>
        <v>7.4880000000000007E-3</v>
      </c>
      <c r="JK11" s="447">
        <f t="shared" si="146"/>
        <v>7.4880000000000007E-3</v>
      </c>
      <c r="JL11" s="447">
        <f t="shared" si="146"/>
        <v>7.4700000000000001E-3</v>
      </c>
      <c r="JM11" s="242"/>
      <c r="JN11" s="1">
        <v>6</v>
      </c>
      <c r="JO11" s="6">
        <v>99999</v>
      </c>
      <c r="JP11" s="242"/>
      <c r="JQ11" s="455" t="s">
        <v>1632</v>
      </c>
      <c r="JR11" s="456">
        <v>1</v>
      </c>
      <c r="JS11" s="456">
        <v>500000</v>
      </c>
      <c r="JT11" s="242"/>
      <c r="JU11" s="242">
        <f t="shared" si="198"/>
        <v>120000</v>
      </c>
      <c r="JV11" s="242">
        <f t="shared" si="199"/>
        <v>100000</v>
      </c>
      <c r="JW11" s="242">
        <f t="shared" si="216"/>
        <v>0.6</v>
      </c>
      <c r="JX11" s="242">
        <f t="shared" si="200"/>
        <v>150000</v>
      </c>
      <c r="JY11" s="241">
        <f t="shared" si="217"/>
        <v>0.4</v>
      </c>
      <c r="JZ11" s="241">
        <f t="shared" si="218"/>
        <v>120000</v>
      </c>
      <c r="KA11" s="241" t="str">
        <f t="shared" si="219"/>
        <v>期望符合预期</v>
      </c>
      <c r="KB11" s="242"/>
      <c r="KC11" s="242">
        <f t="shared" si="201"/>
        <v>240000</v>
      </c>
      <c r="KD11" s="242">
        <f t="shared" si="202"/>
        <v>200000</v>
      </c>
      <c r="KE11" s="242">
        <f t="shared" si="220"/>
        <v>0.2</v>
      </c>
      <c r="KF11" s="242">
        <f t="shared" si="203"/>
        <v>250000</v>
      </c>
      <c r="KG11" s="241">
        <f t="shared" si="221"/>
        <v>0.8</v>
      </c>
      <c r="KH11" s="241">
        <f t="shared" si="222"/>
        <v>240000</v>
      </c>
      <c r="KI11" s="241" t="str">
        <f t="shared" si="223"/>
        <v>期望符合预期</v>
      </c>
      <c r="KK11" s="242">
        <f t="shared" si="204"/>
        <v>360000</v>
      </c>
      <c r="KL11" s="242">
        <f t="shared" si="205"/>
        <v>300000</v>
      </c>
      <c r="KM11" s="242">
        <f t="shared" si="224"/>
        <v>0.7</v>
      </c>
      <c r="KN11" s="242">
        <f t="shared" si="206"/>
        <v>500000</v>
      </c>
      <c r="KO11" s="241">
        <f t="shared" si="225"/>
        <v>0.3</v>
      </c>
      <c r="KP11" s="241">
        <f t="shared" si="226"/>
        <v>360000</v>
      </c>
      <c r="KQ11" s="241" t="str">
        <f t="shared" si="227"/>
        <v>期望符合预期</v>
      </c>
      <c r="KS11" s="242">
        <f t="shared" si="207"/>
        <v>480000</v>
      </c>
      <c r="KT11" s="242">
        <f t="shared" si="208"/>
        <v>300000</v>
      </c>
      <c r="KU11" s="242">
        <f t="shared" si="228"/>
        <v>0.1</v>
      </c>
      <c r="KV11" s="242">
        <f t="shared" si="209"/>
        <v>500000</v>
      </c>
      <c r="KW11" s="241">
        <f t="shared" si="229"/>
        <v>0.9</v>
      </c>
      <c r="KX11" s="241">
        <f t="shared" si="230"/>
        <v>480000</v>
      </c>
      <c r="KY11" s="241" t="str">
        <f t="shared" si="231"/>
        <v>期望符合预期</v>
      </c>
      <c r="LA11" s="242">
        <f t="shared" si="210"/>
        <v>600000</v>
      </c>
      <c r="LB11" s="242">
        <f t="shared" si="211"/>
        <v>500000</v>
      </c>
      <c r="LC11" s="242">
        <f t="shared" si="232"/>
        <v>0.6</v>
      </c>
      <c r="LD11" s="242">
        <f t="shared" si="212"/>
        <v>750000</v>
      </c>
      <c r="LE11" s="241">
        <f t="shared" si="233"/>
        <v>0.4</v>
      </c>
      <c r="LF11" s="241">
        <f t="shared" si="234"/>
        <v>600000</v>
      </c>
      <c r="LG11" s="241" t="str">
        <f t="shared" si="235"/>
        <v>期望符合预期</v>
      </c>
    </row>
    <row r="12" spans="1:319" x14ac:dyDescent="0.35">
      <c r="A12" s="63">
        <v>8</v>
      </c>
      <c r="B12" s="254" t="s">
        <v>1633</v>
      </c>
      <c r="C12" s="63">
        <v>1</v>
      </c>
      <c r="D12" s="63">
        <v>-1</v>
      </c>
      <c r="E12" s="63">
        <v>7</v>
      </c>
      <c r="F12" s="63">
        <f t="shared" si="16"/>
        <v>7</v>
      </c>
      <c r="G12" s="63">
        <f t="shared" si="167"/>
        <v>7</v>
      </c>
      <c r="H12" s="63"/>
      <c r="I12" s="265"/>
      <c r="J12" s="63">
        <f t="shared" si="17"/>
        <v>0</v>
      </c>
      <c r="K12" s="63">
        <f t="shared" si="18"/>
        <v>0</v>
      </c>
      <c r="L12" s="63">
        <v>0</v>
      </c>
      <c r="M12" s="266">
        <f>ROUND($BX$7/('全局参数|GlobalPar'!$B$19/10000/E12),6)*(7/5)</f>
        <v>4.8607999999999993E-3</v>
      </c>
      <c r="N12" s="267">
        <v>1</v>
      </c>
      <c r="O12" s="268">
        <f>ROUND(IF(N12&lt;&gt;0,$BX$4/('全局参数|GlobalPar'!$B$19/10000/E12)/N12,0),6)</f>
        <v>0</v>
      </c>
      <c r="P12" s="270">
        <f t="shared" si="19"/>
        <v>1.4E-3</v>
      </c>
      <c r="Q12" s="285">
        <f t="shared" si="20"/>
        <v>0</v>
      </c>
      <c r="R12" s="282">
        <v>2</v>
      </c>
      <c r="S12" s="283">
        <v>1</v>
      </c>
      <c r="T12" s="284" t="str">
        <f t="shared" si="21"/>
        <v>[[2,1],[2,1],[2,1],[2,1],[2,1],[2,1],[2,1],[2,1],[2,1],[2,1],[4,2],[8,4],[12,6],[16,8],[20,10],[40,20],[80,40],[120,60],[160,80],[200,100]]</v>
      </c>
      <c r="U12" s="284">
        <v>1</v>
      </c>
      <c r="V12" s="284">
        <v>1</v>
      </c>
      <c r="W12" s="284" t="str">
        <f t="shared" si="168"/>
        <v>[[1,1],[1,1],[1,1],[1,1],[1,1],[1,1],[1,1],[1,1],[1,1],[1,1],[1,1],[1,1],[1,1],[1,1],[1,1],[1,1],[1,1],[1,1],[1,1],[1,1]]</v>
      </c>
      <c r="X12" s="63">
        <v>0</v>
      </c>
      <c r="Y12" s="268">
        <v>0</v>
      </c>
      <c r="Z12" s="303">
        <f t="shared" si="22"/>
        <v>0</v>
      </c>
      <c r="AA12" s="303">
        <v>0.06</v>
      </c>
      <c r="AB12" s="303">
        <f t="shared" si="169"/>
        <v>0.1</v>
      </c>
      <c r="AC12" s="304">
        <f t="shared" si="213"/>
        <v>0.05</v>
      </c>
      <c r="AD12" s="304">
        <f t="shared" si="213"/>
        <v>0</v>
      </c>
      <c r="AE12" s="304">
        <f t="shared" si="213"/>
        <v>0</v>
      </c>
      <c r="AF12" s="304">
        <f t="shared" si="213"/>
        <v>0</v>
      </c>
      <c r="AG12" s="63" t="str">
        <f t="shared" si="170"/>
        <v>[[1,5],[2,2],[3,1]]</v>
      </c>
      <c r="AH12" s="256" t="str">
        <f t="shared" si="171"/>
        <v>[0.062222,0.031111,0.020741]</v>
      </c>
      <c r="AI12" s="256">
        <v>0</v>
      </c>
      <c r="AJ12" s="256">
        <v>1</v>
      </c>
      <c r="AK12" s="256">
        <f t="shared" si="23"/>
        <v>1</v>
      </c>
      <c r="AL12" s="256">
        <v>0</v>
      </c>
      <c r="AM12" s="256">
        <f t="shared" si="172"/>
        <v>2.1</v>
      </c>
      <c r="AN12" s="256" t="s">
        <v>2548</v>
      </c>
      <c r="AO12" s="324">
        <v>4</v>
      </c>
      <c r="AP12" s="63">
        <f t="shared" si="24"/>
        <v>-1</v>
      </c>
      <c r="AQ12" s="63">
        <v>0</v>
      </c>
      <c r="AR12" s="39"/>
      <c r="AS12" s="39"/>
      <c r="AT12" s="39">
        <v>1</v>
      </c>
      <c r="AU12" s="261">
        <v>0.82</v>
      </c>
      <c r="AV12" s="63">
        <f t="shared" si="173"/>
        <v>0.82</v>
      </c>
      <c r="AW12" s="63">
        <v>0.5</v>
      </c>
      <c r="AX12" s="63">
        <v>1</v>
      </c>
      <c r="AY12" s="63"/>
      <c r="AZ12" s="39"/>
      <c r="BA12" s="39"/>
      <c r="BB12" s="328">
        <v>0.6</v>
      </c>
      <c r="BC12" s="39">
        <v>8</v>
      </c>
      <c r="BD12" s="39">
        <v>0.18</v>
      </c>
      <c r="BE12" s="39">
        <v>0.8</v>
      </c>
      <c r="BF12" s="39">
        <v>1</v>
      </c>
      <c r="BG12" s="39" t="s">
        <v>1604</v>
      </c>
      <c r="BH12" s="332" t="s">
        <v>1634</v>
      </c>
      <c r="BI12" s="332" t="s">
        <v>1634</v>
      </c>
      <c r="BJ12" s="265" t="s">
        <v>158</v>
      </c>
      <c r="BK12" s="265" t="s">
        <v>280</v>
      </c>
      <c r="BL12" s="265"/>
      <c r="BM12" s="265"/>
      <c r="BN12" s="81">
        <f t="shared" si="25"/>
        <v>5.25</v>
      </c>
      <c r="BO12" s="343">
        <f t="shared" si="26"/>
        <v>28.571428571428573</v>
      </c>
      <c r="BP12" s="81" t="s">
        <v>1606</v>
      </c>
      <c r="BQ12" s="81">
        <f t="shared" si="27"/>
        <v>0.61199999999999999</v>
      </c>
      <c r="BR12" s="81"/>
      <c r="BS12" s="63">
        <f t="shared" si="28"/>
        <v>7</v>
      </c>
      <c r="BT12" s="63">
        <f t="shared" si="29"/>
        <v>7.42</v>
      </c>
      <c r="BV12" s="63">
        <f t="shared" si="30"/>
        <v>0</v>
      </c>
      <c r="CG12" s="371">
        <f t="shared" si="31"/>
        <v>7.7000000000000011</v>
      </c>
      <c r="CH12" s="372">
        <f t="shared" si="214"/>
        <v>0.1</v>
      </c>
      <c r="CI12" s="373">
        <v>1</v>
      </c>
      <c r="CJ12" s="143">
        <v>5</v>
      </c>
      <c r="CK12" s="373">
        <v>2</v>
      </c>
      <c r="CL12" s="143">
        <v>2</v>
      </c>
      <c r="CM12" s="373">
        <v>3</v>
      </c>
      <c r="CN12" s="143">
        <v>1</v>
      </c>
      <c r="CO12" s="143">
        <f t="shared" si="174"/>
        <v>1.5</v>
      </c>
      <c r="CP12" s="143">
        <f t="shared" si="175"/>
        <v>7.5</v>
      </c>
      <c r="CQ12" s="377">
        <f t="shared" si="176"/>
        <v>6.2222E-2</v>
      </c>
      <c r="CR12" s="143">
        <f t="shared" si="32"/>
        <v>15</v>
      </c>
      <c r="CS12" s="378">
        <f t="shared" si="177"/>
        <v>3.1111E-2</v>
      </c>
      <c r="CT12" s="143">
        <f t="shared" si="32"/>
        <v>22.5</v>
      </c>
      <c r="CU12" s="392">
        <f t="shared" si="178"/>
        <v>2.0740999999999999E-2</v>
      </c>
      <c r="CW12" s="241">
        <v>2E-3</v>
      </c>
      <c r="CX12" s="396">
        <f t="shared" si="215"/>
        <v>0</v>
      </c>
      <c r="CY12" s="270">
        <f t="shared" si="33"/>
        <v>0</v>
      </c>
      <c r="CZ12" s="394">
        <f t="shared" si="34"/>
        <v>0</v>
      </c>
      <c r="DA12" s="394">
        <f t="shared" si="35"/>
        <v>0</v>
      </c>
      <c r="DB12" s="395">
        <f t="shared" si="179"/>
        <v>0</v>
      </c>
      <c r="DC12" s="419">
        <f t="shared" si="36"/>
        <v>0</v>
      </c>
      <c r="DD12" s="394">
        <f t="shared" si="37"/>
        <v>0</v>
      </c>
      <c r="DE12" s="420" t="e">
        <f t="shared" si="38"/>
        <v>#DIV/0!</v>
      </c>
      <c r="DF12" s="421">
        <f t="shared" si="180"/>
        <v>2</v>
      </c>
      <c r="DG12" s="422">
        <f t="shared" si="181"/>
        <v>1</v>
      </c>
      <c r="DH12" s="284"/>
      <c r="DI12" s="282">
        <v>2</v>
      </c>
      <c r="DJ12" s="283">
        <v>1</v>
      </c>
      <c r="DL12" s="431"/>
      <c r="DM12" s="242"/>
      <c r="DQ12" s="427"/>
      <c r="DR12" s="421">
        <v>2</v>
      </c>
      <c r="DS12" s="270">
        <v>1</v>
      </c>
      <c r="DT12" s="427">
        <f t="shared" si="39"/>
        <v>5.8333333333333392E-4</v>
      </c>
      <c r="DU12" s="421">
        <f t="shared" si="40"/>
        <v>2</v>
      </c>
      <c r="DV12" s="270">
        <f t="shared" si="182"/>
        <v>1</v>
      </c>
      <c r="DW12" s="427">
        <f t="shared" si="42"/>
        <v>1.1666666666666678E-3</v>
      </c>
      <c r="DX12" s="421">
        <f t="shared" si="43"/>
        <v>2</v>
      </c>
      <c r="DY12" s="270">
        <f t="shared" si="183"/>
        <v>1</v>
      </c>
      <c r="DZ12" s="427">
        <f t="shared" si="45"/>
        <v>1.7500000000000018E-3</v>
      </c>
      <c r="EA12" s="421">
        <f t="shared" si="184"/>
        <v>2</v>
      </c>
      <c r="EB12" s="270">
        <f t="shared" si="185"/>
        <v>1</v>
      </c>
      <c r="EC12" s="427">
        <f t="shared" si="48"/>
        <v>2.3333333333333357E-3</v>
      </c>
      <c r="ED12" s="421">
        <f t="shared" si="186"/>
        <v>2</v>
      </c>
      <c r="EE12" s="270">
        <f t="shared" si="187"/>
        <v>1</v>
      </c>
      <c r="EF12" s="427">
        <f t="shared" si="51"/>
        <v>2.9166666666666698E-3</v>
      </c>
      <c r="EG12" s="421">
        <f t="shared" si="188"/>
        <v>2</v>
      </c>
      <c r="EH12" s="270">
        <f t="shared" si="189"/>
        <v>1</v>
      </c>
      <c r="EI12" s="427">
        <f t="shared" si="54"/>
        <v>5.8333333333333397E-3</v>
      </c>
      <c r="EJ12" s="421">
        <f t="shared" si="190"/>
        <v>2</v>
      </c>
      <c r="EK12" s="270">
        <f t="shared" si="191"/>
        <v>1</v>
      </c>
      <c r="EL12" s="427">
        <f t="shared" si="57"/>
        <v>1.1666666666666679E-2</v>
      </c>
      <c r="EM12" s="421">
        <f t="shared" si="192"/>
        <v>2</v>
      </c>
      <c r="EN12" s="270">
        <f t="shared" si="193"/>
        <v>1</v>
      </c>
      <c r="EO12" s="427">
        <f t="shared" si="60"/>
        <v>1.7500000000000019E-2</v>
      </c>
      <c r="EP12" s="421">
        <f t="shared" si="194"/>
        <v>2</v>
      </c>
      <c r="EQ12" s="270">
        <f t="shared" si="195"/>
        <v>1</v>
      </c>
      <c r="ER12" s="427">
        <f t="shared" si="63"/>
        <v>2.3333333333333359E-2</v>
      </c>
      <c r="ES12" s="421">
        <f t="shared" si="196"/>
        <v>2</v>
      </c>
      <c r="ET12" s="270">
        <f t="shared" si="197"/>
        <v>1</v>
      </c>
      <c r="EU12" s="427">
        <f t="shared" si="66"/>
        <v>2.9166666666666698E-2</v>
      </c>
      <c r="EV12" s="421">
        <f t="shared" si="67"/>
        <v>4</v>
      </c>
      <c r="EW12" s="270">
        <f t="shared" si="68"/>
        <v>2</v>
      </c>
      <c r="EX12" s="427">
        <f t="shared" si="69"/>
        <v>2.9166666666666698E-2</v>
      </c>
      <c r="EY12" s="421">
        <f t="shared" si="70"/>
        <v>8</v>
      </c>
      <c r="EZ12" s="270">
        <f t="shared" si="71"/>
        <v>4</v>
      </c>
      <c r="FA12" s="427">
        <f t="shared" si="72"/>
        <v>2.9166666666666698E-2</v>
      </c>
      <c r="FB12" s="421">
        <f t="shared" si="73"/>
        <v>12</v>
      </c>
      <c r="FC12" s="270">
        <f t="shared" si="74"/>
        <v>6</v>
      </c>
      <c r="FD12" s="427">
        <f t="shared" si="75"/>
        <v>2.9166666666666698E-2</v>
      </c>
      <c r="FE12" s="421">
        <f t="shared" si="76"/>
        <v>16</v>
      </c>
      <c r="FF12" s="270">
        <f t="shared" si="77"/>
        <v>8</v>
      </c>
      <c r="FG12" s="427">
        <f t="shared" si="78"/>
        <v>2.9166666666666698E-2</v>
      </c>
      <c r="FH12" s="421">
        <f t="shared" si="79"/>
        <v>20</v>
      </c>
      <c r="FI12" s="270">
        <f t="shared" si="80"/>
        <v>10</v>
      </c>
      <c r="FJ12" s="427">
        <f t="shared" si="81"/>
        <v>2.9166666666666698E-2</v>
      </c>
      <c r="FK12" s="421">
        <f t="shared" si="82"/>
        <v>40</v>
      </c>
      <c r="FL12" s="270">
        <f t="shared" si="83"/>
        <v>20</v>
      </c>
      <c r="FM12" s="427">
        <f t="shared" si="84"/>
        <v>2.9166666666666698E-2</v>
      </c>
      <c r="FN12" s="421">
        <f t="shared" si="85"/>
        <v>80</v>
      </c>
      <c r="FO12" s="270">
        <f t="shared" si="86"/>
        <v>40</v>
      </c>
      <c r="FP12" s="427">
        <f t="shared" si="87"/>
        <v>2.9166666666666698E-2</v>
      </c>
      <c r="FQ12" s="421">
        <f t="shared" si="88"/>
        <v>120</v>
      </c>
      <c r="FR12" s="270">
        <f t="shared" si="89"/>
        <v>60</v>
      </c>
      <c r="FS12" s="427">
        <f t="shared" si="90"/>
        <v>2.9166666666666698E-2</v>
      </c>
      <c r="FT12" s="421">
        <f t="shared" si="91"/>
        <v>160</v>
      </c>
      <c r="FU12" s="270">
        <f t="shared" si="92"/>
        <v>80</v>
      </c>
      <c r="FV12" s="427">
        <f t="shared" si="93"/>
        <v>2.9166666666666698E-2</v>
      </c>
      <c r="FW12" s="421">
        <f t="shared" si="94"/>
        <v>200</v>
      </c>
      <c r="FX12" s="270">
        <f t="shared" si="95"/>
        <v>100</v>
      </c>
      <c r="FY12" s="427">
        <f t="shared" si="96"/>
        <v>2.9166666666666698E-2</v>
      </c>
      <c r="GA12" s="346" t="s">
        <v>1635</v>
      </c>
      <c r="GB12" s="438">
        <f>GB11*GD2/1</f>
        <v>5.5555555555555599E-4</v>
      </c>
      <c r="GF12" s="427"/>
      <c r="GG12" s="421">
        <v>1</v>
      </c>
      <c r="GH12" s="270">
        <v>1</v>
      </c>
      <c r="GI12" s="427">
        <f t="shared" si="97"/>
        <v>7.7777777777777842E-7</v>
      </c>
      <c r="GJ12" s="421">
        <f t="shared" si="98"/>
        <v>1</v>
      </c>
      <c r="GK12" s="270">
        <f t="shared" si="99"/>
        <v>1</v>
      </c>
      <c r="GL12" s="427">
        <f t="shared" si="100"/>
        <v>1.5555555555555568E-6</v>
      </c>
      <c r="GM12" s="421">
        <f t="shared" si="101"/>
        <v>1</v>
      </c>
      <c r="GN12" s="270">
        <f t="shared" si="102"/>
        <v>1</v>
      </c>
      <c r="GO12" s="427">
        <f t="shared" si="103"/>
        <v>2.3333333333333353E-6</v>
      </c>
      <c r="GP12" s="421">
        <f t="shared" si="104"/>
        <v>1</v>
      </c>
      <c r="GQ12" s="270">
        <f t="shared" si="105"/>
        <v>1</v>
      </c>
      <c r="GR12" s="427">
        <f t="shared" si="106"/>
        <v>3.1111111111111137E-6</v>
      </c>
      <c r="GS12" s="421">
        <f t="shared" si="107"/>
        <v>1</v>
      </c>
      <c r="GT12" s="270">
        <f t="shared" si="108"/>
        <v>1</v>
      </c>
      <c r="GU12" s="427">
        <f t="shared" si="109"/>
        <v>3.8888888888888921E-6</v>
      </c>
      <c r="GV12" s="421">
        <f t="shared" si="110"/>
        <v>1</v>
      </c>
      <c r="GW12" s="270">
        <f t="shared" si="111"/>
        <v>1</v>
      </c>
      <c r="GX12" s="427">
        <f t="shared" si="112"/>
        <v>7.7777777777777842E-6</v>
      </c>
      <c r="GY12" s="421">
        <f t="shared" si="113"/>
        <v>1</v>
      </c>
      <c r="GZ12" s="270">
        <f t="shared" si="114"/>
        <v>1</v>
      </c>
      <c r="HA12" s="427">
        <f t="shared" si="115"/>
        <v>1.5555555555555568E-5</v>
      </c>
      <c r="HB12" s="421">
        <f t="shared" si="116"/>
        <v>1</v>
      </c>
      <c r="HC12" s="270">
        <f t="shared" si="117"/>
        <v>1</v>
      </c>
      <c r="HD12" s="427">
        <f t="shared" si="118"/>
        <v>2.3333333333333353E-5</v>
      </c>
      <c r="HE12" s="421">
        <f t="shared" si="119"/>
        <v>1</v>
      </c>
      <c r="HF12" s="270">
        <f t="shared" si="120"/>
        <v>1</v>
      </c>
      <c r="HG12" s="427">
        <f t="shared" si="121"/>
        <v>3.1111111111111137E-5</v>
      </c>
      <c r="HH12" s="421">
        <f t="shared" si="122"/>
        <v>1</v>
      </c>
      <c r="HI12" s="270">
        <f t="shared" si="123"/>
        <v>1</v>
      </c>
      <c r="HJ12" s="427">
        <f t="shared" si="124"/>
        <v>3.8888888888888918E-5</v>
      </c>
      <c r="HK12" s="421">
        <f t="shared" si="125"/>
        <v>1</v>
      </c>
      <c r="HL12" s="270">
        <f t="shared" si="125"/>
        <v>1</v>
      </c>
      <c r="HM12" s="427">
        <f t="shared" si="126"/>
        <v>7.7777777777777836E-5</v>
      </c>
      <c r="HN12" s="421">
        <f t="shared" si="127"/>
        <v>1</v>
      </c>
      <c r="HO12" s="270">
        <f t="shared" si="127"/>
        <v>1</v>
      </c>
      <c r="HP12" s="427">
        <f t="shared" si="128"/>
        <v>1.5555555555555567E-4</v>
      </c>
      <c r="HQ12" s="421">
        <f t="shared" si="129"/>
        <v>1</v>
      </c>
      <c r="HR12" s="270">
        <f t="shared" si="129"/>
        <v>1</v>
      </c>
      <c r="HS12" s="427">
        <f t="shared" si="130"/>
        <v>2.3333333333333352E-4</v>
      </c>
      <c r="HT12" s="421">
        <f t="shared" si="131"/>
        <v>1</v>
      </c>
      <c r="HU12" s="270">
        <f t="shared" si="131"/>
        <v>1</v>
      </c>
      <c r="HV12" s="427">
        <f t="shared" si="132"/>
        <v>3.1111111111111134E-4</v>
      </c>
      <c r="HW12" s="421">
        <f t="shared" si="133"/>
        <v>1</v>
      </c>
      <c r="HX12" s="270">
        <f t="shared" si="133"/>
        <v>1</v>
      </c>
      <c r="HY12" s="427">
        <f t="shared" si="134"/>
        <v>3.8888888888888919E-4</v>
      </c>
      <c r="HZ12" s="421">
        <f t="shared" si="135"/>
        <v>1</v>
      </c>
      <c r="IA12" s="270">
        <f t="shared" si="135"/>
        <v>1</v>
      </c>
      <c r="IB12" s="427">
        <f t="shared" si="136"/>
        <v>7.7777777777777838E-4</v>
      </c>
      <c r="IC12" s="421">
        <f t="shared" si="137"/>
        <v>1</v>
      </c>
      <c r="ID12" s="270">
        <f t="shared" si="137"/>
        <v>1</v>
      </c>
      <c r="IE12" s="427">
        <f t="shared" si="138"/>
        <v>1.5555555555555568E-3</v>
      </c>
      <c r="IF12" s="421">
        <f t="shared" si="139"/>
        <v>1</v>
      </c>
      <c r="IG12" s="270">
        <f t="shared" si="139"/>
        <v>1</v>
      </c>
      <c r="IH12" s="427">
        <f t="shared" si="140"/>
        <v>2.3333333333333353E-3</v>
      </c>
      <c r="II12" s="421">
        <f t="shared" si="141"/>
        <v>1</v>
      </c>
      <c r="IJ12" s="270">
        <f t="shared" si="141"/>
        <v>1</v>
      </c>
      <c r="IK12" s="427">
        <f t="shared" si="142"/>
        <v>3.1111111111111135E-3</v>
      </c>
      <c r="IL12" s="421">
        <f t="shared" si="143"/>
        <v>1</v>
      </c>
      <c r="IM12" s="270">
        <f t="shared" si="143"/>
        <v>1</v>
      </c>
      <c r="IN12" s="427">
        <f t="shared" si="144"/>
        <v>3.8888888888888922E-3</v>
      </c>
      <c r="IS12" s="447">
        <f t="shared" si="145"/>
        <v>0</v>
      </c>
      <c r="IT12" s="447">
        <f t="shared" si="145"/>
        <v>0</v>
      </c>
      <c r="IU12" s="447">
        <f t="shared" si="145"/>
        <v>0</v>
      </c>
      <c r="IV12" s="447">
        <f t="shared" si="145"/>
        <v>2.8000000000000003E-4</v>
      </c>
      <c r="IW12" s="447">
        <f t="shared" si="145"/>
        <v>3.5E-4</v>
      </c>
      <c r="IX12" s="447">
        <f t="shared" si="145"/>
        <v>6.9999999999999999E-4</v>
      </c>
      <c r="IY12" s="447">
        <f t="shared" si="145"/>
        <v>1.4E-3</v>
      </c>
      <c r="IZ12" s="447">
        <f t="shared" si="145"/>
        <v>2.1000000000000003E-3</v>
      </c>
      <c r="JA12" s="447">
        <f t="shared" si="145"/>
        <v>2.8E-3</v>
      </c>
      <c r="JB12" s="447">
        <f t="shared" si="145"/>
        <v>3.5000000000000005E-3</v>
      </c>
      <c r="JC12" s="447">
        <f t="shared" si="146"/>
        <v>7.000000000000001E-3</v>
      </c>
      <c r="JD12" s="447">
        <f t="shared" si="146"/>
        <v>8.7500000000000008E-3</v>
      </c>
      <c r="JE12" s="447">
        <f t="shared" si="146"/>
        <v>8.7486000000000005E-3</v>
      </c>
      <c r="JF12" s="447">
        <f t="shared" si="146"/>
        <v>8.7472000000000018E-3</v>
      </c>
      <c r="JG12" s="447">
        <f t="shared" si="146"/>
        <v>8.7464999999999991E-3</v>
      </c>
      <c r="JH12" s="447">
        <f t="shared" si="146"/>
        <v>8.7430000000000008E-3</v>
      </c>
      <c r="JI12" s="447">
        <f t="shared" si="146"/>
        <v>8.7360000000000007E-3</v>
      </c>
      <c r="JJ12" s="447">
        <f t="shared" si="146"/>
        <v>8.7360000000000007E-3</v>
      </c>
      <c r="JK12" s="447">
        <f t="shared" si="146"/>
        <v>8.7360000000000007E-3</v>
      </c>
      <c r="JL12" s="447">
        <f t="shared" si="146"/>
        <v>8.7150000000000005E-3</v>
      </c>
      <c r="JN12" s="1">
        <v>7</v>
      </c>
      <c r="JO12" s="6">
        <v>99999</v>
      </c>
      <c r="JQ12" s="455" t="s">
        <v>1626</v>
      </c>
      <c r="JR12" s="456">
        <v>3</v>
      </c>
      <c r="JS12" s="456">
        <v>750000</v>
      </c>
      <c r="JT12" s="242"/>
      <c r="JU12" s="242">
        <f t="shared" si="198"/>
        <v>140000</v>
      </c>
      <c r="JV12" s="242">
        <f t="shared" si="199"/>
        <v>100000</v>
      </c>
      <c r="JW12" s="242">
        <f t="shared" si="216"/>
        <v>0.2</v>
      </c>
      <c r="JX12" s="242">
        <f t="shared" si="200"/>
        <v>150000</v>
      </c>
      <c r="JY12" s="241">
        <f t="shared" si="217"/>
        <v>0.8</v>
      </c>
      <c r="JZ12" s="241">
        <f t="shared" si="218"/>
        <v>140000</v>
      </c>
      <c r="KA12" s="241" t="str">
        <f t="shared" si="219"/>
        <v>期望符合预期</v>
      </c>
      <c r="KC12" s="242">
        <f t="shared" si="201"/>
        <v>280000</v>
      </c>
      <c r="KD12" s="242">
        <f t="shared" si="202"/>
        <v>250000</v>
      </c>
      <c r="KE12" s="242">
        <f t="shared" si="220"/>
        <v>0.4</v>
      </c>
      <c r="KF12" s="242">
        <f t="shared" si="203"/>
        <v>300000</v>
      </c>
      <c r="KG12" s="241">
        <f t="shared" si="221"/>
        <v>0.6</v>
      </c>
      <c r="KH12" s="241">
        <f t="shared" si="222"/>
        <v>280000</v>
      </c>
      <c r="KI12" s="241" t="str">
        <f t="shared" si="223"/>
        <v>期望符合预期</v>
      </c>
      <c r="KK12" s="242">
        <f t="shared" si="204"/>
        <v>420000</v>
      </c>
      <c r="KL12" s="242">
        <f t="shared" si="205"/>
        <v>300000</v>
      </c>
      <c r="KM12" s="242">
        <f t="shared" si="224"/>
        <v>0.4</v>
      </c>
      <c r="KN12" s="242">
        <f t="shared" si="206"/>
        <v>500000</v>
      </c>
      <c r="KO12" s="241">
        <f t="shared" si="225"/>
        <v>0.6</v>
      </c>
      <c r="KP12" s="241">
        <f t="shared" si="226"/>
        <v>420000</v>
      </c>
      <c r="KQ12" s="241" t="str">
        <f t="shared" si="227"/>
        <v>期望符合预期</v>
      </c>
      <c r="KS12" s="242">
        <f t="shared" si="207"/>
        <v>560000</v>
      </c>
      <c r="KT12" s="242">
        <f t="shared" si="208"/>
        <v>500000</v>
      </c>
      <c r="KU12" s="242">
        <f t="shared" si="228"/>
        <v>0.76</v>
      </c>
      <c r="KV12" s="242">
        <f t="shared" si="209"/>
        <v>750000</v>
      </c>
      <c r="KW12" s="241">
        <f t="shared" si="229"/>
        <v>0.24</v>
      </c>
      <c r="KX12" s="241">
        <f t="shared" si="230"/>
        <v>560000</v>
      </c>
      <c r="KY12" s="241" t="str">
        <f t="shared" si="231"/>
        <v>期望符合预期</v>
      </c>
      <c r="LA12" s="242">
        <f t="shared" si="210"/>
        <v>700000</v>
      </c>
      <c r="LB12" s="242">
        <f t="shared" si="211"/>
        <v>500000</v>
      </c>
      <c r="LC12" s="242">
        <f t="shared" si="232"/>
        <v>0.2</v>
      </c>
      <c r="LD12" s="242">
        <f t="shared" si="212"/>
        <v>750000</v>
      </c>
      <c r="LE12" s="241">
        <f t="shared" si="233"/>
        <v>0.8</v>
      </c>
      <c r="LF12" s="241">
        <f t="shared" si="234"/>
        <v>700000</v>
      </c>
      <c r="LG12" s="241" t="str">
        <f t="shared" si="235"/>
        <v>期望符合预期</v>
      </c>
    </row>
    <row r="13" spans="1:319" ht="16.2" x14ac:dyDescent="0.4">
      <c r="A13" s="63">
        <v>9</v>
      </c>
      <c r="B13" s="254" t="s">
        <v>1636</v>
      </c>
      <c r="C13" s="63">
        <v>1</v>
      </c>
      <c r="D13" s="63">
        <v>-1</v>
      </c>
      <c r="E13" s="63">
        <v>4</v>
      </c>
      <c r="F13" s="63">
        <f t="shared" si="16"/>
        <v>4</v>
      </c>
      <c r="G13" s="63">
        <f t="shared" si="167"/>
        <v>4</v>
      </c>
      <c r="H13" s="63"/>
      <c r="I13" s="265"/>
      <c r="J13" s="63">
        <f t="shared" si="17"/>
        <v>0</v>
      </c>
      <c r="K13" s="63">
        <f t="shared" si="18"/>
        <v>0</v>
      </c>
      <c r="L13" s="63">
        <v>0</v>
      </c>
      <c r="M13" s="266">
        <f>ROUND($BX$7/('全局参数|GlobalPar'!$B$19/10000/E13),6)*(7/5)</f>
        <v>2.7775999999999999E-3</v>
      </c>
      <c r="N13" s="267">
        <v>1</v>
      </c>
      <c r="O13" s="268">
        <f>ROUND(IF(N13&lt;&gt;0,$BX$4/('全局参数|GlobalPar'!$B$19/10000/E13)/N13,0),6)</f>
        <v>0</v>
      </c>
      <c r="P13" s="270">
        <f t="shared" si="19"/>
        <v>8.0000000000000004E-4</v>
      </c>
      <c r="Q13" s="285">
        <f t="shared" si="20"/>
        <v>0</v>
      </c>
      <c r="R13" s="282">
        <v>2</v>
      </c>
      <c r="S13" s="283">
        <v>1</v>
      </c>
      <c r="T13" s="284" t="str">
        <f t="shared" si="21"/>
        <v>[[2,1],[2,1],[2,1],[2,1],[2,1],[2,1],[2,1],[2,1],[2,1],[2,1],[4,2],[8,4],[12,6],[16,8],[20,10],[40,20],[80,40],[120,60],[160,80],[200,100]]</v>
      </c>
      <c r="U13" s="284">
        <v>1</v>
      </c>
      <c r="V13" s="284">
        <v>1</v>
      </c>
      <c r="W13" s="284" t="str">
        <f t="shared" si="168"/>
        <v>[[1,1],[1,1],[1,1],[1,1],[1,1],[1,1],[1,1],[1,1],[1,1],[1,1],[1,1],[1,1],[1,1],[1,1],[1,1],[1,1],[1,1],[1,1],[1,1],[1,1]]</v>
      </c>
      <c r="X13" s="63">
        <v>0</v>
      </c>
      <c r="Y13" s="305">
        <v>0</v>
      </c>
      <c r="Z13" s="303">
        <f t="shared" si="22"/>
        <v>0</v>
      </c>
      <c r="AA13" s="303">
        <v>0.06</v>
      </c>
      <c r="AB13" s="303">
        <f t="shared" si="169"/>
        <v>0.1</v>
      </c>
      <c r="AC13" s="304">
        <f t="shared" si="213"/>
        <v>0.05</v>
      </c>
      <c r="AD13" s="304">
        <f t="shared" si="213"/>
        <v>0</v>
      </c>
      <c r="AE13" s="304">
        <f t="shared" si="213"/>
        <v>0</v>
      </c>
      <c r="AF13" s="304">
        <f t="shared" si="213"/>
        <v>0</v>
      </c>
      <c r="AG13" s="63" t="str">
        <f t="shared" si="170"/>
        <v>[[1,5],[2,2],[3,1]]</v>
      </c>
      <c r="AH13" s="256" t="str">
        <f t="shared" si="171"/>
        <v>[0.035556,0.017778,0.011852]</v>
      </c>
      <c r="AI13" s="256">
        <v>0</v>
      </c>
      <c r="AJ13" s="256">
        <v>1</v>
      </c>
      <c r="AK13" s="256">
        <f t="shared" si="23"/>
        <v>1</v>
      </c>
      <c r="AL13" s="256">
        <v>0</v>
      </c>
      <c r="AM13" s="256">
        <f t="shared" si="172"/>
        <v>1.2</v>
      </c>
      <c r="AN13" s="256" t="s">
        <v>2548</v>
      </c>
      <c r="AO13" s="324">
        <v>4</v>
      </c>
      <c r="AP13" s="63">
        <f t="shared" si="24"/>
        <v>-1</v>
      </c>
      <c r="AQ13" s="63">
        <v>0</v>
      </c>
      <c r="AR13" s="63"/>
      <c r="AS13" s="39"/>
      <c r="AT13" s="39">
        <v>1</v>
      </c>
      <c r="AU13" s="63">
        <v>1</v>
      </c>
      <c r="AV13" s="63">
        <f t="shared" si="173"/>
        <v>1</v>
      </c>
      <c r="AW13" s="63">
        <v>0.5</v>
      </c>
      <c r="AX13" s="63">
        <v>1</v>
      </c>
      <c r="AY13" s="63"/>
      <c r="AZ13" s="39"/>
      <c r="BA13" s="39"/>
      <c r="BB13" s="328">
        <v>0.6</v>
      </c>
      <c r="BC13" s="39">
        <v>10</v>
      </c>
      <c r="BD13" s="39">
        <v>0.18</v>
      </c>
      <c r="BE13" s="39">
        <v>0.8</v>
      </c>
      <c r="BF13" s="39">
        <v>1</v>
      </c>
      <c r="BG13" s="39" t="s">
        <v>1637</v>
      </c>
      <c r="BH13" s="331" t="s">
        <v>1638</v>
      </c>
      <c r="BI13" s="331" t="s">
        <v>1638</v>
      </c>
      <c r="BJ13" s="265" t="s">
        <v>368</v>
      </c>
      <c r="BK13" s="265" t="s">
        <v>280</v>
      </c>
      <c r="BL13" s="265"/>
      <c r="BM13" s="265"/>
      <c r="BN13" s="81">
        <f t="shared" si="25"/>
        <v>3</v>
      </c>
      <c r="BO13" s="343">
        <f t="shared" si="26"/>
        <v>50</v>
      </c>
      <c r="BP13" s="81" t="s">
        <v>1606</v>
      </c>
      <c r="BQ13" s="81">
        <f t="shared" si="27"/>
        <v>0.746</v>
      </c>
      <c r="BR13" s="81"/>
      <c r="BS13" s="63">
        <f t="shared" si="28"/>
        <v>4</v>
      </c>
      <c r="BT13" s="63">
        <f t="shared" si="29"/>
        <v>4.24</v>
      </c>
      <c r="BV13" s="63">
        <f t="shared" si="30"/>
        <v>0</v>
      </c>
      <c r="CG13" s="371">
        <f t="shared" si="31"/>
        <v>4.4000000000000004</v>
      </c>
      <c r="CH13" s="372">
        <f t="shared" si="214"/>
        <v>0.1</v>
      </c>
      <c r="CI13" s="373">
        <v>1</v>
      </c>
      <c r="CJ13" s="143">
        <v>5</v>
      </c>
      <c r="CK13" s="373">
        <v>2</v>
      </c>
      <c r="CL13" s="143">
        <v>2</v>
      </c>
      <c r="CM13" s="373">
        <v>3</v>
      </c>
      <c r="CN13" s="143">
        <v>1</v>
      </c>
      <c r="CO13" s="143">
        <f t="shared" si="174"/>
        <v>1.5</v>
      </c>
      <c r="CP13" s="143">
        <f t="shared" si="175"/>
        <v>7.5</v>
      </c>
      <c r="CQ13" s="377">
        <f t="shared" si="176"/>
        <v>3.5555999999999997E-2</v>
      </c>
      <c r="CR13" s="143">
        <f t="shared" si="32"/>
        <v>15</v>
      </c>
      <c r="CS13" s="378">
        <f t="shared" si="177"/>
        <v>1.7777999999999999E-2</v>
      </c>
      <c r="CT13" s="143">
        <f t="shared" si="32"/>
        <v>22.5</v>
      </c>
      <c r="CU13" s="392">
        <f t="shared" si="178"/>
        <v>1.1852E-2</v>
      </c>
      <c r="CW13" s="241">
        <v>2E-3</v>
      </c>
      <c r="CX13" s="396">
        <f t="shared" si="215"/>
        <v>0</v>
      </c>
      <c r="CY13" s="270">
        <f t="shared" si="33"/>
        <v>0</v>
      </c>
      <c r="CZ13" s="394">
        <f t="shared" si="34"/>
        <v>0</v>
      </c>
      <c r="DA13" s="394">
        <f t="shared" si="35"/>
        <v>0</v>
      </c>
      <c r="DB13" s="395">
        <f t="shared" si="179"/>
        <v>0</v>
      </c>
      <c r="DC13" s="419">
        <f t="shared" si="36"/>
        <v>0</v>
      </c>
      <c r="DD13" s="394">
        <f t="shared" si="37"/>
        <v>0</v>
      </c>
      <c r="DE13" s="420" t="e">
        <f t="shared" si="38"/>
        <v>#DIV/0!</v>
      </c>
      <c r="DF13" s="421">
        <f t="shared" si="180"/>
        <v>2</v>
      </c>
      <c r="DG13" s="422">
        <f t="shared" si="181"/>
        <v>1</v>
      </c>
      <c r="DH13" s="284"/>
      <c r="DI13" s="282">
        <v>2</v>
      </c>
      <c r="DJ13" s="283">
        <v>1</v>
      </c>
      <c r="DL13" s="431"/>
      <c r="DM13" s="242"/>
      <c r="DQ13" s="427"/>
      <c r="DR13" s="421">
        <v>2</v>
      </c>
      <c r="DS13" s="270">
        <v>1</v>
      </c>
      <c r="DT13" s="427">
        <f t="shared" si="39"/>
        <v>3.333333333333337E-4</v>
      </c>
      <c r="DU13" s="421">
        <f t="shared" si="40"/>
        <v>2</v>
      </c>
      <c r="DV13" s="270">
        <f t="shared" si="182"/>
        <v>1</v>
      </c>
      <c r="DW13" s="427">
        <f t="shared" si="42"/>
        <v>6.666666666666674E-4</v>
      </c>
      <c r="DX13" s="421">
        <f t="shared" si="43"/>
        <v>2</v>
      </c>
      <c r="DY13" s="270">
        <f t="shared" si="183"/>
        <v>1</v>
      </c>
      <c r="DZ13" s="427">
        <f t="shared" si="45"/>
        <v>1.0000000000000011E-3</v>
      </c>
      <c r="EA13" s="421">
        <f t="shared" si="184"/>
        <v>2</v>
      </c>
      <c r="EB13" s="270">
        <f t="shared" si="185"/>
        <v>1</v>
      </c>
      <c r="EC13" s="427">
        <f t="shared" si="48"/>
        <v>1.3333333333333348E-3</v>
      </c>
      <c r="ED13" s="421">
        <f t="shared" si="186"/>
        <v>2</v>
      </c>
      <c r="EE13" s="270">
        <f t="shared" si="187"/>
        <v>1</v>
      </c>
      <c r="EF13" s="427">
        <f t="shared" si="51"/>
        <v>1.6666666666666685E-3</v>
      </c>
      <c r="EG13" s="421">
        <f t="shared" si="188"/>
        <v>2</v>
      </c>
      <c r="EH13" s="270">
        <f t="shared" si="189"/>
        <v>1</v>
      </c>
      <c r="EI13" s="427">
        <f t="shared" si="54"/>
        <v>3.333333333333337E-3</v>
      </c>
      <c r="EJ13" s="421">
        <f t="shared" si="190"/>
        <v>2</v>
      </c>
      <c r="EK13" s="270">
        <f t="shared" si="191"/>
        <v>1</v>
      </c>
      <c r="EL13" s="427">
        <f t="shared" si="57"/>
        <v>6.666666666666674E-3</v>
      </c>
      <c r="EM13" s="421">
        <f t="shared" si="192"/>
        <v>2</v>
      </c>
      <c r="EN13" s="270">
        <f t="shared" si="193"/>
        <v>1</v>
      </c>
      <c r="EO13" s="427">
        <f t="shared" si="60"/>
        <v>1.0000000000000011E-2</v>
      </c>
      <c r="EP13" s="421">
        <f t="shared" si="194"/>
        <v>2</v>
      </c>
      <c r="EQ13" s="270">
        <f t="shared" si="195"/>
        <v>1</v>
      </c>
      <c r="ER13" s="427">
        <f t="shared" si="63"/>
        <v>1.3333333333333348E-2</v>
      </c>
      <c r="ES13" s="421">
        <f t="shared" si="196"/>
        <v>2</v>
      </c>
      <c r="ET13" s="270">
        <f t="shared" si="197"/>
        <v>1</v>
      </c>
      <c r="EU13" s="427">
        <f t="shared" si="66"/>
        <v>1.6666666666666684E-2</v>
      </c>
      <c r="EV13" s="421">
        <f t="shared" si="67"/>
        <v>4</v>
      </c>
      <c r="EW13" s="270">
        <f t="shared" si="68"/>
        <v>2</v>
      </c>
      <c r="EX13" s="427">
        <f t="shared" si="69"/>
        <v>1.6666666666666684E-2</v>
      </c>
      <c r="EY13" s="421">
        <f t="shared" si="70"/>
        <v>8</v>
      </c>
      <c r="EZ13" s="270">
        <f t="shared" si="71"/>
        <v>4</v>
      </c>
      <c r="FA13" s="427">
        <f t="shared" si="72"/>
        <v>1.6666666666666684E-2</v>
      </c>
      <c r="FB13" s="421">
        <f t="shared" si="73"/>
        <v>12</v>
      </c>
      <c r="FC13" s="270">
        <f t="shared" si="74"/>
        <v>6</v>
      </c>
      <c r="FD13" s="427">
        <f t="shared" si="75"/>
        <v>1.6666666666666684E-2</v>
      </c>
      <c r="FE13" s="421">
        <f t="shared" si="76"/>
        <v>16</v>
      </c>
      <c r="FF13" s="270">
        <f t="shared" si="77"/>
        <v>8</v>
      </c>
      <c r="FG13" s="427">
        <f t="shared" si="78"/>
        <v>1.6666666666666684E-2</v>
      </c>
      <c r="FH13" s="421">
        <f t="shared" si="79"/>
        <v>20</v>
      </c>
      <c r="FI13" s="270">
        <f t="shared" si="80"/>
        <v>10</v>
      </c>
      <c r="FJ13" s="427">
        <f t="shared" si="81"/>
        <v>1.6666666666666684E-2</v>
      </c>
      <c r="FK13" s="421">
        <f t="shared" si="82"/>
        <v>40</v>
      </c>
      <c r="FL13" s="270">
        <f t="shared" si="83"/>
        <v>20</v>
      </c>
      <c r="FM13" s="427">
        <f t="shared" si="84"/>
        <v>1.6666666666666684E-2</v>
      </c>
      <c r="FN13" s="421">
        <f t="shared" si="85"/>
        <v>80</v>
      </c>
      <c r="FO13" s="270">
        <f t="shared" si="86"/>
        <v>40</v>
      </c>
      <c r="FP13" s="427">
        <f t="shared" si="87"/>
        <v>1.6666666666666684E-2</v>
      </c>
      <c r="FQ13" s="421">
        <f t="shared" si="88"/>
        <v>120</v>
      </c>
      <c r="FR13" s="270">
        <f t="shared" si="89"/>
        <v>60</v>
      </c>
      <c r="FS13" s="427">
        <f t="shared" si="90"/>
        <v>1.6666666666666684E-2</v>
      </c>
      <c r="FT13" s="421">
        <f t="shared" si="91"/>
        <v>160</v>
      </c>
      <c r="FU13" s="270">
        <f t="shared" si="92"/>
        <v>80</v>
      </c>
      <c r="FV13" s="427">
        <f t="shared" si="93"/>
        <v>1.6666666666666684E-2</v>
      </c>
      <c r="FW13" s="421">
        <f t="shared" si="94"/>
        <v>200</v>
      </c>
      <c r="FX13" s="270">
        <f t="shared" si="95"/>
        <v>100</v>
      </c>
      <c r="FY13" s="427">
        <f t="shared" si="96"/>
        <v>1.6666666666666684E-2</v>
      </c>
      <c r="GA13" s="346" t="s">
        <v>1639</v>
      </c>
      <c r="GB13" s="63">
        <f>1/GB12</f>
        <v>1799.9999999999986</v>
      </c>
      <c r="GF13" s="427"/>
      <c r="GG13" s="421">
        <v>1</v>
      </c>
      <c r="GH13" s="270">
        <v>1</v>
      </c>
      <c r="GI13" s="427">
        <f t="shared" si="97"/>
        <v>4.4444444444444481E-7</v>
      </c>
      <c r="GJ13" s="421">
        <f t="shared" si="98"/>
        <v>1</v>
      </c>
      <c r="GK13" s="270">
        <f t="shared" si="99"/>
        <v>1</v>
      </c>
      <c r="GL13" s="427">
        <f t="shared" si="100"/>
        <v>8.8888888888888961E-7</v>
      </c>
      <c r="GM13" s="421">
        <f t="shared" si="101"/>
        <v>1</v>
      </c>
      <c r="GN13" s="270">
        <f t="shared" si="102"/>
        <v>1</v>
      </c>
      <c r="GO13" s="427">
        <f t="shared" si="103"/>
        <v>1.3333333333333345E-6</v>
      </c>
      <c r="GP13" s="421">
        <f t="shared" si="104"/>
        <v>1</v>
      </c>
      <c r="GQ13" s="270">
        <f t="shared" si="105"/>
        <v>1</v>
      </c>
      <c r="GR13" s="427">
        <f t="shared" si="106"/>
        <v>1.7777777777777792E-6</v>
      </c>
      <c r="GS13" s="421">
        <f t="shared" si="107"/>
        <v>1</v>
      </c>
      <c r="GT13" s="270">
        <f t="shared" si="108"/>
        <v>1</v>
      </c>
      <c r="GU13" s="427">
        <f t="shared" si="109"/>
        <v>2.2222222222222242E-6</v>
      </c>
      <c r="GV13" s="421">
        <f t="shared" si="110"/>
        <v>1</v>
      </c>
      <c r="GW13" s="270">
        <f t="shared" si="111"/>
        <v>1</v>
      </c>
      <c r="GX13" s="427">
        <f t="shared" si="112"/>
        <v>4.4444444444444484E-6</v>
      </c>
      <c r="GY13" s="421">
        <f t="shared" si="113"/>
        <v>1</v>
      </c>
      <c r="GZ13" s="270">
        <f t="shared" si="114"/>
        <v>1</v>
      </c>
      <c r="HA13" s="427">
        <f t="shared" si="115"/>
        <v>8.8888888888888968E-6</v>
      </c>
      <c r="HB13" s="421">
        <f t="shared" si="116"/>
        <v>1</v>
      </c>
      <c r="HC13" s="270">
        <f t="shared" si="117"/>
        <v>1</v>
      </c>
      <c r="HD13" s="427">
        <f t="shared" si="118"/>
        <v>1.3333333333333343E-5</v>
      </c>
      <c r="HE13" s="421">
        <f t="shared" si="119"/>
        <v>1</v>
      </c>
      <c r="HF13" s="270">
        <f t="shared" si="120"/>
        <v>1</v>
      </c>
      <c r="HG13" s="427">
        <f t="shared" si="121"/>
        <v>1.7777777777777794E-5</v>
      </c>
      <c r="HH13" s="421">
        <f t="shared" si="122"/>
        <v>1</v>
      </c>
      <c r="HI13" s="270">
        <f t="shared" si="123"/>
        <v>1</v>
      </c>
      <c r="HJ13" s="427">
        <f t="shared" si="124"/>
        <v>2.222222222222224E-5</v>
      </c>
      <c r="HK13" s="421">
        <f t="shared" si="125"/>
        <v>1</v>
      </c>
      <c r="HL13" s="270">
        <f t="shared" si="125"/>
        <v>1</v>
      </c>
      <c r="HM13" s="427">
        <f t="shared" si="126"/>
        <v>4.444444444444448E-5</v>
      </c>
      <c r="HN13" s="421">
        <f t="shared" si="127"/>
        <v>1</v>
      </c>
      <c r="HO13" s="270">
        <f t="shared" si="127"/>
        <v>1</v>
      </c>
      <c r="HP13" s="427">
        <f t="shared" si="128"/>
        <v>8.8888888888888961E-5</v>
      </c>
      <c r="HQ13" s="421">
        <f t="shared" si="129"/>
        <v>1</v>
      </c>
      <c r="HR13" s="270">
        <f t="shared" si="129"/>
        <v>1</v>
      </c>
      <c r="HS13" s="427">
        <f t="shared" si="130"/>
        <v>1.3333333333333345E-4</v>
      </c>
      <c r="HT13" s="421">
        <f t="shared" si="131"/>
        <v>1</v>
      </c>
      <c r="HU13" s="270">
        <f t="shared" si="131"/>
        <v>1</v>
      </c>
      <c r="HV13" s="427">
        <f t="shared" si="132"/>
        <v>1.7777777777777792E-4</v>
      </c>
      <c r="HW13" s="421">
        <f t="shared" si="133"/>
        <v>1</v>
      </c>
      <c r="HX13" s="270">
        <f t="shared" si="133"/>
        <v>1</v>
      </c>
      <c r="HY13" s="427">
        <f t="shared" si="134"/>
        <v>2.222222222222224E-4</v>
      </c>
      <c r="HZ13" s="421">
        <f t="shared" si="135"/>
        <v>1</v>
      </c>
      <c r="IA13" s="270">
        <f t="shared" si="135"/>
        <v>1</v>
      </c>
      <c r="IB13" s="427">
        <f t="shared" si="136"/>
        <v>4.4444444444444479E-4</v>
      </c>
      <c r="IC13" s="421">
        <f t="shared" si="137"/>
        <v>1</v>
      </c>
      <c r="ID13" s="270">
        <f t="shared" si="137"/>
        <v>1</v>
      </c>
      <c r="IE13" s="427">
        <f t="shared" si="138"/>
        <v>8.8888888888888958E-4</v>
      </c>
      <c r="IF13" s="421">
        <f t="shared" si="139"/>
        <v>1</v>
      </c>
      <c r="IG13" s="270">
        <f t="shared" si="139"/>
        <v>1</v>
      </c>
      <c r="IH13" s="427">
        <f t="shared" si="140"/>
        <v>1.3333333333333344E-3</v>
      </c>
      <c r="II13" s="421">
        <f t="shared" si="141"/>
        <v>1</v>
      </c>
      <c r="IJ13" s="270">
        <f t="shared" si="141"/>
        <v>1</v>
      </c>
      <c r="IK13" s="427">
        <f t="shared" si="142"/>
        <v>1.7777777777777792E-3</v>
      </c>
      <c r="IL13" s="421">
        <f t="shared" si="143"/>
        <v>1</v>
      </c>
      <c r="IM13" s="270">
        <f t="shared" si="143"/>
        <v>1</v>
      </c>
      <c r="IN13" s="427">
        <f t="shared" si="144"/>
        <v>2.222222222222224E-3</v>
      </c>
      <c r="IS13" s="447">
        <f t="shared" si="145"/>
        <v>0</v>
      </c>
      <c r="IT13" s="447">
        <f t="shared" si="145"/>
        <v>0</v>
      </c>
      <c r="IU13" s="447">
        <f t="shared" si="145"/>
        <v>0</v>
      </c>
      <c r="IV13" s="447">
        <f t="shared" si="145"/>
        <v>1.6000000000000001E-4</v>
      </c>
      <c r="IW13" s="447">
        <f t="shared" si="145"/>
        <v>2.0000000000000001E-4</v>
      </c>
      <c r="IX13" s="447">
        <f t="shared" si="145"/>
        <v>4.0000000000000002E-4</v>
      </c>
      <c r="IY13" s="447">
        <f t="shared" si="145"/>
        <v>8.0000000000000004E-4</v>
      </c>
      <c r="IZ13" s="447">
        <f t="shared" si="145"/>
        <v>1.1999999999999999E-3</v>
      </c>
      <c r="JA13" s="447">
        <f t="shared" si="145"/>
        <v>1.6000000000000001E-3</v>
      </c>
      <c r="JB13" s="447">
        <f t="shared" si="145"/>
        <v>2E-3</v>
      </c>
      <c r="JC13" s="447">
        <f t="shared" si="146"/>
        <v>4.0000000000000001E-3</v>
      </c>
      <c r="JD13" s="447">
        <f t="shared" si="146"/>
        <v>5.0000000000000001E-3</v>
      </c>
      <c r="JE13" s="447">
        <f t="shared" si="146"/>
        <v>4.9992000000000005E-3</v>
      </c>
      <c r="JF13" s="447">
        <f t="shared" si="146"/>
        <v>4.9984000000000009E-3</v>
      </c>
      <c r="JG13" s="447">
        <f t="shared" si="146"/>
        <v>4.9979999999999998E-3</v>
      </c>
      <c r="JH13" s="447">
        <f t="shared" si="146"/>
        <v>4.9960000000000004E-3</v>
      </c>
      <c r="JI13" s="447">
        <f t="shared" si="146"/>
        <v>4.9920000000000008E-3</v>
      </c>
      <c r="JJ13" s="447">
        <f t="shared" si="146"/>
        <v>4.9920000000000008E-3</v>
      </c>
      <c r="JK13" s="447">
        <f t="shared" si="146"/>
        <v>4.9920000000000008E-3</v>
      </c>
      <c r="JL13" s="447">
        <f t="shared" si="146"/>
        <v>4.9800000000000001E-3</v>
      </c>
      <c r="JN13" s="1">
        <v>8</v>
      </c>
      <c r="JO13" s="6">
        <v>99999</v>
      </c>
      <c r="JQ13" s="455" t="s">
        <v>1640</v>
      </c>
      <c r="JR13" s="456">
        <v>1</v>
      </c>
      <c r="JS13" s="456">
        <v>1000000</v>
      </c>
      <c r="JT13" s="242"/>
      <c r="JU13" s="242">
        <f t="shared" si="198"/>
        <v>80000</v>
      </c>
      <c r="JV13" s="242">
        <f t="shared" si="199"/>
        <v>50000</v>
      </c>
      <c r="JW13" s="242">
        <f t="shared" si="216"/>
        <v>0.4</v>
      </c>
      <c r="JX13" s="242">
        <f t="shared" si="200"/>
        <v>100000</v>
      </c>
      <c r="JY13" s="241">
        <f t="shared" si="217"/>
        <v>0.6</v>
      </c>
      <c r="JZ13" s="241">
        <f t="shared" si="218"/>
        <v>80000</v>
      </c>
      <c r="KA13" s="241" t="str">
        <f t="shared" si="219"/>
        <v>期望符合预期</v>
      </c>
      <c r="KC13" s="242">
        <f t="shared" si="201"/>
        <v>160000</v>
      </c>
      <c r="KD13" s="242">
        <f t="shared" si="202"/>
        <v>150000</v>
      </c>
      <c r="KE13" s="242">
        <f t="shared" si="220"/>
        <v>0.8</v>
      </c>
      <c r="KF13" s="242">
        <f t="shared" si="203"/>
        <v>200000</v>
      </c>
      <c r="KG13" s="241">
        <f t="shared" si="221"/>
        <v>0.2</v>
      </c>
      <c r="KH13" s="241">
        <f t="shared" si="222"/>
        <v>160000</v>
      </c>
      <c r="KI13" s="241" t="str">
        <f t="shared" si="223"/>
        <v>期望符合预期</v>
      </c>
      <c r="KK13" s="242">
        <f t="shared" si="204"/>
        <v>240000</v>
      </c>
      <c r="KL13" s="242">
        <f t="shared" si="205"/>
        <v>200000</v>
      </c>
      <c r="KM13" s="242">
        <f t="shared" si="224"/>
        <v>0.2</v>
      </c>
      <c r="KN13" s="242">
        <f t="shared" si="206"/>
        <v>250000</v>
      </c>
      <c r="KO13" s="241">
        <f t="shared" si="225"/>
        <v>0.8</v>
      </c>
      <c r="KP13" s="241">
        <f t="shared" si="226"/>
        <v>240000</v>
      </c>
      <c r="KQ13" s="241" t="str">
        <f t="shared" si="227"/>
        <v>期望符合预期</v>
      </c>
      <c r="KS13" s="242">
        <f t="shared" si="207"/>
        <v>320000</v>
      </c>
      <c r="KT13" s="242">
        <f t="shared" si="208"/>
        <v>300000</v>
      </c>
      <c r="KU13" s="242">
        <f t="shared" si="228"/>
        <v>0.9</v>
      </c>
      <c r="KV13" s="242">
        <f t="shared" si="209"/>
        <v>500000</v>
      </c>
      <c r="KW13" s="241">
        <f t="shared" si="229"/>
        <v>0.1</v>
      </c>
      <c r="KX13" s="241">
        <f t="shared" si="230"/>
        <v>320000</v>
      </c>
      <c r="KY13" s="241" t="str">
        <f t="shared" si="231"/>
        <v>期望符合预期</v>
      </c>
      <c r="LA13" s="242">
        <f t="shared" si="210"/>
        <v>400000</v>
      </c>
      <c r="LB13" s="242">
        <f t="shared" si="211"/>
        <v>300000</v>
      </c>
      <c r="LC13" s="242">
        <f t="shared" si="232"/>
        <v>0.5</v>
      </c>
      <c r="LD13" s="242">
        <f t="shared" si="212"/>
        <v>500000</v>
      </c>
      <c r="LE13" s="241">
        <f t="shared" si="233"/>
        <v>0.5</v>
      </c>
      <c r="LF13" s="241">
        <f t="shared" si="234"/>
        <v>400000</v>
      </c>
      <c r="LG13" s="241" t="str">
        <f t="shared" si="235"/>
        <v>期望符合预期</v>
      </c>
    </row>
    <row r="14" spans="1:319" s="242" customFormat="1" ht="16.2" x14ac:dyDescent="0.4">
      <c r="A14" s="63">
        <v>10</v>
      </c>
      <c r="B14" s="254" t="s">
        <v>1641</v>
      </c>
      <c r="C14" s="63">
        <v>1</v>
      </c>
      <c r="D14" s="63">
        <v>-1</v>
      </c>
      <c r="E14" s="63">
        <v>8</v>
      </c>
      <c r="F14" s="63">
        <f t="shared" si="16"/>
        <v>8</v>
      </c>
      <c r="G14" s="63">
        <f t="shared" si="167"/>
        <v>8</v>
      </c>
      <c r="H14" s="63"/>
      <c r="I14" s="265"/>
      <c r="J14" s="63">
        <f t="shared" si="17"/>
        <v>0</v>
      </c>
      <c r="K14" s="63">
        <f t="shared" si="18"/>
        <v>0</v>
      </c>
      <c r="L14" s="63">
        <v>0</v>
      </c>
      <c r="M14" s="266">
        <f>ROUND($BX$7/('全局参数|GlobalPar'!$B$19/10000/E14),6)*(7/5)</f>
        <v>5.5551999999999997E-3</v>
      </c>
      <c r="N14" s="267">
        <v>1</v>
      </c>
      <c r="O14" s="268">
        <f>ROUND(IF(N14&lt;&gt;0,$BX$4/('全局参数|GlobalPar'!$B$19/10000/E14)/N14,0),6)</f>
        <v>0</v>
      </c>
      <c r="P14" s="270">
        <f t="shared" si="19"/>
        <v>1.6000000000000001E-3</v>
      </c>
      <c r="Q14" s="285">
        <f t="shared" si="20"/>
        <v>0</v>
      </c>
      <c r="R14" s="282">
        <v>3</v>
      </c>
      <c r="S14" s="283">
        <v>1</v>
      </c>
      <c r="T14" s="284" t="str">
        <f t="shared" si="21"/>
        <v>[[3,1],[3,1],[3,1],[3,1],[3,1],[3,1],[3,1],[3,1],[3,1],[3,1],[6,2],[12,4],[18,6],[24,8],[30,10],[60,20],[120,40],[180,60],[240,80],[300,100]]</v>
      </c>
      <c r="U14" s="284">
        <v>1</v>
      </c>
      <c r="V14" s="284">
        <v>1</v>
      </c>
      <c r="W14" s="284" t="str">
        <f t="shared" si="168"/>
        <v>[[1,1],[1,1],[1,1],[1,1],[1,1],[1,1],[1,1],[1,1],[1,1],[1,1],[1,1],[1,1],[1,1],[1,1],[1,1],[1,1],[1,1],[1,1],[1,1],[1,1]]</v>
      </c>
      <c r="X14" s="63">
        <v>0</v>
      </c>
      <c r="Y14" s="305">
        <v>0</v>
      </c>
      <c r="Z14" s="303">
        <f t="shared" si="22"/>
        <v>0</v>
      </c>
      <c r="AA14" s="303">
        <v>0.06</v>
      </c>
      <c r="AB14" s="303">
        <f t="shared" si="169"/>
        <v>0.1</v>
      </c>
      <c r="AC14" s="304">
        <f t="shared" si="213"/>
        <v>0.05</v>
      </c>
      <c r="AD14" s="304">
        <f t="shared" si="213"/>
        <v>0</v>
      </c>
      <c r="AE14" s="304">
        <f t="shared" si="213"/>
        <v>0</v>
      </c>
      <c r="AF14" s="304">
        <f t="shared" si="213"/>
        <v>0</v>
      </c>
      <c r="AG14" s="63" t="str">
        <f t="shared" si="170"/>
        <v>[[1,5],[2,2],[3,1]]</v>
      </c>
      <c r="AH14" s="256" t="str">
        <f t="shared" si="171"/>
        <v>[0.071111,0.035556,0.023704]</v>
      </c>
      <c r="AI14" s="256">
        <v>0</v>
      </c>
      <c r="AJ14" s="256">
        <v>1</v>
      </c>
      <c r="AK14" s="256">
        <f t="shared" si="23"/>
        <v>1</v>
      </c>
      <c r="AL14" s="256">
        <v>0</v>
      </c>
      <c r="AM14" s="256">
        <f t="shared" si="172"/>
        <v>2.4</v>
      </c>
      <c r="AN14" s="256" t="s">
        <v>2548</v>
      </c>
      <c r="AO14" s="324">
        <v>4</v>
      </c>
      <c r="AP14" s="63">
        <f t="shared" si="24"/>
        <v>-1</v>
      </c>
      <c r="AQ14" s="63">
        <v>0</v>
      </c>
      <c r="AR14"/>
      <c r="AS14" s="39"/>
      <c r="AT14" s="39">
        <v>1</v>
      </c>
      <c r="AU14" s="261">
        <v>0.9</v>
      </c>
      <c r="AV14" s="63">
        <f t="shared" si="173"/>
        <v>0.9</v>
      </c>
      <c r="AW14" s="63">
        <v>0.5</v>
      </c>
      <c r="AX14" s="63">
        <v>1</v>
      </c>
      <c r="AY14" s="63"/>
      <c r="AZ14" s="39"/>
      <c r="BA14" s="39"/>
      <c r="BB14" s="328">
        <v>0.6</v>
      </c>
      <c r="BC14" s="39">
        <v>12</v>
      </c>
      <c r="BD14" s="39">
        <v>0.18</v>
      </c>
      <c r="BE14" s="39">
        <v>1</v>
      </c>
      <c r="BF14" s="39">
        <v>1</v>
      </c>
      <c r="BG14" s="39" t="s">
        <v>1604</v>
      </c>
      <c r="BH14" s="331" t="s">
        <v>1642</v>
      </c>
      <c r="BI14" s="331" t="s">
        <v>1642</v>
      </c>
      <c r="BJ14" s="265" t="s">
        <v>412</v>
      </c>
      <c r="BK14" s="265" t="s">
        <v>280</v>
      </c>
      <c r="BL14" s="265"/>
      <c r="BM14" s="265"/>
      <c r="BN14" s="81">
        <f t="shared" si="25"/>
        <v>6</v>
      </c>
      <c r="BO14" s="343">
        <f t="shared" si="26"/>
        <v>25</v>
      </c>
      <c r="BP14" s="81" t="s">
        <v>1606</v>
      </c>
      <c r="BQ14" s="81">
        <f t="shared" si="27"/>
        <v>0.67200000000000004</v>
      </c>
      <c r="BR14" s="81"/>
      <c r="BS14" s="63">
        <f t="shared" si="28"/>
        <v>8</v>
      </c>
      <c r="BT14" s="63">
        <f t="shared" si="29"/>
        <v>8.48</v>
      </c>
      <c r="BV14" s="63">
        <f t="shared" si="30"/>
        <v>0</v>
      </c>
      <c r="CG14" s="371">
        <f t="shared" si="31"/>
        <v>8.8000000000000007</v>
      </c>
      <c r="CH14" s="372">
        <f t="shared" si="214"/>
        <v>0.1</v>
      </c>
      <c r="CI14" s="373">
        <v>1</v>
      </c>
      <c r="CJ14" s="143">
        <v>5</v>
      </c>
      <c r="CK14" s="373">
        <v>2</v>
      </c>
      <c r="CL14" s="143">
        <v>2</v>
      </c>
      <c r="CM14" s="373">
        <v>3</v>
      </c>
      <c r="CN14" s="143">
        <v>1</v>
      </c>
      <c r="CO14" s="143">
        <f t="shared" si="174"/>
        <v>1.5</v>
      </c>
      <c r="CP14" s="143">
        <f t="shared" si="175"/>
        <v>7.5</v>
      </c>
      <c r="CQ14" s="377">
        <f t="shared" si="176"/>
        <v>7.1110999999999994E-2</v>
      </c>
      <c r="CR14" s="143">
        <f t="shared" si="32"/>
        <v>15</v>
      </c>
      <c r="CS14" s="378">
        <f t="shared" si="177"/>
        <v>3.5555999999999997E-2</v>
      </c>
      <c r="CT14" s="143">
        <f t="shared" si="32"/>
        <v>22.5</v>
      </c>
      <c r="CU14" s="392">
        <f t="shared" si="178"/>
        <v>2.3703999999999999E-2</v>
      </c>
      <c r="CW14" s="242">
        <v>2E-3</v>
      </c>
      <c r="CX14" s="396">
        <f t="shared" si="215"/>
        <v>0</v>
      </c>
      <c r="CY14" s="270">
        <f t="shared" si="33"/>
        <v>0</v>
      </c>
      <c r="CZ14" s="394">
        <f t="shared" si="34"/>
        <v>0</v>
      </c>
      <c r="DA14" s="394">
        <f t="shared" si="35"/>
        <v>0</v>
      </c>
      <c r="DB14" s="395">
        <f t="shared" si="179"/>
        <v>0</v>
      </c>
      <c r="DC14" s="419">
        <f t="shared" si="36"/>
        <v>0</v>
      </c>
      <c r="DD14" s="394">
        <f t="shared" si="37"/>
        <v>0</v>
      </c>
      <c r="DE14" s="420" t="e">
        <f t="shared" si="38"/>
        <v>#DIV/0!</v>
      </c>
      <c r="DF14" s="421">
        <f t="shared" si="180"/>
        <v>3</v>
      </c>
      <c r="DG14" s="422">
        <f t="shared" si="181"/>
        <v>1</v>
      </c>
      <c r="DH14" s="284"/>
      <c r="DI14" s="282">
        <v>3</v>
      </c>
      <c r="DJ14" s="283">
        <v>1</v>
      </c>
      <c r="DL14" s="430"/>
      <c r="DQ14" s="427"/>
      <c r="DR14" s="421">
        <v>3</v>
      </c>
      <c r="DS14" s="270">
        <v>1</v>
      </c>
      <c r="DT14" s="427">
        <f t="shared" si="39"/>
        <v>4.4444444444444495E-4</v>
      </c>
      <c r="DU14" s="421">
        <f t="shared" si="40"/>
        <v>3</v>
      </c>
      <c r="DV14" s="270">
        <f t="shared" si="182"/>
        <v>1</v>
      </c>
      <c r="DW14" s="427">
        <f t="shared" si="42"/>
        <v>8.8888888888888991E-4</v>
      </c>
      <c r="DX14" s="421">
        <f t="shared" si="43"/>
        <v>3</v>
      </c>
      <c r="DY14" s="270">
        <f t="shared" si="183"/>
        <v>1</v>
      </c>
      <c r="DZ14" s="427">
        <f t="shared" si="45"/>
        <v>1.3333333333333348E-3</v>
      </c>
      <c r="EA14" s="421">
        <f t="shared" si="184"/>
        <v>3</v>
      </c>
      <c r="EB14" s="270">
        <f t="shared" si="185"/>
        <v>1</v>
      </c>
      <c r="EC14" s="427">
        <f t="shared" si="48"/>
        <v>1.7777777777777798E-3</v>
      </c>
      <c r="ED14" s="421">
        <f t="shared" si="186"/>
        <v>3</v>
      </c>
      <c r="EE14" s="270">
        <f t="shared" si="187"/>
        <v>1</v>
      </c>
      <c r="EF14" s="427">
        <f t="shared" si="51"/>
        <v>2.2222222222222248E-3</v>
      </c>
      <c r="EG14" s="421">
        <f t="shared" si="188"/>
        <v>3</v>
      </c>
      <c r="EH14" s="270">
        <f t="shared" si="189"/>
        <v>1</v>
      </c>
      <c r="EI14" s="427">
        <f t="shared" si="54"/>
        <v>4.4444444444444496E-3</v>
      </c>
      <c r="EJ14" s="421">
        <f t="shared" si="190"/>
        <v>3</v>
      </c>
      <c r="EK14" s="270">
        <f t="shared" si="191"/>
        <v>1</v>
      </c>
      <c r="EL14" s="427">
        <f t="shared" si="57"/>
        <v>8.8888888888888993E-3</v>
      </c>
      <c r="EM14" s="421">
        <f t="shared" si="192"/>
        <v>3</v>
      </c>
      <c r="EN14" s="270">
        <f t="shared" si="193"/>
        <v>1</v>
      </c>
      <c r="EO14" s="427">
        <f t="shared" si="60"/>
        <v>1.3333333333333348E-2</v>
      </c>
      <c r="EP14" s="421">
        <f t="shared" si="194"/>
        <v>3</v>
      </c>
      <c r="EQ14" s="270">
        <f t="shared" si="195"/>
        <v>1</v>
      </c>
      <c r="ER14" s="427">
        <f t="shared" si="63"/>
        <v>1.7777777777777799E-2</v>
      </c>
      <c r="ES14" s="421">
        <f t="shared" si="196"/>
        <v>3</v>
      </c>
      <c r="ET14" s="270">
        <f t="shared" si="197"/>
        <v>1</v>
      </c>
      <c r="EU14" s="427">
        <f t="shared" si="66"/>
        <v>2.2222222222222244E-2</v>
      </c>
      <c r="EV14" s="421">
        <f t="shared" si="67"/>
        <v>6</v>
      </c>
      <c r="EW14" s="270">
        <f t="shared" si="68"/>
        <v>2</v>
      </c>
      <c r="EX14" s="427">
        <f t="shared" si="69"/>
        <v>2.2222222222222244E-2</v>
      </c>
      <c r="EY14" s="421">
        <f t="shared" si="70"/>
        <v>12</v>
      </c>
      <c r="EZ14" s="270">
        <f t="shared" si="71"/>
        <v>4</v>
      </c>
      <c r="FA14" s="427">
        <f t="shared" si="72"/>
        <v>2.2222222222222244E-2</v>
      </c>
      <c r="FB14" s="421">
        <f t="shared" si="73"/>
        <v>18</v>
      </c>
      <c r="FC14" s="270">
        <f t="shared" si="74"/>
        <v>6</v>
      </c>
      <c r="FD14" s="427">
        <f t="shared" si="75"/>
        <v>2.2222222222222244E-2</v>
      </c>
      <c r="FE14" s="421">
        <f t="shared" si="76"/>
        <v>24</v>
      </c>
      <c r="FF14" s="270">
        <f t="shared" si="77"/>
        <v>8</v>
      </c>
      <c r="FG14" s="427">
        <f t="shared" si="78"/>
        <v>2.2222222222222244E-2</v>
      </c>
      <c r="FH14" s="421">
        <f t="shared" si="79"/>
        <v>30</v>
      </c>
      <c r="FI14" s="270">
        <f t="shared" si="80"/>
        <v>10</v>
      </c>
      <c r="FJ14" s="427">
        <f t="shared" si="81"/>
        <v>2.2222222222222244E-2</v>
      </c>
      <c r="FK14" s="421">
        <f t="shared" si="82"/>
        <v>60</v>
      </c>
      <c r="FL14" s="270">
        <f t="shared" si="83"/>
        <v>20</v>
      </c>
      <c r="FM14" s="427">
        <f t="shared" si="84"/>
        <v>2.2222222222222244E-2</v>
      </c>
      <c r="FN14" s="421">
        <f t="shared" si="85"/>
        <v>120</v>
      </c>
      <c r="FO14" s="270">
        <f t="shared" si="86"/>
        <v>40</v>
      </c>
      <c r="FP14" s="427">
        <f t="shared" si="87"/>
        <v>2.2222222222222244E-2</v>
      </c>
      <c r="FQ14" s="421">
        <f t="shared" si="88"/>
        <v>180</v>
      </c>
      <c r="FR14" s="270">
        <f t="shared" si="89"/>
        <v>60</v>
      </c>
      <c r="FS14" s="427">
        <f t="shared" si="90"/>
        <v>2.2222222222222244E-2</v>
      </c>
      <c r="FT14" s="421">
        <f t="shared" si="91"/>
        <v>240</v>
      </c>
      <c r="FU14" s="270">
        <f t="shared" si="92"/>
        <v>80</v>
      </c>
      <c r="FV14" s="427">
        <f t="shared" si="93"/>
        <v>2.2222222222222244E-2</v>
      </c>
      <c r="FW14" s="421">
        <f t="shared" si="94"/>
        <v>300</v>
      </c>
      <c r="FX14" s="270">
        <f t="shared" si="95"/>
        <v>100</v>
      </c>
      <c r="FY14" s="427">
        <f t="shared" si="96"/>
        <v>2.2222222222222244E-2</v>
      </c>
      <c r="GA14" s="439" t="s">
        <v>134</v>
      </c>
      <c r="GB14" s="63">
        <f>GB13/6/60</f>
        <v>4.9999999999999964</v>
      </c>
      <c r="GF14" s="427"/>
      <c r="GG14" s="421">
        <v>1</v>
      </c>
      <c r="GH14" s="270">
        <v>1</v>
      </c>
      <c r="GI14" s="427">
        <f t="shared" si="97"/>
        <v>8.8888888888888961E-7</v>
      </c>
      <c r="GJ14" s="421">
        <f t="shared" si="98"/>
        <v>1</v>
      </c>
      <c r="GK14" s="270">
        <f t="shared" si="99"/>
        <v>1</v>
      </c>
      <c r="GL14" s="427">
        <f t="shared" si="100"/>
        <v>1.7777777777777792E-6</v>
      </c>
      <c r="GM14" s="421">
        <f t="shared" si="101"/>
        <v>1</v>
      </c>
      <c r="GN14" s="270">
        <f t="shared" si="102"/>
        <v>1</v>
      </c>
      <c r="GO14" s="427">
        <f t="shared" si="103"/>
        <v>2.6666666666666689E-6</v>
      </c>
      <c r="GP14" s="421">
        <f t="shared" si="104"/>
        <v>1</v>
      </c>
      <c r="GQ14" s="270">
        <f t="shared" si="105"/>
        <v>1</v>
      </c>
      <c r="GR14" s="427">
        <f t="shared" si="106"/>
        <v>3.5555555555555585E-6</v>
      </c>
      <c r="GS14" s="421">
        <f t="shared" si="107"/>
        <v>1</v>
      </c>
      <c r="GT14" s="270">
        <f t="shared" si="108"/>
        <v>1</v>
      </c>
      <c r="GU14" s="427">
        <f t="shared" si="109"/>
        <v>4.4444444444444484E-6</v>
      </c>
      <c r="GV14" s="421">
        <f t="shared" si="110"/>
        <v>1</v>
      </c>
      <c r="GW14" s="270">
        <f t="shared" si="111"/>
        <v>1</v>
      </c>
      <c r="GX14" s="427">
        <f t="shared" si="112"/>
        <v>8.8888888888888968E-6</v>
      </c>
      <c r="GY14" s="421">
        <f t="shared" si="113"/>
        <v>1</v>
      </c>
      <c r="GZ14" s="270">
        <f t="shared" si="114"/>
        <v>1</v>
      </c>
      <c r="HA14" s="427">
        <f t="shared" si="115"/>
        <v>1.7777777777777794E-5</v>
      </c>
      <c r="HB14" s="421">
        <f t="shared" si="116"/>
        <v>1</v>
      </c>
      <c r="HC14" s="270">
        <f t="shared" si="117"/>
        <v>1</v>
      </c>
      <c r="HD14" s="427">
        <f t="shared" si="118"/>
        <v>2.6666666666666687E-5</v>
      </c>
      <c r="HE14" s="421">
        <f t="shared" si="119"/>
        <v>1</v>
      </c>
      <c r="HF14" s="270">
        <f t="shared" si="120"/>
        <v>1</v>
      </c>
      <c r="HG14" s="427">
        <f t="shared" si="121"/>
        <v>3.5555555555555587E-5</v>
      </c>
      <c r="HH14" s="421">
        <f t="shared" si="122"/>
        <v>1</v>
      </c>
      <c r="HI14" s="270">
        <f t="shared" si="123"/>
        <v>1</v>
      </c>
      <c r="HJ14" s="427">
        <f t="shared" si="124"/>
        <v>4.444444444444448E-5</v>
      </c>
      <c r="HK14" s="421">
        <f t="shared" si="125"/>
        <v>1</v>
      </c>
      <c r="HL14" s="270">
        <f t="shared" si="125"/>
        <v>1</v>
      </c>
      <c r="HM14" s="427">
        <f t="shared" si="126"/>
        <v>8.8888888888888961E-5</v>
      </c>
      <c r="HN14" s="421">
        <f t="shared" si="127"/>
        <v>1</v>
      </c>
      <c r="HO14" s="270">
        <f t="shared" si="127"/>
        <v>1</v>
      </c>
      <c r="HP14" s="427">
        <f t="shared" si="128"/>
        <v>1.7777777777777792E-4</v>
      </c>
      <c r="HQ14" s="421">
        <f t="shared" si="129"/>
        <v>1</v>
      </c>
      <c r="HR14" s="270">
        <f t="shared" si="129"/>
        <v>1</v>
      </c>
      <c r="HS14" s="427">
        <f t="shared" si="130"/>
        <v>2.666666666666669E-4</v>
      </c>
      <c r="HT14" s="421">
        <f t="shared" si="131"/>
        <v>1</v>
      </c>
      <c r="HU14" s="270">
        <f t="shared" si="131"/>
        <v>1</v>
      </c>
      <c r="HV14" s="427">
        <f t="shared" si="132"/>
        <v>3.5555555555555584E-4</v>
      </c>
      <c r="HW14" s="421">
        <f t="shared" si="133"/>
        <v>1</v>
      </c>
      <c r="HX14" s="270">
        <f t="shared" si="133"/>
        <v>1</v>
      </c>
      <c r="HY14" s="427">
        <f t="shared" si="134"/>
        <v>4.4444444444444479E-4</v>
      </c>
      <c r="HZ14" s="421">
        <f t="shared" si="135"/>
        <v>1</v>
      </c>
      <c r="IA14" s="270">
        <f t="shared" si="135"/>
        <v>1</v>
      </c>
      <c r="IB14" s="427">
        <f t="shared" si="136"/>
        <v>8.8888888888888958E-4</v>
      </c>
      <c r="IC14" s="421">
        <f t="shared" si="137"/>
        <v>1</v>
      </c>
      <c r="ID14" s="270">
        <f t="shared" si="137"/>
        <v>1</v>
      </c>
      <c r="IE14" s="427">
        <f t="shared" si="138"/>
        <v>1.7777777777777792E-3</v>
      </c>
      <c r="IF14" s="421">
        <f t="shared" si="139"/>
        <v>1</v>
      </c>
      <c r="IG14" s="270">
        <f t="shared" si="139"/>
        <v>1</v>
      </c>
      <c r="IH14" s="427">
        <f t="shared" si="140"/>
        <v>2.6666666666666687E-3</v>
      </c>
      <c r="II14" s="421">
        <f t="shared" si="141"/>
        <v>1</v>
      </c>
      <c r="IJ14" s="270">
        <f t="shared" si="141"/>
        <v>1</v>
      </c>
      <c r="IK14" s="427">
        <f t="shared" si="142"/>
        <v>3.5555555555555583E-3</v>
      </c>
      <c r="IL14" s="421">
        <f t="shared" si="143"/>
        <v>1</v>
      </c>
      <c r="IM14" s="270">
        <f t="shared" si="143"/>
        <v>1</v>
      </c>
      <c r="IN14" s="427">
        <f t="shared" si="144"/>
        <v>4.4444444444444479E-3</v>
      </c>
      <c r="IS14" s="447">
        <f t="shared" si="145"/>
        <v>0</v>
      </c>
      <c r="IT14" s="447">
        <f t="shared" si="145"/>
        <v>0</v>
      </c>
      <c r="IU14" s="447">
        <f t="shared" si="145"/>
        <v>0</v>
      </c>
      <c r="IV14" s="447">
        <f t="shared" si="145"/>
        <v>3.2000000000000003E-4</v>
      </c>
      <c r="IW14" s="447">
        <f t="shared" si="145"/>
        <v>4.0000000000000002E-4</v>
      </c>
      <c r="IX14" s="447">
        <f t="shared" si="145"/>
        <v>8.0000000000000004E-4</v>
      </c>
      <c r="IY14" s="447">
        <f t="shared" si="145"/>
        <v>1.6000000000000001E-3</v>
      </c>
      <c r="IZ14" s="447">
        <f t="shared" si="145"/>
        <v>2.3999999999999998E-3</v>
      </c>
      <c r="JA14" s="447">
        <f t="shared" si="145"/>
        <v>3.2000000000000002E-3</v>
      </c>
      <c r="JB14" s="447">
        <f t="shared" si="145"/>
        <v>4.0000000000000001E-3</v>
      </c>
      <c r="JC14" s="447">
        <f t="shared" si="146"/>
        <v>8.0000000000000002E-3</v>
      </c>
      <c r="JD14" s="447">
        <f t="shared" si="146"/>
        <v>0.01</v>
      </c>
      <c r="JE14" s="447">
        <f t="shared" si="146"/>
        <v>9.998400000000001E-3</v>
      </c>
      <c r="JF14" s="447">
        <f t="shared" si="146"/>
        <v>9.9968000000000019E-3</v>
      </c>
      <c r="JG14" s="447">
        <f t="shared" si="146"/>
        <v>9.9959999999999997E-3</v>
      </c>
      <c r="JH14" s="447">
        <f t="shared" si="146"/>
        <v>9.9920000000000009E-3</v>
      </c>
      <c r="JI14" s="447">
        <f t="shared" si="146"/>
        <v>9.9840000000000016E-3</v>
      </c>
      <c r="JJ14" s="447">
        <f t="shared" si="146"/>
        <v>9.9840000000000016E-3</v>
      </c>
      <c r="JK14" s="447">
        <f t="shared" si="146"/>
        <v>9.9840000000000016E-3</v>
      </c>
      <c r="JL14" s="447">
        <f t="shared" si="146"/>
        <v>9.9600000000000001E-3</v>
      </c>
      <c r="JN14" s="1">
        <v>9</v>
      </c>
      <c r="JO14" s="6">
        <v>99999</v>
      </c>
      <c r="JQ14" s="455" t="s">
        <v>1632</v>
      </c>
      <c r="JR14" s="456">
        <v>3</v>
      </c>
      <c r="JS14" s="456">
        <v>1500000</v>
      </c>
      <c r="JU14" s="242">
        <f t="shared" si="198"/>
        <v>160000</v>
      </c>
      <c r="JV14" s="242">
        <f t="shared" si="199"/>
        <v>150000</v>
      </c>
      <c r="JW14" s="242">
        <f t="shared" si="216"/>
        <v>0.8</v>
      </c>
      <c r="JX14" s="242">
        <f t="shared" si="200"/>
        <v>200000</v>
      </c>
      <c r="JY14" s="241">
        <f t="shared" si="217"/>
        <v>0.2</v>
      </c>
      <c r="JZ14" s="241">
        <f t="shared" si="218"/>
        <v>160000</v>
      </c>
      <c r="KA14" s="241" t="str">
        <f t="shared" si="219"/>
        <v>期望符合预期</v>
      </c>
      <c r="KC14" s="242">
        <f t="shared" si="201"/>
        <v>320000</v>
      </c>
      <c r="KD14" s="242">
        <f t="shared" si="202"/>
        <v>300000</v>
      </c>
      <c r="KE14" s="242">
        <f t="shared" si="220"/>
        <v>0.9</v>
      </c>
      <c r="KF14" s="242">
        <f t="shared" si="203"/>
        <v>500000</v>
      </c>
      <c r="KG14" s="241">
        <f t="shared" si="221"/>
        <v>0.1</v>
      </c>
      <c r="KH14" s="241">
        <f t="shared" si="222"/>
        <v>320000</v>
      </c>
      <c r="KI14" s="241" t="str">
        <f t="shared" si="223"/>
        <v>期望符合预期</v>
      </c>
      <c r="KK14" s="242">
        <f t="shared" si="204"/>
        <v>480000</v>
      </c>
      <c r="KL14" s="242">
        <f t="shared" si="205"/>
        <v>300000</v>
      </c>
      <c r="KM14" s="242">
        <f t="shared" si="224"/>
        <v>0.1</v>
      </c>
      <c r="KN14" s="242">
        <f t="shared" si="206"/>
        <v>500000</v>
      </c>
      <c r="KO14" s="241">
        <f t="shared" si="225"/>
        <v>0.9</v>
      </c>
      <c r="KP14" s="241">
        <f t="shared" si="226"/>
        <v>480000</v>
      </c>
      <c r="KQ14" s="241" t="str">
        <f t="shared" si="227"/>
        <v>期望符合预期</v>
      </c>
      <c r="KS14" s="242">
        <f t="shared" si="207"/>
        <v>640000</v>
      </c>
      <c r="KT14" s="242">
        <f t="shared" si="208"/>
        <v>500000</v>
      </c>
      <c r="KU14" s="242">
        <f t="shared" si="228"/>
        <v>0.44</v>
      </c>
      <c r="KV14" s="242">
        <f t="shared" si="209"/>
        <v>750000</v>
      </c>
      <c r="KW14" s="241">
        <f t="shared" si="229"/>
        <v>0.56000000000000005</v>
      </c>
      <c r="KX14" s="241">
        <f t="shared" si="230"/>
        <v>640000</v>
      </c>
      <c r="KY14" s="241" t="str">
        <f t="shared" si="231"/>
        <v>期望符合预期</v>
      </c>
      <c r="LA14" s="242">
        <f t="shared" si="210"/>
        <v>800000</v>
      </c>
      <c r="LB14" s="242">
        <f t="shared" si="211"/>
        <v>750000</v>
      </c>
      <c r="LC14" s="242">
        <f t="shared" si="232"/>
        <v>0.8</v>
      </c>
      <c r="LD14" s="242">
        <f t="shared" si="212"/>
        <v>1000000</v>
      </c>
      <c r="LE14" s="241">
        <f t="shared" si="233"/>
        <v>0.2</v>
      </c>
      <c r="LF14" s="241">
        <f t="shared" si="234"/>
        <v>800000</v>
      </c>
      <c r="LG14" s="241" t="str">
        <f t="shared" si="235"/>
        <v>期望符合预期</v>
      </c>
    </row>
    <row r="15" spans="1:319" ht="16.2" x14ac:dyDescent="0.4">
      <c r="A15" s="63">
        <v>11</v>
      </c>
      <c r="B15" s="254" t="s">
        <v>1643</v>
      </c>
      <c r="C15" s="63">
        <v>1</v>
      </c>
      <c r="D15" s="63">
        <v>-1</v>
      </c>
      <c r="E15" s="63">
        <v>10</v>
      </c>
      <c r="F15" s="63">
        <f t="shared" si="16"/>
        <v>10</v>
      </c>
      <c r="G15" s="63">
        <f t="shared" si="167"/>
        <v>10</v>
      </c>
      <c r="H15" s="63"/>
      <c r="I15" s="265"/>
      <c r="J15" s="63">
        <v>0</v>
      </c>
      <c r="K15" s="63">
        <f t="shared" si="18"/>
        <v>0</v>
      </c>
      <c r="L15" s="63">
        <v>0</v>
      </c>
      <c r="M15" s="266">
        <f>ROUND($BX$7/('全局参数|GlobalPar'!$B$19/10000/E15),6)*(7/5)</f>
        <v>6.9439999999999997E-3</v>
      </c>
      <c r="N15" s="267">
        <v>1</v>
      </c>
      <c r="O15" s="268">
        <f>ROUND(IF(N15&lt;&gt;0,$BX$4/('全局参数|GlobalPar'!$B$19/10000/E15)/N15,0),6)</f>
        <v>0</v>
      </c>
      <c r="P15" s="270">
        <f t="shared" si="19"/>
        <v>2E-3</v>
      </c>
      <c r="Q15" s="285">
        <f t="shared" si="20"/>
        <v>0</v>
      </c>
      <c r="R15" s="282">
        <v>3</v>
      </c>
      <c r="S15" s="283">
        <v>1</v>
      </c>
      <c r="T15" s="284" t="str">
        <f t="shared" si="21"/>
        <v>[[3,1],[3,1],[3,1],[3,1],[3,1],[3,1],[3,1],[3,1],[3,1],[3,1],[6,2],[12,4],[18,6],[24,8],[30,10],[60,20],[120,40],[180,60],[240,80],[300,100]]</v>
      </c>
      <c r="U15" s="284">
        <v>1</v>
      </c>
      <c r="V15" s="284">
        <v>1</v>
      </c>
      <c r="W15" s="284" t="str">
        <f t="shared" si="168"/>
        <v>[[1,1],[1,1],[1,1],[1,1],[1,1],[1,1],[1,1],[1,1],[1,1],[1,1],[1,1],[1,1],[1,1],[1,1],[1,1],[1,1],[1,1],[1,1],[1,1],[1,1]]</v>
      </c>
      <c r="X15" s="63">
        <v>0</v>
      </c>
      <c r="Y15" s="305">
        <v>0</v>
      </c>
      <c r="Z15" s="303">
        <f t="shared" si="22"/>
        <v>0</v>
      </c>
      <c r="AA15" s="303">
        <v>0.06</v>
      </c>
      <c r="AB15" s="303">
        <f t="shared" si="169"/>
        <v>0.1</v>
      </c>
      <c r="AC15" s="304">
        <f t="shared" si="213"/>
        <v>0.05</v>
      </c>
      <c r="AD15" s="304">
        <f t="shared" si="213"/>
        <v>0</v>
      </c>
      <c r="AE15" s="304">
        <f t="shared" si="213"/>
        <v>0</v>
      </c>
      <c r="AF15" s="304">
        <f t="shared" si="213"/>
        <v>0</v>
      </c>
      <c r="AG15" s="63" t="str">
        <f t="shared" si="170"/>
        <v>[[1,5],[2,2],[3,1]]</v>
      </c>
      <c r="AH15" s="256" t="str">
        <f t="shared" si="171"/>
        <v>[0.088889,0.044444,0.02963]</v>
      </c>
      <c r="AI15" s="256">
        <v>0</v>
      </c>
      <c r="AJ15" s="256">
        <v>1</v>
      </c>
      <c r="AK15" s="256">
        <f t="shared" si="23"/>
        <v>1</v>
      </c>
      <c r="AL15" s="256">
        <v>0</v>
      </c>
      <c r="AM15" s="256">
        <f t="shared" si="172"/>
        <v>3</v>
      </c>
      <c r="AN15" s="256" t="s">
        <v>2548</v>
      </c>
      <c r="AO15" s="324">
        <v>5</v>
      </c>
      <c r="AP15" s="63">
        <f t="shared" si="24"/>
        <v>-1</v>
      </c>
      <c r="AQ15" s="63">
        <v>0</v>
      </c>
      <c r="AR15" s="63"/>
      <c r="AS15" s="39"/>
      <c r="AT15" s="39">
        <v>1</v>
      </c>
      <c r="AU15" s="261">
        <v>0.8</v>
      </c>
      <c r="AV15" s="63">
        <f t="shared" si="173"/>
        <v>0.8</v>
      </c>
      <c r="AW15" s="63">
        <v>0.5</v>
      </c>
      <c r="AX15" s="63">
        <v>1</v>
      </c>
      <c r="AY15" s="63"/>
      <c r="AZ15" s="39"/>
      <c r="BA15" s="39"/>
      <c r="BB15" s="328">
        <v>0.6</v>
      </c>
      <c r="BC15" s="39">
        <v>14</v>
      </c>
      <c r="BD15" s="39">
        <v>0.18</v>
      </c>
      <c r="BE15" s="39">
        <v>0.8</v>
      </c>
      <c r="BF15" s="39">
        <v>1</v>
      </c>
      <c r="BG15" s="39" t="s">
        <v>1604</v>
      </c>
      <c r="BH15" s="331" t="s">
        <v>1644</v>
      </c>
      <c r="BI15" s="331" t="s">
        <v>1645</v>
      </c>
      <c r="BJ15" s="265" t="s">
        <v>1646</v>
      </c>
      <c r="BK15" s="265" t="s">
        <v>280</v>
      </c>
      <c r="BL15" s="265"/>
      <c r="BM15" s="265"/>
      <c r="BN15" s="81">
        <f t="shared" si="25"/>
        <v>7.5</v>
      </c>
      <c r="BO15" s="343">
        <f t="shared" si="26"/>
        <v>20</v>
      </c>
      <c r="BP15" s="81" t="s">
        <v>1606</v>
      </c>
      <c r="BQ15" s="81">
        <f t="shared" si="27"/>
        <v>0.59699999999999998</v>
      </c>
      <c r="BR15" s="81"/>
      <c r="BS15" s="63">
        <f t="shared" si="28"/>
        <v>10</v>
      </c>
      <c r="BT15" s="63">
        <f t="shared" si="29"/>
        <v>10.600000000000001</v>
      </c>
      <c r="BV15" s="63">
        <f t="shared" si="30"/>
        <v>0</v>
      </c>
      <c r="CB15"/>
      <c r="CG15" s="371">
        <f t="shared" si="31"/>
        <v>11</v>
      </c>
      <c r="CH15" s="372">
        <f t="shared" si="214"/>
        <v>0.1</v>
      </c>
      <c r="CI15" s="373">
        <v>1</v>
      </c>
      <c r="CJ15" s="143">
        <v>5</v>
      </c>
      <c r="CK15" s="373">
        <v>2</v>
      </c>
      <c r="CL15" s="143">
        <v>2</v>
      </c>
      <c r="CM15" s="373">
        <v>3</v>
      </c>
      <c r="CN15" s="143">
        <v>1</v>
      </c>
      <c r="CO15" s="143">
        <f t="shared" si="174"/>
        <v>1.5</v>
      </c>
      <c r="CP15" s="143">
        <f t="shared" si="175"/>
        <v>7.5</v>
      </c>
      <c r="CQ15" s="377">
        <f t="shared" si="176"/>
        <v>8.8888999999999996E-2</v>
      </c>
      <c r="CR15" s="143">
        <f t="shared" si="32"/>
        <v>15</v>
      </c>
      <c r="CS15" s="378">
        <f t="shared" si="177"/>
        <v>4.4443999999999997E-2</v>
      </c>
      <c r="CT15" s="143">
        <f t="shared" si="32"/>
        <v>22.5</v>
      </c>
      <c r="CU15" s="392">
        <f t="shared" si="178"/>
        <v>2.963E-2</v>
      </c>
      <c r="CW15" s="241">
        <v>2E-3</v>
      </c>
      <c r="CX15" s="396">
        <f t="shared" si="215"/>
        <v>0</v>
      </c>
      <c r="CY15" s="270">
        <f t="shared" si="33"/>
        <v>0</v>
      </c>
      <c r="CZ15" s="394">
        <f t="shared" si="34"/>
        <v>0</v>
      </c>
      <c r="DA15" s="394">
        <f t="shared" si="35"/>
        <v>0</v>
      </c>
      <c r="DB15" s="395">
        <f t="shared" si="179"/>
        <v>0</v>
      </c>
      <c r="DC15" s="419">
        <f t="shared" si="36"/>
        <v>0</v>
      </c>
      <c r="DD15" s="394">
        <f t="shared" si="37"/>
        <v>0</v>
      </c>
      <c r="DE15" s="420" t="e">
        <f t="shared" si="38"/>
        <v>#DIV/0!</v>
      </c>
      <c r="DF15" s="421">
        <f t="shared" si="180"/>
        <v>3</v>
      </c>
      <c r="DG15" s="422">
        <f t="shared" si="181"/>
        <v>1</v>
      </c>
      <c r="DH15" s="284"/>
      <c r="DI15" s="282">
        <v>3</v>
      </c>
      <c r="DJ15" s="283">
        <v>1</v>
      </c>
      <c r="DL15" s="431"/>
      <c r="DM15" s="242"/>
      <c r="DQ15" s="427"/>
      <c r="DR15" s="421">
        <v>3</v>
      </c>
      <c r="DS15" s="270">
        <v>1</v>
      </c>
      <c r="DT15" s="427">
        <f t="shared" si="39"/>
        <v>5.5555555555555621E-4</v>
      </c>
      <c r="DU15" s="421">
        <f t="shared" si="40"/>
        <v>3</v>
      </c>
      <c r="DV15" s="270">
        <f t="shared" si="182"/>
        <v>1</v>
      </c>
      <c r="DW15" s="427">
        <f t="shared" si="42"/>
        <v>1.1111111111111124E-3</v>
      </c>
      <c r="DX15" s="421">
        <f t="shared" si="43"/>
        <v>3</v>
      </c>
      <c r="DY15" s="270">
        <f t="shared" si="183"/>
        <v>1</v>
      </c>
      <c r="DZ15" s="427">
        <f t="shared" si="45"/>
        <v>1.6666666666666685E-3</v>
      </c>
      <c r="EA15" s="421">
        <f t="shared" si="184"/>
        <v>3</v>
      </c>
      <c r="EB15" s="270">
        <f t="shared" si="185"/>
        <v>1</v>
      </c>
      <c r="EC15" s="427">
        <f t="shared" si="48"/>
        <v>2.2222222222222248E-3</v>
      </c>
      <c r="ED15" s="421">
        <f t="shared" si="186"/>
        <v>3</v>
      </c>
      <c r="EE15" s="270">
        <f t="shared" si="187"/>
        <v>1</v>
      </c>
      <c r="EF15" s="427">
        <f t="shared" si="51"/>
        <v>2.7777777777777805E-3</v>
      </c>
      <c r="EG15" s="421">
        <f t="shared" si="188"/>
        <v>3</v>
      </c>
      <c r="EH15" s="270">
        <f t="shared" si="189"/>
        <v>1</v>
      </c>
      <c r="EI15" s="427">
        <f t="shared" si="54"/>
        <v>5.555555555555561E-3</v>
      </c>
      <c r="EJ15" s="421">
        <f t="shared" si="190"/>
        <v>3</v>
      </c>
      <c r="EK15" s="270">
        <f t="shared" si="191"/>
        <v>1</v>
      </c>
      <c r="EL15" s="427">
        <f t="shared" si="57"/>
        <v>1.1111111111111122E-2</v>
      </c>
      <c r="EM15" s="421">
        <f t="shared" si="192"/>
        <v>3</v>
      </c>
      <c r="EN15" s="270">
        <f t="shared" si="193"/>
        <v>1</v>
      </c>
      <c r="EO15" s="427">
        <f t="shared" si="60"/>
        <v>1.6666666666666684E-2</v>
      </c>
      <c r="EP15" s="421">
        <f t="shared" si="194"/>
        <v>3</v>
      </c>
      <c r="EQ15" s="270">
        <f t="shared" si="195"/>
        <v>1</v>
      </c>
      <c r="ER15" s="427">
        <f t="shared" si="63"/>
        <v>2.2222222222222244E-2</v>
      </c>
      <c r="ES15" s="421">
        <f t="shared" si="196"/>
        <v>3</v>
      </c>
      <c r="ET15" s="270">
        <f t="shared" si="197"/>
        <v>1</v>
      </c>
      <c r="EU15" s="427">
        <f t="shared" si="66"/>
        <v>2.7777777777777807E-2</v>
      </c>
      <c r="EV15" s="421">
        <f t="shared" si="67"/>
        <v>6</v>
      </c>
      <c r="EW15" s="270">
        <f t="shared" si="68"/>
        <v>2</v>
      </c>
      <c r="EX15" s="427">
        <f t="shared" si="69"/>
        <v>2.7777777777777807E-2</v>
      </c>
      <c r="EY15" s="421">
        <f t="shared" si="70"/>
        <v>12</v>
      </c>
      <c r="EZ15" s="270">
        <f t="shared" si="71"/>
        <v>4</v>
      </c>
      <c r="FA15" s="427">
        <f t="shared" si="72"/>
        <v>2.7777777777777807E-2</v>
      </c>
      <c r="FB15" s="421">
        <f t="shared" si="73"/>
        <v>18</v>
      </c>
      <c r="FC15" s="270">
        <f t="shared" si="74"/>
        <v>6</v>
      </c>
      <c r="FD15" s="427">
        <f t="shared" si="75"/>
        <v>2.7777777777777807E-2</v>
      </c>
      <c r="FE15" s="421">
        <f t="shared" si="76"/>
        <v>24</v>
      </c>
      <c r="FF15" s="270">
        <f t="shared" si="77"/>
        <v>8</v>
      </c>
      <c r="FG15" s="427">
        <f t="shared" si="78"/>
        <v>2.7777777777777807E-2</v>
      </c>
      <c r="FH15" s="421">
        <f t="shared" si="79"/>
        <v>30</v>
      </c>
      <c r="FI15" s="270">
        <f t="shared" si="80"/>
        <v>10</v>
      </c>
      <c r="FJ15" s="427">
        <f t="shared" si="81"/>
        <v>2.7777777777777807E-2</v>
      </c>
      <c r="FK15" s="421">
        <f t="shared" si="82"/>
        <v>60</v>
      </c>
      <c r="FL15" s="270">
        <f t="shared" si="83"/>
        <v>20</v>
      </c>
      <c r="FM15" s="427">
        <f t="shared" si="84"/>
        <v>2.7777777777777807E-2</v>
      </c>
      <c r="FN15" s="421">
        <f t="shared" si="85"/>
        <v>120</v>
      </c>
      <c r="FO15" s="270">
        <f t="shared" si="86"/>
        <v>40</v>
      </c>
      <c r="FP15" s="427">
        <f t="shared" si="87"/>
        <v>2.7777777777777807E-2</v>
      </c>
      <c r="FQ15" s="421">
        <f t="shared" si="88"/>
        <v>180</v>
      </c>
      <c r="FR15" s="270">
        <f t="shared" si="89"/>
        <v>60</v>
      </c>
      <c r="FS15" s="427">
        <f t="shared" si="90"/>
        <v>2.7777777777777807E-2</v>
      </c>
      <c r="FT15" s="421">
        <f t="shared" si="91"/>
        <v>240</v>
      </c>
      <c r="FU15" s="270">
        <f t="shared" si="92"/>
        <v>80</v>
      </c>
      <c r="FV15" s="427">
        <f t="shared" si="93"/>
        <v>2.7777777777777807E-2</v>
      </c>
      <c r="FW15" s="421">
        <f t="shared" si="94"/>
        <v>300</v>
      </c>
      <c r="FX15" s="270">
        <f t="shared" si="95"/>
        <v>100</v>
      </c>
      <c r="FY15" s="427">
        <f t="shared" si="96"/>
        <v>2.7777777777777807E-2</v>
      </c>
      <c r="GA15" s="431"/>
      <c r="GB15" s="242"/>
      <c r="GF15" s="427"/>
      <c r="GG15" s="421">
        <v>1</v>
      </c>
      <c r="GH15" s="270">
        <v>1</v>
      </c>
      <c r="GI15" s="427">
        <f t="shared" si="97"/>
        <v>1.1111111111111121E-6</v>
      </c>
      <c r="GJ15" s="421">
        <f t="shared" si="98"/>
        <v>1</v>
      </c>
      <c r="GK15" s="270">
        <f t="shared" si="99"/>
        <v>1</v>
      </c>
      <c r="GL15" s="427">
        <f t="shared" si="100"/>
        <v>2.2222222222222242E-6</v>
      </c>
      <c r="GM15" s="421">
        <f t="shared" si="101"/>
        <v>1</v>
      </c>
      <c r="GN15" s="270">
        <f t="shared" si="102"/>
        <v>1</v>
      </c>
      <c r="GO15" s="427">
        <f t="shared" si="103"/>
        <v>3.3333333333333359E-6</v>
      </c>
      <c r="GP15" s="421">
        <f t="shared" si="104"/>
        <v>1</v>
      </c>
      <c r="GQ15" s="270">
        <f t="shared" si="105"/>
        <v>1</v>
      </c>
      <c r="GR15" s="427">
        <f t="shared" si="106"/>
        <v>4.4444444444444484E-6</v>
      </c>
      <c r="GS15" s="421">
        <f t="shared" si="107"/>
        <v>1</v>
      </c>
      <c r="GT15" s="270">
        <f t="shared" si="108"/>
        <v>1</v>
      </c>
      <c r="GU15" s="427">
        <f t="shared" si="109"/>
        <v>5.5555555555555601E-6</v>
      </c>
      <c r="GV15" s="421">
        <f t="shared" si="110"/>
        <v>1</v>
      </c>
      <c r="GW15" s="270">
        <f t="shared" si="111"/>
        <v>1</v>
      </c>
      <c r="GX15" s="427">
        <f t="shared" si="112"/>
        <v>1.111111111111112E-5</v>
      </c>
      <c r="GY15" s="421">
        <f t="shared" si="113"/>
        <v>1</v>
      </c>
      <c r="GZ15" s="270">
        <f t="shared" si="114"/>
        <v>1</v>
      </c>
      <c r="HA15" s="427">
        <f t="shared" si="115"/>
        <v>2.222222222222224E-5</v>
      </c>
      <c r="HB15" s="421">
        <f t="shared" si="116"/>
        <v>1</v>
      </c>
      <c r="HC15" s="270">
        <f t="shared" si="117"/>
        <v>1</v>
      </c>
      <c r="HD15" s="427">
        <f t="shared" si="118"/>
        <v>3.3333333333333362E-5</v>
      </c>
      <c r="HE15" s="421">
        <f t="shared" si="119"/>
        <v>1</v>
      </c>
      <c r="HF15" s="270">
        <f t="shared" si="120"/>
        <v>1</v>
      </c>
      <c r="HG15" s="427">
        <f t="shared" si="121"/>
        <v>4.444444444444448E-5</v>
      </c>
      <c r="HH15" s="421">
        <f t="shared" si="122"/>
        <v>1</v>
      </c>
      <c r="HI15" s="270">
        <f t="shared" si="123"/>
        <v>1</v>
      </c>
      <c r="HJ15" s="427">
        <f t="shared" si="124"/>
        <v>5.5555555555555599E-5</v>
      </c>
      <c r="HK15" s="421">
        <f t="shared" si="125"/>
        <v>1</v>
      </c>
      <c r="HL15" s="270">
        <f t="shared" si="125"/>
        <v>1</v>
      </c>
      <c r="HM15" s="427">
        <f t="shared" si="126"/>
        <v>1.111111111111112E-4</v>
      </c>
      <c r="HN15" s="421">
        <f t="shared" si="127"/>
        <v>1</v>
      </c>
      <c r="HO15" s="270">
        <f t="shared" si="127"/>
        <v>1</v>
      </c>
      <c r="HP15" s="427">
        <f t="shared" si="128"/>
        <v>2.222222222222224E-4</v>
      </c>
      <c r="HQ15" s="421">
        <f t="shared" si="129"/>
        <v>1</v>
      </c>
      <c r="HR15" s="270">
        <f t="shared" si="129"/>
        <v>1</v>
      </c>
      <c r="HS15" s="427">
        <f t="shared" si="130"/>
        <v>3.3333333333333359E-4</v>
      </c>
      <c r="HT15" s="421">
        <f t="shared" si="131"/>
        <v>1</v>
      </c>
      <c r="HU15" s="270">
        <f t="shared" si="131"/>
        <v>1</v>
      </c>
      <c r="HV15" s="427">
        <f t="shared" si="132"/>
        <v>4.4444444444444479E-4</v>
      </c>
      <c r="HW15" s="421">
        <f t="shared" si="133"/>
        <v>1</v>
      </c>
      <c r="HX15" s="270">
        <f t="shared" si="133"/>
        <v>1</v>
      </c>
      <c r="HY15" s="427">
        <f t="shared" si="134"/>
        <v>5.5555555555555599E-4</v>
      </c>
      <c r="HZ15" s="421">
        <f t="shared" si="135"/>
        <v>1</v>
      </c>
      <c r="IA15" s="270">
        <f t="shared" si="135"/>
        <v>1</v>
      </c>
      <c r="IB15" s="427">
        <f t="shared" si="136"/>
        <v>1.111111111111112E-3</v>
      </c>
      <c r="IC15" s="421">
        <f t="shared" si="137"/>
        <v>1</v>
      </c>
      <c r="ID15" s="270">
        <f t="shared" si="137"/>
        <v>1</v>
      </c>
      <c r="IE15" s="427">
        <f t="shared" si="138"/>
        <v>2.222222222222224E-3</v>
      </c>
      <c r="IF15" s="421">
        <f t="shared" si="139"/>
        <v>1</v>
      </c>
      <c r="IG15" s="270">
        <f t="shared" si="139"/>
        <v>1</v>
      </c>
      <c r="IH15" s="427">
        <f t="shared" si="140"/>
        <v>3.3333333333333361E-3</v>
      </c>
      <c r="II15" s="421">
        <f t="shared" si="141"/>
        <v>1</v>
      </c>
      <c r="IJ15" s="270">
        <f t="shared" si="141"/>
        <v>1</v>
      </c>
      <c r="IK15" s="427">
        <f t="shared" si="142"/>
        <v>4.4444444444444479E-3</v>
      </c>
      <c r="IL15" s="421">
        <f t="shared" si="143"/>
        <v>1</v>
      </c>
      <c r="IM15" s="270">
        <f t="shared" si="143"/>
        <v>1</v>
      </c>
      <c r="IN15" s="427">
        <f t="shared" si="144"/>
        <v>5.5555555555555601E-3</v>
      </c>
      <c r="IS15" s="447">
        <f t="shared" ref="IS15:JB24" si="236">$AC15*IS$4/10000*$E15*IS$3/$JA$1</f>
        <v>0</v>
      </c>
      <c r="IT15" s="447">
        <f t="shared" si="236"/>
        <v>0</v>
      </c>
      <c r="IU15" s="447">
        <f t="shared" si="236"/>
        <v>0</v>
      </c>
      <c r="IV15" s="447">
        <f t="shared" si="236"/>
        <v>4.0000000000000002E-4</v>
      </c>
      <c r="IW15" s="447">
        <f t="shared" si="236"/>
        <v>5.0000000000000001E-4</v>
      </c>
      <c r="IX15" s="447">
        <f t="shared" si="236"/>
        <v>1E-3</v>
      </c>
      <c r="IY15" s="447">
        <f t="shared" si="236"/>
        <v>2E-3</v>
      </c>
      <c r="IZ15" s="447">
        <f t="shared" si="236"/>
        <v>3.0000000000000001E-3</v>
      </c>
      <c r="JA15" s="447">
        <f t="shared" si="236"/>
        <v>4.0000000000000001E-3</v>
      </c>
      <c r="JB15" s="447">
        <f t="shared" si="236"/>
        <v>5.0000000000000001E-3</v>
      </c>
      <c r="JC15" s="447">
        <f t="shared" ref="JC15:JL24" si="237">$AC15*JC$4/10000*$E15*JC$3/$JA$1</f>
        <v>0.01</v>
      </c>
      <c r="JD15" s="447">
        <f t="shared" si="237"/>
        <v>1.2500000000000001E-2</v>
      </c>
      <c r="JE15" s="447">
        <f t="shared" si="237"/>
        <v>1.2498000000000002E-2</v>
      </c>
      <c r="JF15" s="447">
        <f t="shared" si="237"/>
        <v>1.2496000000000002E-2</v>
      </c>
      <c r="JG15" s="447">
        <f t="shared" si="237"/>
        <v>1.2494999999999999E-2</v>
      </c>
      <c r="JH15" s="447">
        <f t="shared" si="237"/>
        <v>1.2489999999999999E-2</v>
      </c>
      <c r="JI15" s="447">
        <f t="shared" si="237"/>
        <v>1.2480000000000002E-2</v>
      </c>
      <c r="JJ15" s="447">
        <f t="shared" si="237"/>
        <v>1.2480000000000002E-2</v>
      </c>
      <c r="JK15" s="447">
        <f t="shared" si="237"/>
        <v>1.2480000000000002E-2</v>
      </c>
      <c r="JL15" s="447">
        <f t="shared" si="237"/>
        <v>1.2449999999999999E-2</v>
      </c>
      <c r="JN15" s="1">
        <v>10</v>
      </c>
      <c r="JO15" s="6">
        <v>99999</v>
      </c>
      <c r="JQ15" s="455" t="s">
        <v>1647</v>
      </c>
      <c r="JR15" s="456">
        <v>1</v>
      </c>
      <c r="JS15" s="456">
        <v>2000000</v>
      </c>
      <c r="JT15" s="242"/>
      <c r="JU15" s="242">
        <f t="shared" si="198"/>
        <v>200000</v>
      </c>
      <c r="JV15" s="242">
        <f t="shared" si="199"/>
        <v>200000</v>
      </c>
      <c r="JW15" s="242">
        <f t="shared" si="216"/>
        <v>1</v>
      </c>
      <c r="JX15" s="242">
        <f t="shared" si="200"/>
        <v>250000</v>
      </c>
      <c r="JY15" s="241">
        <f t="shared" si="217"/>
        <v>0</v>
      </c>
      <c r="JZ15" s="241">
        <f t="shared" si="218"/>
        <v>200000</v>
      </c>
      <c r="KA15" s="241" t="str">
        <f t="shared" si="219"/>
        <v>期望符合预期</v>
      </c>
      <c r="KC15" s="242">
        <f t="shared" si="201"/>
        <v>400000</v>
      </c>
      <c r="KD15" s="242">
        <f t="shared" si="202"/>
        <v>300000</v>
      </c>
      <c r="KE15" s="242">
        <f t="shared" si="220"/>
        <v>0.5</v>
      </c>
      <c r="KF15" s="242">
        <f t="shared" si="203"/>
        <v>500000</v>
      </c>
      <c r="KG15" s="241">
        <f t="shared" si="221"/>
        <v>0.5</v>
      </c>
      <c r="KH15" s="241">
        <f t="shared" si="222"/>
        <v>400000</v>
      </c>
      <c r="KI15" s="241" t="str">
        <f t="shared" si="223"/>
        <v>期望符合预期</v>
      </c>
      <c r="KK15" s="242">
        <f t="shared" si="204"/>
        <v>600000</v>
      </c>
      <c r="KL15" s="242">
        <f t="shared" si="205"/>
        <v>500000</v>
      </c>
      <c r="KM15" s="242">
        <f t="shared" si="224"/>
        <v>0.6</v>
      </c>
      <c r="KN15" s="242">
        <f t="shared" si="206"/>
        <v>750000</v>
      </c>
      <c r="KO15" s="241">
        <f t="shared" si="225"/>
        <v>0.4</v>
      </c>
      <c r="KP15" s="241">
        <f t="shared" si="226"/>
        <v>600000</v>
      </c>
      <c r="KQ15" s="241" t="str">
        <f t="shared" si="227"/>
        <v>期望符合预期</v>
      </c>
      <c r="KS15" s="242">
        <f t="shared" si="207"/>
        <v>800000</v>
      </c>
      <c r="KT15" s="242">
        <f t="shared" si="208"/>
        <v>750000</v>
      </c>
      <c r="KU15" s="242">
        <f t="shared" si="228"/>
        <v>0.8</v>
      </c>
      <c r="KV15" s="242">
        <f t="shared" si="209"/>
        <v>1000000</v>
      </c>
      <c r="KW15" s="241">
        <f t="shared" si="229"/>
        <v>0.2</v>
      </c>
      <c r="KX15" s="241">
        <f t="shared" si="230"/>
        <v>800000</v>
      </c>
      <c r="KY15" s="241" t="str">
        <f t="shared" si="231"/>
        <v>期望符合预期</v>
      </c>
      <c r="LA15" s="242">
        <f t="shared" si="210"/>
        <v>1000000</v>
      </c>
      <c r="LB15" s="242">
        <f t="shared" si="211"/>
        <v>1000000</v>
      </c>
      <c r="LC15" s="242">
        <f t="shared" si="232"/>
        <v>1</v>
      </c>
      <c r="LD15" s="242">
        <f t="shared" si="212"/>
        <v>1500000</v>
      </c>
      <c r="LE15" s="241">
        <f t="shared" si="233"/>
        <v>0</v>
      </c>
      <c r="LF15" s="241">
        <f t="shared" si="234"/>
        <v>1000000</v>
      </c>
      <c r="LG15" s="241" t="str">
        <f t="shared" si="235"/>
        <v>期望符合预期</v>
      </c>
    </row>
    <row r="16" spans="1:319" ht="16.2" x14ac:dyDescent="0.4">
      <c r="A16" s="63">
        <v>12</v>
      </c>
      <c r="B16" s="254" t="s">
        <v>1648</v>
      </c>
      <c r="C16" s="63">
        <v>1</v>
      </c>
      <c r="D16" s="63">
        <v>-1</v>
      </c>
      <c r="E16" s="63">
        <v>12</v>
      </c>
      <c r="F16" s="63">
        <f t="shared" si="16"/>
        <v>12</v>
      </c>
      <c r="G16" s="63">
        <f t="shared" si="167"/>
        <v>12</v>
      </c>
      <c r="H16" s="63"/>
      <c r="I16" s="265"/>
      <c r="J16" s="63">
        <f t="shared" ref="J16:J31" si="238">ROUND(IF(C16=4,E16*10%,0),0)</f>
        <v>0</v>
      </c>
      <c r="K16" s="63">
        <f t="shared" si="18"/>
        <v>0</v>
      </c>
      <c r="L16" s="63">
        <v>0</v>
      </c>
      <c r="M16" s="266">
        <f>ROUND($BX$7/('全局参数|GlobalPar'!$B$19/10000/E16),6)*(7/5)</f>
        <v>8.3327999999999996E-3</v>
      </c>
      <c r="N16" s="267">
        <v>1</v>
      </c>
      <c r="O16" s="268">
        <f>ROUND(IF(N16&lt;&gt;0,$BX$4/('全局参数|GlobalPar'!$B$19/10000/E16)/N16,0),6)</f>
        <v>0</v>
      </c>
      <c r="P16" s="270">
        <f t="shared" si="19"/>
        <v>2.3999999999999998E-3</v>
      </c>
      <c r="Q16" s="285">
        <f t="shared" si="20"/>
        <v>0</v>
      </c>
      <c r="R16" s="282">
        <v>3</v>
      </c>
      <c r="S16" s="283">
        <v>1</v>
      </c>
      <c r="T16" s="284" t="str">
        <f t="shared" si="21"/>
        <v>[[3,1],[3,1],[3,1],[3,1],[3,1],[3,1],[3,1],[3,1],[3,1],[3,1],[6,2],[12,4],[18,6],[24,8],[30,10],[60,20],[120,40],[180,60],[240,80],[300,100]]</v>
      </c>
      <c r="U16" s="284">
        <v>1</v>
      </c>
      <c r="V16" s="284">
        <v>1</v>
      </c>
      <c r="W16" s="284" t="str">
        <f t="shared" si="168"/>
        <v>[[1,1],[1,1],[1,1],[1,1],[1,1],[1,1],[1,1],[1,1],[1,1],[1,1],[1,1],[1,1],[1,1],[1,1],[1,1],[1,1],[1,1],[1,1],[1,1],[1,1]]</v>
      </c>
      <c r="X16" s="63">
        <v>0</v>
      </c>
      <c r="Y16" s="305">
        <v>0</v>
      </c>
      <c r="Z16" s="303">
        <f t="shared" si="22"/>
        <v>0</v>
      </c>
      <c r="AA16" s="303">
        <v>0.06</v>
      </c>
      <c r="AB16" s="303">
        <f t="shared" si="169"/>
        <v>0.1</v>
      </c>
      <c r="AC16" s="304">
        <f t="shared" si="213"/>
        <v>0.05</v>
      </c>
      <c r="AD16" s="304">
        <f t="shared" si="213"/>
        <v>0</v>
      </c>
      <c r="AE16" s="304">
        <f t="shared" si="213"/>
        <v>0</v>
      </c>
      <c r="AF16" s="304">
        <f t="shared" si="213"/>
        <v>0</v>
      </c>
      <c r="AG16" s="63" t="str">
        <f t="shared" si="170"/>
        <v>[[1,5],[2,2],[3,1]]</v>
      </c>
      <c r="AH16" s="256" t="str">
        <f t="shared" si="171"/>
        <v>[0.106667,0.053333,0.035556]</v>
      </c>
      <c r="AI16" s="256">
        <v>0</v>
      </c>
      <c r="AJ16" s="256">
        <v>1</v>
      </c>
      <c r="AK16" s="256">
        <f t="shared" si="23"/>
        <v>1</v>
      </c>
      <c r="AL16" s="256">
        <v>0</v>
      </c>
      <c r="AM16" s="256">
        <f t="shared" si="172"/>
        <v>3.6</v>
      </c>
      <c r="AN16" s="256" t="s">
        <v>2548</v>
      </c>
      <c r="AO16" s="324">
        <v>5</v>
      </c>
      <c r="AP16" s="63">
        <f t="shared" si="24"/>
        <v>-1</v>
      </c>
      <c r="AQ16" s="63">
        <v>0</v>
      </c>
      <c r="AR16" s="39"/>
      <c r="AS16" s="39"/>
      <c r="AT16" s="39">
        <v>1</v>
      </c>
      <c r="AU16" s="261">
        <v>0.85</v>
      </c>
      <c r="AV16" s="63">
        <f t="shared" si="173"/>
        <v>0.85</v>
      </c>
      <c r="AW16" s="63">
        <v>0.5</v>
      </c>
      <c r="AX16" s="63">
        <v>1</v>
      </c>
      <c r="AY16" s="63"/>
      <c r="AZ16" s="39"/>
      <c r="BA16" s="39"/>
      <c r="BB16" s="328">
        <v>0.6</v>
      </c>
      <c r="BC16" s="39">
        <v>16</v>
      </c>
      <c r="BD16" s="39">
        <v>0.18</v>
      </c>
      <c r="BE16" s="39">
        <v>1</v>
      </c>
      <c r="BF16" s="39">
        <v>1</v>
      </c>
      <c r="BG16" s="39" t="s">
        <v>1604</v>
      </c>
      <c r="BH16" s="331" t="s">
        <v>1649</v>
      </c>
      <c r="BI16" s="331" t="s">
        <v>1649</v>
      </c>
      <c r="BJ16" s="265" t="s">
        <v>394</v>
      </c>
      <c r="BK16" s="265" t="s">
        <v>280</v>
      </c>
      <c r="BL16" s="265"/>
      <c r="BM16" s="265"/>
      <c r="BN16" s="81">
        <f t="shared" si="25"/>
        <v>9</v>
      </c>
      <c r="BO16" s="343">
        <f t="shared" si="26"/>
        <v>16.666666666666668</v>
      </c>
      <c r="BP16" s="81" t="s">
        <v>1606</v>
      </c>
      <c r="BQ16" s="81">
        <f t="shared" si="27"/>
        <v>0.63400000000000001</v>
      </c>
      <c r="BR16" s="81"/>
      <c r="BS16" s="63">
        <f t="shared" si="28"/>
        <v>12</v>
      </c>
      <c r="BT16" s="63">
        <f t="shared" si="29"/>
        <v>12.72</v>
      </c>
      <c r="BV16" s="63">
        <f t="shared" si="30"/>
        <v>0</v>
      </c>
      <c r="CG16" s="371">
        <f t="shared" si="31"/>
        <v>13.200000000000001</v>
      </c>
      <c r="CH16" s="372">
        <f t="shared" si="214"/>
        <v>0.1</v>
      </c>
      <c r="CI16" s="373">
        <v>1</v>
      </c>
      <c r="CJ16" s="143">
        <v>5</v>
      </c>
      <c r="CK16" s="373">
        <v>2</v>
      </c>
      <c r="CL16" s="143">
        <v>2</v>
      </c>
      <c r="CM16" s="373">
        <v>3</v>
      </c>
      <c r="CN16" s="143">
        <v>1</v>
      </c>
      <c r="CO16" s="143">
        <f t="shared" si="174"/>
        <v>1.5</v>
      </c>
      <c r="CP16" s="143">
        <f t="shared" si="175"/>
        <v>7.5</v>
      </c>
      <c r="CQ16" s="377">
        <f t="shared" si="176"/>
        <v>0.106667</v>
      </c>
      <c r="CR16" s="143">
        <f t="shared" si="32"/>
        <v>15</v>
      </c>
      <c r="CS16" s="378">
        <f t="shared" si="177"/>
        <v>5.3332999999999998E-2</v>
      </c>
      <c r="CT16" s="143">
        <f t="shared" si="32"/>
        <v>22.5</v>
      </c>
      <c r="CU16" s="392">
        <f t="shared" si="178"/>
        <v>3.5555999999999997E-2</v>
      </c>
      <c r="CW16" s="241">
        <v>2E-3</v>
      </c>
      <c r="CX16" s="396">
        <f t="shared" si="215"/>
        <v>0</v>
      </c>
      <c r="CY16" s="270">
        <f t="shared" si="33"/>
        <v>0</v>
      </c>
      <c r="CZ16" s="394">
        <f t="shared" si="34"/>
        <v>0</v>
      </c>
      <c r="DA16" s="394">
        <f t="shared" si="35"/>
        <v>0</v>
      </c>
      <c r="DB16" s="395">
        <f t="shared" si="179"/>
        <v>0</v>
      </c>
      <c r="DC16" s="419">
        <f t="shared" si="36"/>
        <v>0</v>
      </c>
      <c r="DD16" s="394">
        <f t="shared" si="37"/>
        <v>0</v>
      </c>
      <c r="DE16" s="420" t="e">
        <f t="shared" si="38"/>
        <v>#DIV/0!</v>
      </c>
      <c r="DF16" s="421">
        <f t="shared" si="180"/>
        <v>3</v>
      </c>
      <c r="DG16" s="422">
        <f t="shared" si="181"/>
        <v>1</v>
      </c>
      <c r="DH16" s="284"/>
      <c r="DI16" s="282">
        <v>3</v>
      </c>
      <c r="DJ16" s="283">
        <v>1</v>
      </c>
      <c r="DL16" s="431"/>
      <c r="DM16" s="242"/>
      <c r="DQ16" s="427"/>
      <c r="DR16" s="421">
        <v>3</v>
      </c>
      <c r="DS16" s="270">
        <v>1</v>
      </c>
      <c r="DT16" s="427">
        <f t="shared" si="39"/>
        <v>6.666666666666674E-4</v>
      </c>
      <c r="DU16" s="421">
        <f t="shared" si="40"/>
        <v>3</v>
      </c>
      <c r="DV16" s="270">
        <f t="shared" si="182"/>
        <v>1</v>
      </c>
      <c r="DW16" s="427">
        <f t="shared" si="42"/>
        <v>1.3333333333333348E-3</v>
      </c>
      <c r="DX16" s="421">
        <f t="shared" si="43"/>
        <v>3</v>
      </c>
      <c r="DY16" s="270">
        <f t="shared" si="183"/>
        <v>1</v>
      </c>
      <c r="DZ16" s="427">
        <f t="shared" si="45"/>
        <v>2.0000000000000022E-3</v>
      </c>
      <c r="EA16" s="421">
        <f t="shared" si="184"/>
        <v>3</v>
      </c>
      <c r="EB16" s="270">
        <f t="shared" si="185"/>
        <v>1</v>
      </c>
      <c r="EC16" s="427">
        <f t="shared" si="48"/>
        <v>2.6666666666666696E-3</v>
      </c>
      <c r="ED16" s="421">
        <f t="shared" si="186"/>
        <v>3</v>
      </c>
      <c r="EE16" s="270">
        <f t="shared" si="187"/>
        <v>1</v>
      </c>
      <c r="EF16" s="427">
        <f t="shared" si="51"/>
        <v>3.333333333333337E-3</v>
      </c>
      <c r="EG16" s="421">
        <f t="shared" si="188"/>
        <v>3</v>
      </c>
      <c r="EH16" s="270">
        <f t="shared" si="189"/>
        <v>1</v>
      </c>
      <c r="EI16" s="427">
        <f t="shared" si="54"/>
        <v>6.666666666666674E-3</v>
      </c>
      <c r="EJ16" s="421">
        <f t="shared" si="190"/>
        <v>3</v>
      </c>
      <c r="EK16" s="270">
        <f t="shared" si="191"/>
        <v>1</v>
      </c>
      <c r="EL16" s="427">
        <f t="shared" si="57"/>
        <v>1.3333333333333348E-2</v>
      </c>
      <c r="EM16" s="421">
        <f t="shared" si="192"/>
        <v>3</v>
      </c>
      <c r="EN16" s="270">
        <f t="shared" si="193"/>
        <v>1</v>
      </c>
      <c r="EO16" s="427">
        <f t="shared" si="60"/>
        <v>2.0000000000000021E-2</v>
      </c>
      <c r="EP16" s="421">
        <f t="shared" si="194"/>
        <v>3</v>
      </c>
      <c r="EQ16" s="270">
        <f t="shared" si="195"/>
        <v>1</v>
      </c>
      <c r="ER16" s="427">
        <f t="shared" si="63"/>
        <v>2.6666666666666696E-2</v>
      </c>
      <c r="ES16" s="421">
        <f t="shared" si="196"/>
        <v>3</v>
      </c>
      <c r="ET16" s="270">
        <f t="shared" si="197"/>
        <v>1</v>
      </c>
      <c r="EU16" s="427">
        <f t="shared" si="66"/>
        <v>3.3333333333333368E-2</v>
      </c>
      <c r="EV16" s="421">
        <f t="shared" si="67"/>
        <v>6</v>
      </c>
      <c r="EW16" s="270">
        <f t="shared" si="68"/>
        <v>2</v>
      </c>
      <c r="EX16" s="427">
        <f t="shared" si="69"/>
        <v>3.3333333333333368E-2</v>
      </c>
      <c r="EY16" s="421">
        <f t="shared" si="70"/>
        <v>12</v>
      </c>
      <c r="EZ16" s="270">
        <f t="shared" si="71"/>
        <v>4</v>
      </c>
      <c r="FA16" s="427">
        <f t="shared" si="72"/>
        <v>3.3333333333333368E-2</v>
      </c>
      <c r="FB16" s="421">
        <f t="shared" si="73"/>
        <v>18</v>
      </c>
      <c r="FC16" s="270">
        <f t="shared" si="74"/>
        <v>6</v>
      </c>
      <c r="FD16" s="427">
        <f t="shared" si="75"/>
        <v>3.3333333333333368E-2</v>
      </c>
      <c r="FE16" s="421">
        <f t="shared" si="76"/>
        <v>24</v>
      </c>
      <c r="FF16" s="270">
        <f t="shared" si="77"/>
        <v>8</v>
      </c>
      <c r="FG16" s="427">
        <f t="shared" si="78"/>
        <v>3.3333333333333368E-2</v>
      </c>
      <c r="FH16" s="421">
        <f t="shared" si="79"/>
        <v>30</v>
      </c>
      <c r="FI16" s="270">
        <f t="shared" si="80"/>
        <v>10</v>
      </c>
      <c r="FJ16" s="427">
        <f t="shared" si="81"/>
        <v>3.3333333333333368E-2</v>
      </c>
      <c r="FK16" s="421">
        <f t="shared" si="82"/>
        <v>60</v>
      </c>
      <c r="FL16" s="270">
        <f t="shared" si="83"/>
        <v>20</v>
      </c>
      <c r="FM16" s="427">
        <f t="shared" si="84"/>
        <v>3.3333333333333368E-2</v>
      </c>
      <c r="FN16" s="421">
        <f t="shared" si="85"/>
        <v>120</v>
      </c>
      <c r="FO16" s="270">
        <f t="shared" si="86"/>
        <v>40</v>
      </c>
      <c r="FP16" s="427">
        <f t="shared" si="87"/>
        <v>3.3333333333333368E-2</v>
      </c>
      <c r="FQ16" s="421">
        <f t="shared" si="88"/>
        <v>180</v>
      </c>
      <c r="FR16" s="270">
        <f t="shared" si="89"/>
        <v>60</v>
      </c>
      <c r="FS16" s="427">
        <f t="shared" si="90"/>
        <v>3.3333333333333368E-2</v>
      </c>
      <c r="FT16" s="421">
        <f t="shared" si="91"/>
        <v>240</v>
      </c>
      <c r="FU16" s="270">
        <f t="shared" si="92"/>
        <v>80</v>
      </c>
      <c r="FV16" s="427">
        <f t="shared" si="93"/>
        <v>3.3333333333333368E-2</v>
      </c>
      <c r="FW16" s="421">
        <f t="shared" si="94"/>
        <v>300</v>
      </c>
      <c r="FX16" s="270">
        <f t="shared" si="95"/>
        <v>100</v>
      </c>
      <c r="FY16" s="427">
        <f t="shared" si="96"/>
        <v>3.3333333333333368E-2</v>
      </c>
      <c r="GA16" s="431"/>
      <c r="GB16" s="242"/>
      <c r="GF16" s="427"/>
      <c r="GG16" s="421">
        <v>1</v>
      </c>
      <c r="GH16" s="270">
        <v>1</v>
      </c>
      <c r="GI16" s="427">
        <f t="shared" si="97"/>
        <v>1.3333333333333345E-6</v>
      </c>
      <c r="GJ16" s="421">
        <f t="shared" si="98"/>
        <v>1</v>
      </c>
      <c r="GK16" s="270">
        <f t="shared" si="99"/>
        <v>1</v>
      </c>
      <c r="GL16" s="427">
        <f t="shared" si="100"/>
        <v>2.6666666666666689E-6</v>
      </c>
      <c r="GM16" s="421">
        <f t="shared" si="101"/>
        <v>1</v>
      </c>
      <c r="GN16" s="270">
        <f t="shared" si="102"/>
        <v>1</v>
      </c>
      <c r="GO16" s="427">
        <f t="shared" si="103"/>
        <v>4.0000000000000032E-6</v>
      </c>
      <c r="GP16" s="421">
        <f t="shared" si="104"/>
        <v>1</v>
      </c>
      <c r="GQ16" s="270">
        <f t="shared" si="105"/>
        <v>1</v>
      </c>
      <c r="GR16" s="427">
        <f t="shared" si="106"/>
        <v>5.3333333333333379E-6</v>
      </c>
      <c r="GS16" s="421">
        <f t="shared" si="107"/>
        <v>1</v>
      </c>
      <c r="GT16" s="270">
        <f t="shared" si="108"/>
        <v>1</v>
      </c>
      <c r="GU16" s="427">
        <f t="shared" si="109"/>
        <v>6.6666666666666717E-6</v>
      </c>
      <c r="GV16" s="421">
        <f t="shared" si="110"/>
        <v>1</v>
      </c>
      <c r="GW16" s="270">
        <f t="shared" si="111"/>
        <v>1</v>
      </c>
      <c r="GX16" s="427">
        <f t="shared" si="112"/>
        <v>1.3333333333333343E-5</v>
      </c>
      <c r="GY16" s="421">
        <f t="shared" si="113"/>
        <v>1</v>
      </c>
      <c r="GZ16" s="270">
        <f t="shared" si="114"/>
        <v>1</v>
      </c>
      <c r="HA16" s="427">
        <f t="shared" si="115"/>
        <v>2.6666666666666687E-5</v>
      </c>
      <c r="HB16" s="421">
        <f t="shared" si="116"/>
        <v>1</v>
      </c>
      <c r="HC16" s="270">
        <f t="shared" si="117"/>
        <v>1</v>
      </c>
      <c r="HD16" s="427">
        <f t="shared" si="118"/>
        <v>4.000000000000003E-5</v>
      </c>
      <c r="HE16" s="421">
        <f t="shared" si="119"/>
        <v>1</v>
      </c>
      <c r="HF16" s="270">
        <f t="shared" si="120"/>
        <v>1</v>
      </c>
      <c r="HG16" s="427">
        <f t="shared" si="121"/>
        <v>5.3333333333333374E-5</v>
      </c>
      <c r="HH16" s="421">
        <f t="shared" si="122"/>
        <v>1</v>
      </c>
      <c r="HI16" s="270">
        <f t="shared" si="123"/>
        <v>1</v>
      </c>
      <c r="HJ16" s="427">
        <f t="shared" si="124"/>
        <v>6.6666666666666724E-5</v>
      </c>
      <c r="HK16" s="421">
        <f t="shared" si="125"/>
        <v>1</v>
      </c>
      <c r="HL16" s="270">
        <f t="shared" si="125"/>
        <v>1</v>
      </c>
      <c r="HM16" s="427">
        <f t="shared" si="126"/>
        <v>1.3333333333333345E-4</v>
      </c>
      <c r="HN16" s="421">
        <f t="shared" si="127"/>
        <v>1</v>
      </c>
      <c r="HO16" s="270">
        <f t="shared" si="127"/>
        <v>1</v>
      </c>
      <c r="HP16" s="427">
        <f t="shared" si="128"/>
        <v>2.666666666666669E-4</v>
      </c>
      <c r="HQ16" s="421">
        <f t="shared" si="129"/>
        <v>1</v>
      </c>
      <c r="HR16" s="270">
        <f t="shared" si="129"/>
        <v>1</v>
      </c>
      <c r="HS16" s="427">
        <f t="shared" si="130"/>
        <v>4.0000000000000034E-4</v>
      </c>
      <c r="HT16" s="421">
        <f t="shared" si="131"/>
        <v>1</v>
      </c>
      <c r="HU16" s="270">
        <f t="shared" si="131"/>
        <v>1</v>
      </c>
      <c r="HV16" s="427">
        <f t="shared" si="132"/>
        <v>5.3333333333333379E-4</v>
      </c>
      <c r="HW16" s="421">
        <f t="shared" si="133"/>
        <v>1</v>
      </c>
      <c r="HX16" s="270">
        <f t="shared" si="133"/>
        <v>1</v>
      </c>
      <c r="HY16" s="427">
        <f t="shared" si="134"/>
        <v>6.6666666666666719E-4</v>
      </c>
      <c r="HZ16" s="421">
        <f t="shared" si="135"/>
        <v>1</v>
      </c>
      <c r="IA16" s="270">
        <f t="shared" si="135"/>
        <v>1</v>
      </c>
      <c r="IB16" s="427">
        <f t="shared" si="136"/>
        <v>1.3333333333333344E-3</v>
      </c>
      <c r="IC16" s="421">
        <f t="shared" si="137"/>
        <v>1</v>
      </c>
      <c r="ID16" s="270">
        <f t="shared" si="137"/>
        <v>1</v>
      </c>
      <c r="IE16" s="427">
        <f t="shared" si="138"/>
        <v>2.6666666666666687E-3</v>
      </c>
      <c r="IF16" s="421">
        <f t="shared" si="139"/>
        <v>1</v>
      </c>
      <c r="IG16" s="270">
        <f t="shared" si="139"/>
        <v>1</v>
      </c>
      <c r="IH16" s="427">
        <f t="shared" si="140"/>
        <v>4.0000000000000036E-3</v>
      </c>
      <c r="II16" s="421">
        <f t="shared" si="141"/>
        <v>1</v>
      </c>
      <c r="IJ16" s="270">
        <f t="shared" si="141"/>
        <v>1</v>
      </c>
      <c r="IK16" s="427">
        <f t="shared" si="142"/>
        <v>5.3333333333333375E-3</v>
      </c>
      <c r="IL16" s="421">
        <f t="shared" si="143"/>
        <v>1</v>
      </c>
      <c r="IM16" s="270">
        <f t="shared" si="143"/>
        <v>1</v>
      </c>
      <c r="IN16" s="427">
        <f t="shared" si="144"/>
        <v>6.6666666666666723E-3</v>
      </c>
      <c r="IS16" s="447">
        <f t="shared" si="236"/>
        <v>0</v>
      </c>
      <c r="IT16" s="447">
        <f t="shared" si="236"/>
        <v>0</v>
      </c>
      <c r="IU16" s="447">
        <f t="shared" si="236"/>
        <v>0</v>
      </c>
      <c r="IV16" s="447">
        <f t="shared" si="236"/>
        <v>4.8000000000000007E-4</v>
      </c>
      <c r="IW16" s="447">
        <f t="shared" si="236"/>
        <v>6.0000000000000006E-4</v>
      </c>
      <c r="IX16" s="447">
        <f t="shared" si="236"/>
        <v>1.2000000000000001E-3</v>
      </c>
      <c r="IY16" s="447">
        <f t="shared" si="236"/>
        <v>2.4000000000000002E-3</v>
      </c>
      <c r="IZ16" s="447">
        <f t="shared" si="236"/>
        <v>3.6000000000000008E-3</v>
      </c>
      <c r="JA16" s="447">
        <f t="shared" si="236"/>
        <v>4.8000000000000004E-3</v>
      </c>
      <c r="JB16" s="447">
        <f t="shared" si="236"/>
        <v>6.000000000000001E-3</v>
      </c>
      <c r="JC16" s="447">
        <f t="shared" si="237"/>
        <v>1.2000000000000002E-2</v>
      </c>
      <c r="JD16" s="447">
        <f t="shared" si="237"/>
        <v>1.4999999999999999E-2</v>
      </c>
      <c r="JE16" s="447">
        <f t="shared" si="237"/>
        <v>1.49976E-2</v>
      </c>
      <c r="JF16" s="447">
        <f t="shared" si="237"/>
        <v>1.4995200000000002E-2</v>
      </c>
      <c r="JG16" s="447">
        <f t="shared" si="237"/>
        <v>1.4994E-2</v>
      </c>
      <c r="JH16" s="447">
        <f t="shared" si="237"/>
        <v>1.4988000000000001E-2</v>
      </c>
      <c r="JI16" s="447">
        <f t="shared" si="237"/>
        <v>1.4976000000000001E-2</v>
      </c>
      <c r="JJ16" s="447">
        <f t="shared" si="237"/>
        <v>1.4976000000000001E-2</v>
      </c>
      <c r="JK16" s="447">
        <f t="shared" si="237"/>
        <v>1.4976000000000001E-2</v>
      </c>
      <c r="JL16" s="447">
        <f t="shared" si="237"/>
        <v>1.494E-2</v>
      </c>
      <c r="JQ16" s="455" t="s">
        <v>1640</v>
      </c>
      <c r="JR16" s="456">
        <v>3</v>
      </c>
      <c r="JS16" s="456">
        <v>3000000</v>
      </c>
      <c r="JT16" s="242"/>
      <c r="JU16" s="242">
        <f t="shared" si="198"/>
        <v>240000</v>
      </c>
      <c r="JV16" s="242">
        <f t="shared" si="199"/>
        <v>200000</v>
      </c>
      <c r="JW16" s="242">
        <f t="shared" si="216"/>
        <v>0.2</v>
      </c>
      <c r="JX16" s="242">
        <f t="shared" si="200"/>
        <v>250000</v>
      </c>
      <c r="JY16" s="241">
        <f t="shared" si="217"/>
        <v>0.8</v>
      </c>
      <c r="JZ16" s="241">
        <f t="shared" si="218"/>
        <v>240000</v>
      </c>
      <c r="KA16" s="241" t="str">
        <f t="shared" si="219"/>
        <v>期望符合预期</v>
      </c>
      <c r="KC16" s="242">
        <f t="shared" si="201"/>
        <v>480000</v>
      </c>
      <c r="KD16" s="242">
        <f t="shared" si="202"/>
        <v>300000</v>
      </c>
      <c r="KE16" s="242">
        <f t="shared" si="220"/>
        <v>0.1</v>
      </c>
      <c r="KF16" s="242">
        <f t="shared" si="203"/>
        <v>500000</v>
      </c>
      <c r="KG16" s="241">
        <f t="shared" si="221"/>
        <v>0.9</v>
      </c>
      <c r="KH16" s="241">
        <f t="shared" si="222"/>
        <v>480000</v>
      </c>
      <c r="KI16" s="241" t="str">
        <f t="shared" si="223"/>
        <v>期望符合预期</v>
      </c>
      <c r="KK16" s="242">
        <f t="shared" si="204"/>
        <v>720000</v>
      </c>
      <c r="KL16" s="242">
        <f t="shared" si="205"/>
        <v>500000</v>
      </c>
      <c r="KM16" s="242">
        <f t="shared" si="224"/>
        <v>0.12</v>
      </c>
      <c r="KN16" s="242">
        <f t="shared" si="206"/>
        <v>750000</v>
      </c>
      <c r="KO16" s="241">
        <f t="shared" si="225"/>
        <v>0.88</v>
      </c>
      <c r="KP16" s="241">
        <f t="shared" si="226"/>
        <v>720000</v>
      </c>
      <c r="KQ16" s="241" t="str">
        <f t="shared" si="227"/>
        <v>期望符合预期</v>
      </c>
      <c r="KS16" s="242">
        <f t="shared" si="207"/>
        <v>960000</v>
      </c>
      <c r="KT16" s="242">
        <f t="shared" si="208"/>
        <v>750000</v>
      </c>
      <c r="KU16" s="242">
        <f t="shared" si="228"/>
        <v>0.16</v>
      </c>
      <c r="KV16" s="242">
        <f t="shared" si="209"/>
        <v>1000000</v>
      </c>
      <c r="KW16" s="241">
        <f t="shared" si="229"/>
        <v>0.84</v>
      </c>
      <c r="KX16" s="241">
        <f t="shared" si="230"/>
        <v>960000</v>
      </c>
      <c r="KY16" s="241" t="str">
        <f t="shared" si="231"/>
        <v>期望符合预期</v>
      </c>
      <c r="LA16" s="242">
        <f t="shared" si="210"/>
        <v>1200000</v>
      </c>
      <c r="LB16" s="242">
        <f t="shared" si="211"/>
        <v>1000000</v>
      </c>
      <c r="LC16" s="242">
        <f t="shared" si="232"/>
        <v>0.6</v>
      </c>
      <c r="LD16" s="242">
        <f t="shared" si="212"/>
        <v>1500000</v>
      </c>
      <c r="LE16" s="241">
        <f t="shared" si="233"/>
        <v>0.4</v>
      </c>
      <c r="LF16" s="241">
        <f t="shared" si="234"/>
        <v>1200000</v>
      </c>
      <c r="LG16" s="241" t="str">
        <f t="shared" si="235"/>
        <v>期望符合预期</v>
      </c>
    </row>
    <row r="17" spans="1:319" ht="16.2" x14ac:dyDescent="0.4">
      <c r="A17" s="63">
        <v>13</v>
      </c>
      <c r="B17" s="254" t="s">
        <v>1650</v>
      </c>
      <c r="C17" s="63">
        <v>2</v>
      </c>
      <c r="D17" s="63">
        <v>-1</v>
      </c>
      <c r="E17" s="63">
        <v>12</v>
      </c>
      <c r="F17" s="63">
        <f t="shared" si="16"/>
        <v>12</v>
      </c>
      <c r="G17" s="63">
        <f t="shared" si="167"/>
        <v>12</v>
      </c>
      <c r="H17" s="63"/>
      <c r="I17" s="265"/>
      <c r="J17" s="63">
        <f t="shared" si="238"/>
        <v>0</v>
      </c>
      <c r="K17" s="63">
        <f t="shared" si="18"/>
        <v>0</v>
      </c>
      <c r="L17" s="63">
        <v>0</v>
      </c>
      <c r="M17" s="266">
        <f>ROUND($BX$7/('全局参数|GlobalPar'!$B$19/10000/E17),6)*(7/5)</f>
        <v>8.3327999999999996E-3</v>
      </c>
      <c r="N17" s="267">
        <v>1</v>
      </c>
      <c r="O17" s="268">
        <f>ROUND(IF(N17&lt;&gt;0,$BX$4/('全局参数|GlobalPar'!$B$19/10000/E17)/N17,0),6)</f>
        <v>0</v>
      </c>
      <c r="P17" s="270">
        <f t="shared" si="19"/>
        <v>2.3999999999999998E-3</v>
      </c>
      <c r="Q17" s="285">
        <f t="shared" si="20"/>
        <v>0</v>
      </c>
      <c r="R17" s="282">
        <v>4</v>
      </c>
      <c r="S17" s="283">
        <v>1</v>
      </c>
      <c r="T17" s="284" t="str">
        <f t="shared" si="21"/>
        <v>[[4,1],[4,1],[4,1],[4,1],[4,1],[4,1],[4,1],[4,1],[4,1],[4,1],[8,2],[16,4],[24,6],[32,8],[40,10],[80,20],[160,40],[240,60],[320,80],[400,100]]</v>
      </c>
      <c r="U17" s="284">
        <v>1</v>
      </c>
      <c r="V17" s="284">
        <v>1</v>
      </c>
      <c r="W17" s="284" t="str">
        <f t="shared" si="168"/>
        <v>[[1,1],[1,1],[1,1],[1,1],[1,1],[1,1],[1,1],[1,1],[1,1],[1,1],[1,1],[1,1],[1,1],[1,1],[1,1],[1,1],[1,1],[1,1],[1,1],[1,1]]</v>
      </c>
      <c r="X17" s="63">
        <v>0</v>
      </c>
      <c r="Y17" s="305">
        <v>0</v>
      </c>
      <c r="Z17" s="303">
        <f t="shared" si="22"/>
        <v>0</v>
      </c>
      <c r="AA17" s="303">
        <v>0.06</v>
      </c>
      <c r="AB17" s="303">
        <f t="shared" si="169"/>
        <v>0.1</v>
      </c>
      <c r="AC17" s="304">
        <f t="shared" si="213"/>
        <v>0.05</v>
      </c>
      <c r="AD17" s="304">
        <f t="shared" si="213"/>
        <v>0</v>
      </c>
      <c r="AE17" s="304">
        <f t="shared" si="213"/>
        <v>0</v>
      </c>
      <c r="AF17" s="304">
        <f t="shared" si="213"/>
        <v>0</v>
      </c>
      <c r="AG17" s="63" t="str">
        <f t="shared" si="170"/>
        <v>[[1,5],[2,2],[3,1]]</v>
      </c>
      <c r="AH17" s="256" t="str">
        <f t="shared" si="171"/>
        <v>[0.106667,0.053333,0.035556]</v>
      </c>
      <c r="AI17" s="256">
        <v>0</v>
      </c>
      <c r="AJ17" s="256">
        <v>1</v>
      </c>
      <c r="AK17" s="256">
        <f t="shared" si="23"/>
        <v>1</v>
      </c>
      <c r="AL17" s="256">
        <v>0</v>
      </c>
      <c r="AM17" s="256">
        <f t="shared" si="172"/>
        <v>3.6</v>
      </c>
      <c r="AN17" s="256" t="s">
        <v>2548</v>
      </c>
      <c r="AO17" s="324">
        <v>5</v>
      </c>
      <c r="AP17" s="63">
        <f t="shared" si="24"/>
        <v>-1</v>
      </c>
      <c r="AQ17" s="63">
        <v>0</v>
      </c>
      <c r="AR17" s="63"/>
      <c r="AS17" s="39">
        <v>3</v>
      </c>
      <c r="AT17" s="39">
        <v>1</v>
      </c>
      <c r="AU17" s="261">
        <v>0.9</v>
      </c>
      <c r="AV17" s="63">
        <f t="shared" ref="AV17:AV18" si="239">AU17/0.67</f>
        <v>1.3432835820895521</v>
      </c>
      <c r="AW17" s="63">
        <v>1</v>
      </c>
      <c r="AX17" s="63">
        <v>1</v>
      </c>
      <c r="AY17" s="63"/>
      <c r="AZ17" s="39"/>
      <c r="BA17" s="39"/>
      <c r="BB17" s="328">
        <v>0.6</v>
      </c>
      <c r="BC17" s="39">
        <v>18</v>
      </c>
      <c r="BD17" s="39">
        <v>0.18</v>
      </c>
      <c r="BE17" s="39">
        <v>1</v>
      </c>
      <c r="BF17" s="39">
        <v>1</v>
      </c>
      <c r="BG17" s="39" t="s">
        <v>1604</v>
      </c>
      <c r="BH17" s="331" t="s">
        <v>1651</v>
      </c>
      <c r="BI17" s="331" t="s">
        <v>1652</v>
      </c>
      <c r="BJ17" s="265" t="s">
        <v>1653</v>
      </c>
      <c r="BK17" s="265" t="s">
        <v>280</v>
      </c>
      <c r="BL17" s="265"/>
      <c r="BM17" s="265"/>
      <c r="BN17" s="81">
        <f t="shared" si="25"/>
        <v>9</v>
      </c>
      <c r="BO17" s="343">
        <f t="shared" si="26"/>
        <v>16.666666666666668</v>
      </c>
      <c r="BP17" s="81" t="s">
        <v>1606</v>
      </c>
      <c r="BQ17" s="81">
        <f t="shared" si="27"/>
        <v>0.67200000000000004</v>
      </c>
      <c r="BR17" s="81"/>
      <c r="BS17" s="63">
        <f t="shared" si="28"/>
        <v>12</v>
      </c>
      <c r="BT17" s="63">
        <f t="shared" si="29"/>
        <v>12.72</v>
      </c>
      <c r="BV17" s="63">
        <f t="shared" si="30"/>
        <v>0</v>
      </c>
      <c r="CG17" s="371">
        <f t="shared" si="31"/>
        <v>13.200000000000001</v>
      </c>
      <c r="CH17" s="372">
        <f t="shared" si="214"/>
        <v>0.1</v>
      </c>
      <c r="CI17" s="373">
        <v>1</v>
      </c>
      <c r="CJ17" s="143">
        <v>5</v>
      </c>
      <c r="CK17" s="373">
        <v>2</v>
      </c>
      <c r="CL17" s="143">
        <v>2</v>
      </c>
      <c r="CM17" s="373">
        <v>3</v>
      </c>
      <c r="CN17" s="143">
        <v>1</v>
      </c>
      <c r="CO17" s="143">
        <f t="shared" si="174"/>
        <v>1.5</v>
      </c>
      <c r="CP17" s="143">
        <f t="shared" si="175"/>
        <v>7.5</v>
      </c>
      <c r="CQ17" s="377">
        <f t="shared" si="176"/>
        <v>0.106667</v>
      </c>
      <c r="CR17" s="143">
        <f t="shared" si="32"/>
        <v>15</v>
      </c>
      <c r="CS17" s="378">
        <f t="shared" si="177"/>
        <v>5.3332999999999998E-2</v>
      </c>
      <c r="CT17" s="143">
        <f t="shared" si="32"/>
        <v>22.5</v>
      </c>
      <c r="CU17" s="392">
        <f t="shared" si="178"/>
        <v>3.5555999999999997E-2</v>
      </c>
      <c r="CW17" s="241">
        <v>2E-3</v>
      </c>
      <c r="CX17" s="396">
        <f t="shared" si="215"/>
        <v>0</v>
      </c>
      <c r="CY17" s="270">
        <f t="shared" si="33"/>
        <v>0</v>
      </c>
      <c r="CZ17" s="394">
        <f t="shared" si="34"/>
        <v>0</v>
      </c>
      <c r="DA17" s="394">
        <f t="shared" si="35"/>
        <v>0</v>
      </c>
      <c r="DB17" s="395">
        <f t="shared" si="179"/>
        <v>0</v>
      </c>
      <c r="DC17" s="419">
        <f t="shared" si="36"/>
        <v>0</v>
      </c>
      <c r="DD17" s="394">
        <f t="shared" si="37"/>
        <v>0</v>
      </c>
      <c r="DE17" s="420" t="e">
        <f t="shared" si="38"/>
        <v>#DIV/0!</v>
      </c>
      <c r="DF17" s="421">
        <f t="shared" si="180"/>
        <v>4</v>
      </c>
      <c r="DG17" s="422">
        <f t="shared" si="181"/>
        <v>1</v>
      </c>
      <c r="DH17" s="284"/>
      <c r="DI17" s="282">
        <v>4</v>
      </c>
      <c r="DJ17" s="283">
        <v>1</v>
      </c>
      <c r="DL17" s="431"/>
      <c r="DM17" s="242"/>
      <c r="DQ17" s="427"/>
      <c r="DR17" s="421">
        <v>4</v>
      </c>
      <c r="DS17" s="270">
        <v>1</v>
      </c>
      <c r="DT17" s="427">
        <f t="shared" si="39"/>
        <v>5.0000000000000055E-4</v>
      </c>
      <c r="DU17" s="421">
        <f t="shared" si="40"/>
        <v>4</v>
      </c>
      <c r="DV17" s="270">
        <f t="shared" si="182"/>
        <v>1</v>
      </c>
      <c r="DW17" s="427">
        <f t="shared" si="42"/>
        <v>1.0000000000000011E-3</v>
      </c>
      <c r="DX17" s="421">
        <f t="shared" si="43"/>
        <v>4</v>
      </c>
      <c r="DY17" s="270">
        <f t="shared" si="183"/>
        <v>1</v>
      </c>
      <c r="DZ17" s="427">
        <f t="shared" si="45"/>
        <v>1.5000000000000015E-3</v>
      </c>
      <c r="EA17" s="421">
        <f t="shared" si="184"/>
        <v>4</v>
      </c>
      <c r="EB17" s="270">
        <f t="shared" si="185"/>
        <v>1</v>
      </c>
      <c r="EC17" s="427">
        <f t="shared" si="48"/>
        <v>2.0000000000000022E-3</v>
      </c>
      <c r="ED17" s="421">
        <f t="shared" si="186"/>
        <v>4</v>
      </c>
      <c r="EE17" s="270">
        <f t="shared" si="187"/>
        <v>1</v>
      </c>
      <c r="EF17" s="427">
        <f t="shared" si="51"/>
        <v>2.5000000000000027E-3</v>
      </c>
      <c r="EG17" s="421">
        <f t="shared" si="188"/>
        <v>4</v>
      </c>
      <c r="EH17" s="270">
        <f t="shared" si="189"/>
        <v>1</v>
      </c>
      <c r="EI17" s="427">
        <f t="shared" si="54"/>
        <v>5.0000000000000053E-3</v>
      </c>
      <c r="EJ17" s="421">
        <f t="shared" si="190"/>
        <v>4</v>
      </c>
      <c r="EK17" s="270">
        <f t="shared" si="191"/>
        <v>1</v>
      </c>
      <c r="EL17" s="427">
        <f t="shared" si="57"/>
        <v>1.0000000000000011E-2</v>
      </c>
      <c r="EM17" s="421">
        <f t="shared" si="192"/>
        <v>4</v>
      </c>
      <c r="EN17" s="270">
        <f t="shared" si="193"/>
        <v>1</v>
      </c>
      <c r="EO17" s="427">
        <f t="shared" si="60"/>
        <v>1.5000000000000017E-2</v>
      </c>
      <c r="EP17" s="421">
        <f t="shared" si="194"/>
        <v>4</v>
      </c>
      <c r="EQ17" s="270">
        <f t="shared" si="195"/>
        <v>1</v>
      </c>
      <c r="ER17" s="427">
        <f t="shared" si="63"/>
        <v>2.0000000000000021E-2</v>
      </c>
      <c r="ES17" s="421">
        <f t="shared" si="196"/>
        <v>4</v>
      </c>
      <c r="ET17" s="270">
        <f t="shared" si="197"/>
        <v>1</v>
      </c>
      <c r="EU17" s="427">
        <f t="shared" si="66"/>
        <v>2.5000000000000026E-2</v>
      </c>
      <c r="EV17" s="421">
        <f t="shared" si="67"/>
        <v>8</v>
      </c>
      <c r="EW17" s="270">
        <f t="shared" si="68"/>
        <v>2</v>
      </c>
      <c r="EX17" s="427">
        <f t="shared" si="69"/>
        <v>2.5000000000000026E-2</v>
      </c>
      <c r="EY17" s="421">
        <f t="shared" si="70"/>
        <v>16</v>
      </c>
      <c r="EZ17" s="270">
        <f t="shared" si="71"/>
        <v>4</v>
      </c>
      <c r="FA17" s="427">
        <f t="shared" si="72"/>
        <v>2.5000000000000026E-2</v>
      </c>
      <c r="FB17" s="421">
        <f t="shared" si="73"/>
        <v>24</v>
      </c>
      <c r="FC17" s="270">
        <f t="shared" si="74"/>
        <v>6</v>
      </c>
      <c r="FD17" s="427">
        <f t="shared" si="75"/>
        <v>2.5000000000000026E-2</v>
      </c>
      <c r="FE17" s="421">
        <f t="shared" si="76"/>
        <v>32</v>
      </c>
      <c r="FF17" s="270">
        <f t="shared" si="77"/>
        <v>8</v>
      </c>
      <c r="FG17" s="427">
        <f t="shared" si="78"/>
        <v>2.5000000000000026E-2</v>
      </c>
      <c r="FH17" s="421">
        <f t="shared" si="79"/>
        <v>40</v>
      </c>
      <c r="FI17" s="270">
        <f t="shared" si="80"/>
        <v>10</v>
      </c>
      <c r="FJ17" s="427">
        <f t="shared" si="81"/>
        <v>2.5000000000000026E-2</v>
      </c>
      <c r="FK17" s="421">
        <f t="shared" si="82"/>
        <v>80</v>
      </c>
      <c r="FL17" s="270">
        <f t="shared" si="83"/>
        <v>20</v>
      </c>
      <c r="FM17" s="427">
        <f t="shared" si="84"/>
        <v>2.5000000000000026E-2</v>
      </c>
      <c r="FN17" s="421">
        <f t="shared" si="85"/>
        <v>160</v>
      </c>
      <c r="FO17" s="270">
        <f t="shared" si="86"/>
        <v>40</v>
      </c>
      <c r="FP17" s="427">
        <f t="shared" si="87"/>
        <v>2.5000000000000026E-2</v>
      </c>
      <c r="FQ17" s="421">
        <f t="shared" si="88"/>
        <v>240</v>
      </c>
      <c r="FR17" s="270">
        <f t="shared" si="89"/>
        <v>60</v>
      </c>
      <c r="FS17" s="427">
        <f t="shared" si="90"/>
        <v>2.5000000000000026E-2</v>
      </c>
      <c r="FT17" s="421">
        <f t="shared" si="91"/>
        <v>320</v>
      </c>
      <c r="FU17" s="270">
        <f t="shared" si="92"/>
        <v>80</v>
      </c>
      <c r="FV17" s="427">
        <f t="shared" si="93"/>
        <v>2.5000000000000026E-2</v>
      </c>
      <c r="FW17" s="421">
        <f t="shared" si="94"/>
        <v>400</v>
      </c>
      <c r="FX17" s="270">
        <f t="shared" si="95"/>
        <v>100</v>
      </c>
      <c r="FY17" s="427">
        <f t="shared" si="96"/>
        <v>2.5000000000000026E-2</v>
      </c>
      <c r="GA17" s="431"/>
      <c r="GB17" s="242"/>
      <c r="GF17" s="427"/>
      <c r="GG17" s="421">
        <v>1</v>
      </c>
      <c r="GH17" s="270">
        <v>1</v>
      </c>
      <c r="GI17" s="427">
        <f t="shared" si="97"/>
        <v>1.3333333333333345E-6</v>
      </c>
      <c r="GJ17" s="421">
        <f t="shared" si="98"/>
        <v>1</v>
      </c>
      <c r="GK17" s="270">
        <f t="shared" si="99"/>
        <v>1</v>
      </c>
      <c r="GL17" s="427">
        <f t="shared" si="100"/>
        <v>2.6666666666666689E-6</v>
      </c>
      <c r="GM17" s="421">
        <f t="shared" si="101"/>
        <v>1</v>
      </c>
      <c r="GN17" s="270">
        <f t="shared" si="102"/>
        <v>1</v>
      </c>
      <c r="GO17" s="427">
        <f t="shared" si="103"/>
        <v>4.0000000000000032E-6</v>
      </c>
      <c r="GP17" s="421">
        <f t="shared" si="104"/>
        <v>1</v>
      </c>
      <c r="GQ17" s="270">
        <f t="shared" si="105"/>
        <v>1</v>
      </c>
      <c r="GR17" s="427">
        <f t="shared" si="106"/>
        <v>5.3333333333333379E-6</v>
      </c>
      <c r="GS17" s="421">
        <f t="shared" si="107"/>
        <v>1</v>
      </c>
      <c r="GT17" s="270">
        <f t="shared" si="108"/>
        <v>1</v>
      </c>
      <c r="GU17" s="427">
        <f t="shared" si="109"/>
        <v>6.6666666666666717E-6</v>
      </c>
      <c r="GV17" s="421">
        <f t="shared" si="110"/>
        <v>1</v>
      </c>
      <c r="GW17" s="270">
        <f t="shared" si="111"/>
        <v>1</v>
      </c>
      <c r="GX17" s="427">
        <f t="shared" si="112"/>
        <v>1.3333333333333343E-5</v>
      </c>
      <c r="GY17" s="421">
        <f t="shared" si="113"/>
        <v>1</v>
      </c>
      <c r="GZ17" s="270">
        <f t="shared" si="114"/>
        <v>1</v>
      </c>
      <c r="HA17" s="427">
        <f t="shared" si="115"/>
        <v>2.6666666666666687E-5</v>
      </c>
      <c r="HB17" s="421">
        <f t="shared" si="116"/>
        <v>1</v>
      </c>
      <c r="HC17" s="270">
        <f t="shared" si="117"/>
        <v>1</v>
      </c>
      <c r="HD17" s="427">
        <f t="shared" si="118"/>
        <v>4.000000000000003E-5</v>
      </c>
      <c r="HE17" s="421">
        <f t="shared" si="119"/>
        <v>1</v>
      </c>
      <c r="HF17" s="270">
        <f t="shared" si="120"/>
        <v>1</v>
      </c>
      <c r="HG17" s="427">
        <f t="shared" si="121"/>
        <v>5.3333333333333374E-5</v>
      </c>
      <c r="HH17" s="421">
        <f t="shared" si="122"/>
        <v>1</v>
      </c>
      <c r="HI17" s="270">
        <f t="shared" si="123"/>
        <v>1</v>
      </c>
      <c r="HJ17" s="427">
        <f t="shared" si="124"/>
        <v>6.6666666666666724E-5</v>
      </c>
      <c r="HK17" s="421">
        <f t="shared" si="125"/>
        <v>1</v>
      </c>
      <c r="HL17" s="270">
        <f t="shared" si="125"/>
        <v>1</v>
      </c>
      <c r="HM17" s="427">
        <f t="shared" si="126"/>
        <v>1.3333333333333345E-4</v>
      </c>
      <c r="HN17" s="421">
        <f t="shared" si="127"/>
        <v>1</v>
      </c>
      <c r="HO17" s="270">
        <f t="shared" si="127"/>
        <v>1</v>
      </c>
      <c r="HP17" s="427">
        <f t="shared" si="128"/>
        <v>2.666666666666669E-4</v>
      </c>
      <c r="HQ17" s="421">
        <f t="shared" si="129"/>
        <v>1</v>
      </c>
      <c r="HR17" s="270">
        <f t="shared" si="129"/>
        <v>1</v>
      </c>
      <c r="HS17" s="427">
        <f t="shared" si="130"/>
        <v>4.0000000000000034E-4</v>
      </c>
      <c r="HT17" s="421">
        <f t="shared" si="131"/>
        <v>1</v>
      </c>
      <c r="HU17" s="270">
        <f t="shared" si="131"/>
        <v>1</v>
      </c>
      <c r="HV17" s="427">
        <f t="shared" si="132"/>
        <v>5.3333333333333379E-4</v>
      </c>
      <c r="HW17" s="421">
        <f t="shared" si="133"/>
        <v>1</v>
      </c>
      <c r="HX17" s="270">
        <f t="shared" si="133"/>
        <v>1</v>
      </c>
      <c r="HY17" s="427">
        <f t="shared" si="134"/>
        <v>6.6666666666666719E-4</v>
      </c>
      <c r="HZ17" s="421">
        <f t="shared" si="135"/>
        <v>1</v>
      </c>
      <c r="IA17" s="270">
        <f t="shared" si="135"/>
        <v>1</v>
      </c>
      <c r="IB17" s="427">
        <f t="shared" si="136"/>
        <v>1.3333333333333344E-3</v>
      </c>
      <c r="IC17" s="421">
        <f t="shared" si="137"/>
        <v>1</v>
      </c>
      <c r="ID17" s="270">
        <f t="shared" si="137"/>
        <v>1</v>
      </c>
      <c r="IE17" s="427">
        <f t="shared" si="138"/>
        <v>2.6666666666666687E-3</v>
      </c>
      <c r="IF17" s="421">
        <f t="shared" si="139"/>
        <v>1</v>
      </c>
      <c r="IG17" s="270">
        <f t="shared" si="139"/>
        <v>1</v>
      </c>
      <c r="IH17" s="427">
        <f t="shared" si="140"/>
        <v>4.0000000000000036E-3</v>
      </c>
      <c r="II17" s="421">
        <f t="shared" si="141"/>
        <v>1</v>
      </c>
      <c r="IJ17" s="270">
        <f t="shared" si="141"/>
        <v>1</v>
      </c>
      <c r="IK17" s="427">
        <f t="shared" si="142"/>
        <v>5.3333333333333375E-3</v>
      </c>
      <c r="IL17" s="421">
        <f t="shared" si="143"/>
        <v>1</v>
      </c>
      <c r="IM17" s="270">
        <f t="shared" si="143"/>
        <v>1</v>
      </c>
      <c r="IN17" s="427">
        <f t="shared" si="144"/>
        <v>6.6666666666666723E-3</v>
      </c>
      <c r="IS17" s="447">
        <f t="shared" si="236"/>
        <v>0</v>
      </c>
      <c r="IT17" s="447">
        <f t="shared" si="236"/>
        <v>0</v>
      </c>
      <c r="IU17" s="447">
        <f t="shared" si="236"/>
        <v>0</v>
      </c>
      <c r="IV17" s="447">
        <f t="shared" si="236"/>
        <v>4.8000000000000007E-4</v>
      </c>
      <c r="IW17" s="447">
        <f t="shared" si="236"/>
        <v>6.0000000000000006E-4</v>
      </c>
      <c r="IX17" s="447">
        <f t="shared" si="236"/>
        <v>1.2000000000000001E-3</v>
      </c>
      <c r="IY17" s="447">
        <f t="shared" si="236"/>
        <v>2.4000000000000002E-3</v>
      </c>
      <c r="IZ17" s="447">
        <f t="shared" si="236"/>
        <v>3.6000000000000008E-3</v>
      </c>
      <c r="JA17" s="447">
        <f t="shared" si="236"/>
        <v>4.8000000000000004E-3</v>
      </c>
      <c r="JB17" s="447">
        <f t="shared" si="236"/>
        <v>6.000000000000001E-3</v>
      </c>
      <c r="JC17" s="447">
        <f t="shared" si="237"/>
        <v>1.2000000000000002E-2</v>
      </c>
      <c r="JD17" s="447">
        <f t="shared" si="237"/>
        <v>1.4999999999999999E-2</v>
      </c>
      <c r="JE17" s="447">
        <f t="shared" si="237"/>
        <v>1.49976E-2</v>
      </c>
      <c r="JF17" s="447">
        <f t="shared" si="237"/>
        <v>1.4995200000000002E-2</v>
      </c>
      <c r="JG17" s="447">
        <f t="shared" si="237"/>
        <v>1.4994E-2</v>
      </c>
      <c r="JH17" s="447">
        <f t="shared" si="237"/>
        <v>1.4988000000000001E-2</v>
      </c>
      <c r="JI17" s="447">
        <f t="shared" si="237"/>
        <v>1.4976000000000001E-2</v>
      </c>
      <c r="JJ17" s="447">
        <f t="shared" si="237"/>
        <v>1.4976000000000001E-2</v>
      </c>
      <c r="JK17" s="447">
        <f t="shared" si="237"/>
        <v>1.4976000000000001E-2</v>
      </c>
      <c r="JL17" s="447">
        <f t="shared" si="237"/>
        <v>1.494E-2</v>
      </c>
      <c r="JQ17" s="455" t="s">
        <v>1647</v>
      </c>
      <c r="JR17" s="456">
        <v>2</v>
      </c>
      <c r="JS17" s="456">
        <v>4000000</v>
      </c>
      <c r="JT17" s="242"/>
      <c r="JU17" s="242">
        <f t="shared" si="198"/>
        <v>240000</v>
      </c>
      <c r="JV17" s="242">
        <f t="shared" si="199"/>
        <v>200000</v>
      </c>
      <c r="JW17" s="242">
        <f t="shared" si="216"/>
        <v>0.2</v>
      </c>
      <c r="JX17" s="242">
        <f t="shared" si="200"/>
        <v>250000</v>
      </c>
      <c r="JY17" s="241">
        <f t="shared" si="217"/>
        <v>0.8</v>
      </c>
      <c r="JZ17" s="241">
        <f t="shared" si="218"/>
        <v>240000</v>
      </c>
      <c r="KA17" s="241" t="str">
        <f t="shared" si="219"/>
        <v>期望符合预期</v>
      </c>
      <c r="KC17" s="242">
        <f t="shared" si="201"/>
        <v>480000</v>
      </c>
      <c r="KD17" s="242">
        <f t="shared" si="202"/>
        <v>300000</v>
      </c>
      <c r="KE17" s="242">
        <f t="shared" si="220"/>
        <v>0.1</v>
      </c>
      <c r="KF17" s="242">
        <f t="shared" si="203"/>
        <v>500000</v>
      </c>
      <c r="KG17" s="241">
        <f t="shared" si="221"/>
        <v>0.9</v>
      </c>
      <c r="KH17" s="241">
        <f t="shared" si="222"/>
        <v>480000</v>
      </c>
      <c r="KI17" s="241" t="str">
        <f t="shared" si="223"/>
        <v>期望符合预期</v>
      </c>
      <c r="KK17" s="242">
        <f t="shared" si="204"/>
        <v>720000</v>
      </c>
      <c r="KL17" s="242">
        <f t="shared" si="205"/>
        <v>500000</v>
      </c>
      <c r="KM17" s="242">
        <f t="shared" si="224"/>
        <v>0.12</v>
      </c>
      <c r="KN17" s="242">
        <f t="shared" si="206"/>
        <v>750000</v>
      </c>
      <c r="KO17" s="241">
        <f t="shared" si="225"/>
        <v>0.88</v>
      </c>
      <c r="KP17" s="241">
        <f t="shared" si="226"/>
        <v>720000</v>
      </c>
      <c r="KQ17" s="241" t="str">
        <f t="shared" si="227"/>
        <v>期望符合预期</v>
      </c>
      <c r="KS17" s="242">
        <f t="shared" si="207"/>
        <v>960000</v>
      </c>
      <c r="KT17" s="242">
        <f t="shared" si="208"/>
        <v>750000</v>
      </c>
      <c r="KU17" s="242">
        <f t="shared" si="228"/>
        <v>0.16</v>
      </c>
      <c r="KV17" s="242">
        <f t="shared" si="209"/>
        <v>1000000</v>
      </c>
      <c r="KW17" s="241">
        <f t="shared" si="229"/>
        <v>0.84</v>
      </c>
      <c r="KX17" s="241">
        <f t="shared" si="230"/>
        <v>960000</v>
      </c>
      <c r="KY17" s="241" t="str">
        <f t="shared" si="231"/>
        <v>期望符合预期</v>
      </c>
      <c r="LA17" s="242">
        <f t="shared" si="210"/>
        <v>1200000</v>
      </c>
      <c r="LB17" s="242">
        <f t="shared" si="211"/>
        <v>1000000</v>
      </c>
      <c r="LC17" s="242">
        <f t="shared" si="232"/>
        <v>0.6</v>
      </c>
      <c r="LD17" s="242">
        <f t="shared" si="212"/>
        <v>1500000</v>
      </c>
      <c r="LE17" s="241">
        <f t="shared" si="233"/>
        <v>0.4</v>
      </c>
      <c r="LF17" s="241">
        <f t="shared" si="234"/>
        <v>1200000</v>
      </c>
      <c r="LG17" s="241" t="str">
        <f t="shared" si="235"/>
        <v>期望符合预期</v>
      </c>
    </row>
    <row r="18" spans="1:319" ht="16.2" x14ac:dyDescent="0.4">
      <c r="A18" s="63">
        <v>14</v>
      </c>
      <c r="B18" s="254" t="s">
        <v>1267</v>
      </c>
      <c r="C18" s="63">
        <v>2</v>
      </c>
      <c r="D18" s="63">
        <v>-1</v>
      </c>
      <c r="E18" s="63">
        <v>15</v>
      </c>
      <c r="F18" s="63">
        <f t="shared" si="16"/>
        <v>15</v>
      </c>
      <c r="G18" s="63">
        <f t="shared" si="167"/>
        <v>15</v>
      </c>
      <c r="H18" s="63"/>
      <c r="I18" s="265"/>
      <c r="J18" s="63">
        <f t="shared" si="238"/>
        <v>0</v>
      </c>
      <c r="K18" s="63">
        <f t="shared" si="18"/>
        <v>0</v>
      </c>
      <c r="L18" s="63">
        <v>0</v>
      </c>
      <c r="M18" s="266">
        <f>ROUND($BX$7/('全局参数|GlobalPar'!$B$19/10000/E18),6)*(7/5)</f>
        <v>1.0416E-2</v>
      </c>
      <c r="N18" s="267">
        <v>1</v>
      </c>
      <c r="O18" s="268">
        <f>ROUND(IF(N18&lt;&gt;0,$BX$4/('全局参数|GlobalPar'!$B$19/10000/E18)/N18,0),6)</f>
        <v>0</v>
      </c>
      <c r="P18" s="270">
        <f t="shared" si="19"/>
        <v>3.0000000000000001E-3</v>
      </c>
      <c r="Q18" s="285">
        <f t="shared" si="20"/>
        <v>0</v>
      </c>
      <c r="R18" s="282">
        <v>4</v>
      </c>
      <c r="S18" s="283">
        <v>1</v>
      </c>
      <c r="T18" s="284" t="str">
        <f t="shared" si="21"/>
        <v>[[4,1],[4,1],[4,1],[4,1],[4,1],[4,1],[4,1],[4,1],[4,1],[4,1],[8,2],[16,4],[24,6],[32,8],[40,10],[80,20],[160,40],[240,60],[320,80],[400,100]]</v>
      </c>
      <c r="U18" s="284">
        <v>1</v>
      </c>
      <c r="V18" s="284">
        <v>1</v>
      </c>
      <c r="W18" s="284" t="str">
        <f t="shared" si="168"/>
        <v>[[1,1],[1,1],[1,1],[1,1],[1,1],[1,1],[1,1],[1,1],[1,1],[1,1],[1,1],[1,1],[1,1],[1,1],[1,1],[1,1],[1,1],[1,1],[1,1],[1,1]]</v>
      </c>
      <c r="X18" s="63">
        <v>0</v>
      </c>
      <c r="Y18" s="305">
        <v>0</v>
      </c>
      <c r="Z18" s="303">
        <f t="shared" si="22"/>
        <v>0</v>
      </c>
      <c r="AA18" s="303">
        <v>0.06</v>
      </c>
      <c r="AB18" s="303">
        <f t="shared" si="169"/>
        <v>0.1</v>
      </c>
      <c r="AC18" s="304">
        <f t="shared" si="213"/>
        <v>0.05</v>
      </c>
      <c r="AD18" s="304">
        <f t="shared" si="213"/>
        <v>0</v>
      </c>
      <c r="AE18" s="304">
        <f t="shared" si="213"/>
        <v>0</v>
      </c>
      <c r="AF18" s="304">
        <f t="shared" si="213"/>
        <v>0</v>
      </c>
      <c r="AG18" s="63" t="str">
        <f t="shared" si="170"/>
        <v>[[1,5],[2,2],[3,1]]</v>
      </c>
      <c r="AH18" s="256" t="str">
        <f t="shared" si="171"/>
        <v>[0.133333,0.066667,0.044444]</v>
      </c>
      <c r="AI18" s="256">
        <v>0</v>
      </c>
      <c r="AJ18" s="256">
        <v>1</v>
      </c>
      <c r="AK18" s="256">
        <f t="shared" si="23"/>
        <v>1</v>
      </c>
      <c r="AL18" s="256">
        <v>0</v>
      </c>
      <c r="AM18" s="256">
        <f t="shared" si="172"/>
        <v>4.5</v>
      </c>
      <c r="AN18" s="256" t="s">
        <v>2548</v>
      </c>
      <c r="AO18" s="324">
        <v>6</v>
      </c>
      <c r="AP18" s="63">
        <f t="shared" si="24"/>
        <v>-1</v>
      </c>
      <c r="AQ18" s="63">
        <v>0</v>
      </c>
      <c r="AR18" s="39"/>
      <c r="AS18" s="39">
        <v>3</v>
      </c>
      <c r="AT18" s="39">
        <v>1</v>
      </c>
      <c r="AU18" s="261">
        <v>0.9</v>
      </c>
      <c r="AV18" s="63">
        <f t="shared" si="239"/>
        <v>1.3432835820895521</v>
      </c>
      <c r="AW18" s="63">
        <v>1</v>
      </c>
      <c r="AX18" s="63">
        <v>1</v>
      </c>
      <c r="AY18" s="63"/>
      <c r="AZ18" s="39"/>
      <c r="BA18" s="39"/>
      <c r="BB18" s="328">
        <v>0.6</v>
      </c>
      <c r="BC18" s="39">
        <v>20</v>
      </c>
      <c r="BD18" s="39">
        <v>0.18</v>
      </c>
      <c r="BE18" s="39">
        <v>1</v>
      </c>
      <c r="BF18" s="39">
        <v>1</v>
      </c>
      <c r="BG18" s="39" t="s">
        <v>1604</v>
      </c>
      <c r="BH18" s="331" t="s">
        <v>1654</v>
      </c>
      <c r="BI18" s="331" t="s">
        <v>1655</v>
      </c>
      <c r="BJ18" s="265" t="s">
        <v>269</v>
      </c>
      <c r="BK18" s="265" t="s">
        <v>280</v>
      </c>
      <c r="BL18" s="265"/>
      <c r="BM18" s="265"/>
      <c r="BN18" s="81">
        <f t="shared" si="25"/>
        <v>11.25</v>
      </c>
      <c r="BO18" s="343">
        <f t="shared" si="26"/>
        <v>13.333333333333334</v>
      </c>
      <c r="BP18" s="81" t="s">
        <v>1606</v>
      </c>
      <c r="BQ18" s="81">
        <f t="shared" si="27"/>
        <v>0.67200000000000004</v>
      </c>
      <c r="BR18" s="81"/>
      <c r="BS18" s="63">
        <f t="shared" si="28"/>
        <v>15</v>
      </c>
      <c r="BT18" s="63">
        <f t="shared" si="29"/>
        <v>15.9</v>
      </c>
      <c r="BV18" s="63">
        <f t="shared" si="30"/>
        <v>0</v>
      </c>
      <c r="CG18" s="371">
        <f t="shared" si="31"/>
        <v>16.5</v>
      </c>
      <c r="CH18" s="372">
        <f t="shared" si="214"/>
        <v>0.1</v>
      </c>
      <c r="CI18" s="373">
        <v>1</v>
      </c>
      <c r="CJ18" s="143">
        <v>5</v>
      </c>
      <c r="CK18" s="373">
        <v>2</v>
      </c>
      <c r="CL18" s="143">
        <v>2</v>
      </c>
      <c r="CM18" s="373">
        <v>3</v>
      </c>
      <c r="CN18" s="143">
        <v>1</v>
      </c>
      <c r="CO18" s="143">
        <f t="shared" si="174"/>
        <v>1.5</v>
      </c>
      <c r="CP18" s="143">
        <f t="shared" si="175"/>
        <v>7.5</v>
      </c>
      <c r="CQ18" s="377">
        <f t="shared" si="176"/>
        <v>0.13333300000000001</v>
      </c>
      <c r="CR18" s="143">
        <f t="shared" si="32"/>
        <v>15</v>
      </c>
      <c r="CS18" s="378">
        <f t="shared" si="177"/>
        <v>6.6667000000000004E-2</v>
      </c>
      <c r="CT18" s="143">
        <f t="shared" si="32"/>
        <v>22.5</v>
      </c>
      <c r="CU18" s="392">
        <f t="shared" si="178"/>
        <v>4.4443999999999997E-2</v>
      </c>
      <c r="CW18" s="241">
        <v>2E-3</v>
      </c>
      <c r="CX18" s="396">
        <f t="shared" si="215"/>
        <v>0</v>
      </c>
      <c r="CY18" s="270">
        <f t="shared" si="33"/>
        <v>0</v>
      </c>
      <c r="CZ18" s="394">
        <f t="shared" si="34"/>
        <v>0</v>
      </c>
      <c r="DA18" s="394">
        <f t="shared" si="35"/>
        <v>0</v>
      </c>
      <c r="DB18" s="395">
        <f t="shared" si="179"/>
        <v>0</v>
      </c>
      <c r="DC18" s="419">
        <f t="shared" si="36"/>
        <v>0</v>
      </c>
      <c r="DD18" s="394">
        <f t="shared" si="37"/>
        <v>0</v>
      </c>
      <c r="DE18" s="420" t="e">
        <f t="shared" si="38"/>
        <v>#DIV/0!</v>
      </c>
      <c r="DF18" s="421">
        <f t="shared" si="180"/>
        <v>4</v>
      </c>
      <c r="DG18" s="422">
        <f t="shared" si="181"/>
        <v>1</v>
      </c>
      <c r="DH18" s="284"/>
      <c r="DI18" s="282">
        <v>4</v>
      </c>
      <c r="DJ18" s="283">
        <v>1</v>
      </c>
      <c r="DL18" s="431"/>
      <c r="DM18" s="242"/>
      <c r="DQ18" s="427"/>
      <c r="DR18" s="421">
        <v>4</v>
      </c>
      <c r="DS18" s="270">
        <v>1</v>
      </c>
      <c r="DT18" s="427">
        <f t="shared" si="39"/>
        <v>6.2500000000000066E-4</v>
      </c>
      <c r="DU18" s="421">
        <f t="shared" si="40"/>
        <v>4</v>
      </c>
      <c r="DV18" s="270">
        <f t="shared" si="182"/>
        <v>1</v>
      </c>
      <c r="DW18" s="427">
        <f t="shared" si="42"/>
        <v>1.2500000000000013E-3</v>
      </c>
      <c r="DX18" s="421">
        <f t="shared" si="43"/>
        <v>4</v>
      </c>
      <c r="DY18" s="270">
        <f t="shared" si="183"/>
        <v>1</v>
      </c>
      <c r="DZ18" s="427">
        <f t="shared" si="45"/>
        <v>1.8750000000000021E-3</v>
      </c>
      <c r="EA18" s="421">
        <f t="shared" si="184"/>
        <v>4</v>
      </c>
      <c r="EB18" s="270">
        <f t="shared" si="185"/>
        <v>1</v>
      </c>
      <c r="EC18" s="427">
        <f t="shared" si="48"/>
        <v>2.5000000000000027E-3</v>
      </c>
      <c r="ED18" s="421">
        <f t="shared" si="186"/>
        <v>4</v>
      </c>
      <c r="EE18" s="270">
        <f t="shared" si="187"/>
        <v>1</v>
      </c>
      <c r="EF18" s="427">
        <f t="shared" si="51"/>
        <v>3.1250000000000032E-3</v>
      </c>
      <c r="EG18" s="421">
        <f t="shared" si="188"/>
        <v>4</v>
      </c>
      <c r="EH18" s="270">
        <f t="shared" si="189"/>
        <v>1</v>
      </c>
      <c r="EI18" s="427">
        <f t="shared" si="54"/>
        <v>6.2500000000000064E-3</v>
      </c>
      <c r="EJ18" s="421">
        <f t="shared" si="190"/>
        <v>4</v>
      </c>
      <c r="EK18" s="270">
        <f t="shared" si="191"/>
        <v>1</v>
      </c>
      <c r="EL18" s="427">
        <f t="shared" si="57"/>
        <v>1.2500000000000013E-2</v>
      </c>
      <c r="EM18" s="421">
        <f t="shared" si="192"/>
        <v>4</v>
      </c>
      <c r="EN18" s="270">
        <f t="shared" si="193"/>
        <v>1</v>
      </c>
      <c r="EO18" s="427">
        <f t="shared" si="60"/>
        <v>1.875000000000002E-2</v>
      </c>
      <c r="EP18" s="421">
        <f t="shared" si="194"/>
        <v>4</v>
      </c>
      <c r="EQ18" s="270">
        <f t="shared" si="195"/>
        <v>1</v>
      </c>
      <c r="ER18" s="427">
        <f t="shared" si="63"/>
        <v>2.5000000000000026E-2</v>
      </c>
      <c r="ES18" s="421">
        <f t="shared" si="196"/>
        <v>4</v>
      </c>
      <c r="ET18" s="270">
        <f t="shared" si="197"/>
        <v>1</v>
      </c>
      <c r="EU18" s="427">
        <f t="shared" si="66"/>
        <v>3.1250000000000035E-2</v>
      </c>
      <c r="EV18" s="421">
        <f t="shared" si="67"/>
        <v>8</v>
      </c>
      <c r="EW18" s="270">
        <f t="shared" si="68"/>
        <v>2</v>
      </c>
      <c r="EX18" s="427">
        <f t="shared" si="69"/>
        <v>3.1250000000000035E-2</v>
      </c>
      <c r="EY18" s="421">
        <f t="shared" si="70"/>
        <v>16</v>
      </c>
      <c r="EZ18" s="270">
        <f t="shared" si="71"/>
        <v>4</v>
      </c>
      <c r="FA18" s="427">
        <f t="shared" si="72"/>
        <v>3.1250000000000035E-2</v>
      </c>
      <c r="FB18" s="421">
        <f t="shared" si="73"/>
        <v>24</v>
      </c>
      <c r="FC18" s="270">
        <f t="shared" si="74"/>
        <v>6</v>
      </c>
      <c r="FD18" s="427">
        <f t="shared" si="75"/>
        <v>3.1250000000000035E-2</v>
      </c>
      <c r="FE18" s="421">
        <f t="shared" si="76"/>
        <v>32</v>
      </c>
      <c r="FF18" s="270">
        <f t="shared" si="77"/>
        <v>8</v>
      </c>
      <c r="FG18" s="427">
        <f t="shared" si="78"/>
        <v>3.1250000000000035E-2</v>
      </c>
      <c r="FH18" s="421">
        <f t="shared" si="79"/>
        <v>40</v>
      </c>
      <c r="FI18" s="270">
        <f t="shared" si="80"/>
        <v>10</v>
      </c>
      <c r="FJ18" s="427">
        <f t="shared" si="81"/>
        <v>3.1250000000000035E-2</v>
      </c>
      <c r="FK18" s="421">
        <f t="shared" si="82"/>
        <v>80</v>
      </c>
      <c r="FL18" s="270">
        <f t="shared" si="83"/>
        <v>20</v>
      </c>
      <c r="FM18" s="427">
        <f t="shared" si="84"/>
        <v>3.1250000000000035E-2</v>
      </c>
      <c r="FN18" s="421">
        <f t="shared" si="85"/>
        <v>160</v>
      </c>
      <c r="FO18" s="270">
        <f t="shared" si="86"/>
        <v>40</v>
      </c>
      <c r="FP18" s="427">
        <f t="shared" si="87"/>
        <v>3.1250000000000035E-2</v>
      </c>
      <c r="FQ18" s="421">
        <f t="shared" si="88"/>
        <v>240</v>
      </c>
      <c r="FR18" s="270">
        <f t="shared" si="89"/>
        <v>60</v>
      </c>
      <c r="FS18" s="427">
        <f t="shared" si="90"/>
        <v>3.1250000000000035E-2</v>
      </c>
      <c r="FT18" s="421">
        <f t="shared" si="91"/>
        <v>320</v>
      </c>
      <c r="FU18" s="270">
        <f t="shared" si="92"/>
        <v>80</v>
      </c>
      <c r="FV18" s="427">
        <f t="shared" si="93"/>
        <v>3.1250000000000035E-2</v>
      </c>
      <c r="FW18" s="421">
        <f t="shared" si="94"/>
        <v>400</v>
      </c>
      <c r="FX18" s="270">
        <f t="shared" si="95"/>
        <v>100</v>
      </c>
      <c r="FY18" s="427">
        <f t="shared" si="96"/>
        <v>3.1250000000000035E-2</v>
      </c>
      <c r="GA18" s="431"/>
      <c r="GB18" s="242"/>
      <c r="GF18" s="427"/>
      <c r="GG18" s="421">
        <v>1</v>
      </c>
      <c r="GH18" s="270">
        <v>1</v>
      </c>
      <c r="GI18" s="427">
        <f t="shared" si="97"/>
        <v>1.6666666666666679E-6</v>
      </c>
      <c r="GJ18" s="421">
        <f t="shared" si="98"/>
        <v>1</v>
      </c>
      <c r="GK18" s="270">
        <f t="shared" si="99"/>
        <v>1</v>
      </c>
      <c r="GL18" s="427">
        <f t="shared" si="100"/>
        <v>3.3333333333333359E-6</v>
      </c>
      <c r="GM18" s="421">
        <f t="shared" si="101"/>
        <v>1</v>
      </c>
      <c r="GN18" s="270">
        <f t="shared" si="102"/>
        <v>1</v>
      </c>
      <c r="GO18" s="427">
        <f t="shared" si="103"/>
        <v>5.0000000000000038E-6</v>
      </c>
      <c r="GP18" s="421">
        <f t="shared" si="104"/>
        <v>1</v>
      </c>
      <c r="GQ18" s="270">
        <f t="shared" si="105"/>
        <v>1</v>
      </c>
      <c r="GR18" s="427">
        <f t="shared" si="106"/>
        <v>6.6666666666666717E-6</v>
      </c>
      <c r="GS18" s="421">
        <f t="shared" si="107"/>
        <v>1</v>
      </c>
      <c r="GT18" s="270">
        <f t="shared" si="108"/>
        <v>1</v>
      </c>
      <c r="GU18" s="427">
        <f t="shared" si="109"/>
        <v>8.3333333333333405E-6</v>
      </c>
      <c r="GV18" s="421">
        <f t="shared" si="110"/>
        <v>1</v>
      </c>
      <c r="GW18" s="270">
        <f t="shared" si="111"/>
        <v>1</v>
      </c>
      <c r="GX18" s="427">
        <f t="shared" si="112"/>
        <v>1.6666666666666681E-5</v>
      </c>
      <c r="GY18" s="421">
        <f t="shared" si="113"/>
        <v>1</v>
      </c>
      <c r="GZ18" s="270">
        <f t="shared" si="114"/>
        <v>1</v>
      </c>
      <c r="HA18" s="427">
        <f t="shared" si="115"/>
        <v>3.3333333333333362E-5</v>
      </c>
      <c r="HB18" s="421">
        <f t="shared" si="116"/>
        <v>1</v>
      </c>
      <c r="HC18" s="270">
        <f t="shared" si="117"/>
        <v>1</v>
      </c>
      <c r="HD18" s="427">
        <f t="shared" si="118"/>
        <v>5.0000000000000043E-5</v>
      </c>
      <c r="HE18" s="421">
        <f t="shared" si="119"/>
        <v>1</v>
      </c>
      <c r="HF18" s="270">
        <f t="shared" si="120"/>
        <v>1</v>
      </c>
      <c r="HG18" s="427">
        <f t="shared" si="121"/>
        <v>6.6666666666666724E-5</v>
      </c>
      <c r="HH18" s="421">
        <f t="shared" si="122"/>
        <v>1</v>
      </c>
      <c r="HI18" s="270">
        <f t="shared" si="123"/>
        <v>1</v>
      </c>
      <c r="HJ18" s="427">
        <f t="shared" si="124"/>
        <v>8.3333333333333398E-5</v>
      </c>
      <c r="HK18" s="421">
        <f t="shared" si="125"/>
        <v>1</v>
      </c>
      <c r="HL18" s="270">
        <f t="shared" si="125"/>
        <v>1</v>
      </c>
      <c r="HM18" s="427">
        <f t="shared" si="126"/>
        <v>1.666666666666668E-4</v>
      </c>
      <c r="HN18" s="421">
        <f t="shared" si="127"/>
        <v>1</v>
      </c>
      <c r="HO18" s="270">
        <f t="shared" si="127"/>
        <v>1</v>
      </c>
      <c r="HP18" s="427">
        <f t="shared" si="128"/>
        <v>3.3333333333333359E-4</v>
      </c>
      <c r="HQ18" s="421">
        <f t="shared" si="129"/>
        <v>1</v>
      </c>
      <c r="HR18" s="270">
        <f t="shared" si="129"/>
        <v>1</v>
      </c>
      <c r="HS18" s="427">
        <f t="shared" si="130"/>
        <v>5.0000000000000044E-4</v>
      </c>
      <c r="HT18" s="421">
        <f t="shared" si="131"/>
        <v>1</v>
      </c>
      <c r="HU18" s="270">
        <f t="shared" si="131"/>
        <v>1</v>
      </c>
      <c r="HV18" s="427">
        <f t="shared" si="132"/>
        <v>6.6666666666666719E-4</v>
      </c>
      <c r="HW18" s="421">
        <f t="shared" si="133"/>
        <v>1</v>
      </c>
      <c r="HX18" s="270">
        <f t="shared" si="133"/>
        <v>1</v>
      </c>
      <c r="HY18" s="427">
        <f t="shared" si="134"/>
        <v>8.3333333333333404E-4</v>
      </c>
      <c r="HZ18" s="421">
        <f t="shared" si="135"/>
        <v>1</v>
      </c>
      <c r="IA18" s="270">
        <f t="shared" si="135"/>
        <v>1</v>
      </c>
      <c r="IB18" s="427">
        <f t="shared" si="136"/>
        <v>1.6666666666666681E-3</v>
      </c>
      <c r="IC18" s="421">
        <f t="shared" si="137"/>
        <v>1</v>
      </c>
      <c r="ID18" s="270">
        <f t="shared" si="137"/>
        <v>1</v>
      </c>
      <c r="IE18" s="427">
        <f t="shared" si="138"/>
        <v>3.3333333333333361E-3</v>
      </c>
      <c r="IF18" s="421">
        <f t="shared" si="139"/>
        <v>1</v>
      </c>
      <c r="IG18" s="270">
        <f t="shared" si="139"/>
        <v>1</v>
      </c>
      <c r="IH18" s="427">
        <f t="shared" si="140"/>
        <v>5.0000000000000044E-3</v>
      </c>
      <c r="II18" s="421">
        <f t="shared" si="141"/>
        <v>1</v>
      </c>
      <c r="IJ18" s="270">
        <f t="shared" si="141"/>
        <v>1</v>
      </c>
      <c r="IK18" s="427">
        <f t="shared" si="142"/>
        <v>6.6666666666666723E-3</v>
      </c>
      <c r="IL18" s="421">
        <f t="shared" si="143"/>
        <v>1</v>
      </c>
      <c r="IM18" s="270">
        <f t="shared" si="143"/>
        <v>1</v>
      </c>
      <c r="IN18" s="427">
        <f t="shared" si="144"/>
        <v>8.3333333333333402E-3</v>
      </c>
      <c r="IS18" s="447">
        <f t="shared" si="236"/>
        <v>0</v>
      </c>
      <c r="IT18" s="447">
        <f t="shared" si="236"/>
        <v>0</v>
      </c>
      <c r="IU18" s="447">
        <f t="shared" si="236"/>
        <v>0</v>
      </c>
      <c r="IV18" s="447">
        <f t="shared" si="236"/>
        <v>5.9999999999999995E-4</v>
      </c>
      <c r="IW18" s="447">
        <f t="shared" si="236"/>
        <v>7.5000000000000002E-4</v>
      </c>
      <c r="IX18" s="447">
        <f t="shared" si="236"/>
        <v>1.5E-3</v>
      </c>
      <c r="IY18" s="447">
        <f t="shared" si="236"/>
        <v>3.0000000000000001E-3</v>
      </c>
      <c r="IZ18" s="447">
        <f t="shared" si="236"/>
        <v>4.4999999999999997E-3</v>
      </c>
      <c r="JA18" s="447">
        <f t="shared" si="236"/>
        <v>6.0000000000000001E-3</v>
      </c>
      <c r="JB18" s="447">
        <f t="shared" si="236"/>
        <v>7.4999999999999997E-3</v>
      </c>
      <c r="JC18" s="447">
        <f t="shared" si="237"/>
        <v>1.4999999999999999E-2</v>
      </c>
      <c r="JD18" s="447">
        <f t="shared" si="237"/>
        <v>1.8749999999999999E-2</v>
      </c>
      <c r="JE18" s="447">
        <f t="shared" si="237"/>
        <v>1.8747E-2</v>
      </c>
      <c r="JF18" s="447">
        <f t="shared" si="237"/>
        <v>1.8744000000000004E-2</v>
      </c>
      <c r="JG18" s="447">
        <f t="shared" si="237"/>
        <v>1.8742499999999999E-2</v>
      </c>
      <c r="JH18" s="447">
        <f t="shared" si="237"/>
        <v>1.8735000000000002E-2</v>
      </c>
      <c r="JI18" s="447">
        <f t="shared" si="237"/>
        <v>1.8720000000000004E-2</v>
      </c>
      <c r="JJ18" s="447">
        <f t="shared" si="237"/>
        <v>1.8720000000000004E-2</v>
      </c>
      <c r="JK18" s="447">
        <f t="shared" si="237"/>
        <v>1.8720000000000004E-2</v>
      </c>
      <c r="JL18" s="447">
        <f t="shared" si="237"/>
        <v>1.8675000000000001E-2</v>
      </c>
      <c r="JQ18" s="455" t="s">
        <v>1656</v>
      </c>
      <c r="JR18" s="456">
        <v>1</v>
      </c>
      <c r="JS18" s="456">
        <v>5000000</v>
      </c>
      <c r="JT18" s="242"/>
      <c r="JU18" s="242">
        <f t="shared" si="198"/>
        <v>300000</v>
      </c>
      <c r="JV18" s="242">
        <f t="shared" si="199"/>
        <v>300000</v>
      </c>
      <c r="JW18" s="242">
        <f t="shared" si="216"/>
        <v>1</v>
      </c>
      <c r="JX18" s="242">
        <f t="shared" si="200"/>
        <v>500000</v>
      </c>
      <c r="JY18" s="241">
        <f t="shared" si="217"/>
        <v>0</v>
      </c>
      <c r="JZ18" s="241">
        <f t="shared" si="218"/>
        <v>300000</v>
      </c>
      <c r="KA18" s="241" t="str">
        <f t="shared" si="219"/>
        <v>期望符合预期</v>
      </c>
      <c r="KC18" s="242">
        <f t="shared" si="201"/>
        <v>600000</v>
      </c>
      <c r="KD18" s="242">
        <f t="shared" si="202"/>
        <v>500000</v>
      </c>
      <c r="KE18" s="242">
        <f t="shared" si="220"/>
        <v>0.6</v>
      </c>
      <c r="KF18" s="242">
        <f t="shared" si="203"/>
        <v>750000</v>
      </c>
      <c r="KG18" s="241">
        <f t="shared" si="221"/>
        <v>0.4</v>
      </c>
      <c r="KH18" s="241">
        <f t="shared" si="222"/>
        <v>600000</v>
      </c>
      <c r="KI18" s="241" t="str">
        <f t="shared" si="223"/>
        <v>期望符合预期</v>
      </c>
      <c r="KK18" s="242">
        <f t="shared" si="204"/>
        <v>900000</v>
      </c>
      <c r="KL18" s="242">
        <f t="shared" si="205"/>
        <v>750000</v>
      </c>
      <c r="KM18" s="242">
        <f t="shared" si="224"/>
        <v>0.4</v>
      </c>
      <c r="KN18" s="242">
        <f t="shared" si="206"/>
        <v>1000000</v>
      </c>
      <c r="KO18" s="241">
        <f t="shared" si="225"/>
        <v>0.6</v>
      </c>
      <c r="KP18" s="241">
        <f t="shared" si="226"/>
        <v>900000</v>
      </c>
      <c r="KQ18" s="241" t="str">
        <f t="shared" si="227"/>
        <v>期望符合预期</v>
      </c>
      <c r="KS18" s="242">
        <f t="shared" si="207"/>
        <v>1200000</v>
      </c>
      <c r="KT18" s="242">
        <f t="shared" si="208"/>
        <v>1000000</v>
      </c>
      <c r="KU18" s="242">
        <f t="shared" si="228"/>
        <v>0.6</v>
      </c>
      <c r="KV18" s="242">
        <f t="shared" si="209"/>
        <v>1500000</v>
      </c>
      <c r="KW18" s="241">
        <f t="shared" si="229"/>
        <v>0.4</v>
      </c>
      <c r="KX18" s="241">
        <f t="shared" si="230"/>
        <v>1200000</v>
      </c>
      <c r="KY18" s="241" t="str">
        <f t="shared" si="231"/>
        <v>期望符合预期</v>
      </c>
      <c r="LA18" s="242">
        <f t="shared" si="210"/>
        <v>1500000</v>
      </c>
      <c r="LB18" s="242">
        <f t="shared" si="211"/>
        <v>1500000</v>
      </c>
      <c r="LC18" s="242">
        <f t="shared" si="232"/>
        <v>1</v>
      </c>
      <c r="LD18" s="242">
        <f t="shared" si="212"/>
        <v>2000000</v>
      </c>
      <c r="LE18" s="241">
        <f t="shared" si="233"/>
        <v>0</v>
      </c>
      <c r="LF18" s="241">
        <f t="shared" si="234"/>
        <v>1500000</v>
      </c>
      <c r="LG18" s="241" t="str">
        <f t="shared" si="235"/>
        <v>期望符合预期</v>
      </c>
    </row>
    <row r="19" spans="1:319" ht="16.2" x14ac:dyDescent="0.4">
      <c r="A19" s="63">
        <v>15</v>
      </c>
      <c r="B19" s="254" t="s">
        <v>1657</v>
      </c>
      <c r="C19" s="63">
        <v>2</v>
      </c>
      <c r="D19" s="63">
        <v>-1</v>
      </c>
      <c r="E19" s="63">
        <v>15</v>
      </c>
      <c r="F19" s="63">
        <f t="shared" si="16"/>
        <v>15</v>
      </c>
      <c r="G19" s="63">
        <f t="shared" si="167"/>
        <v>15</v>
      </c>
      <c r="H19" s="63"/>
      <c r="I19" s="265"/>
      <c r="J19" s="63">
        <f t="shared" si="238"/>
        <v>0</v>
      </c>
      <c r="K19" s="63">
        <f t="shared" si="18"/>
        <v>0</v>
      </c>
      <c r="L19" s="63">
        <v>0</v>
      </c>
      <c r="M19" s="266">
        <f>ROUND($BX$7/('全局参数|GlobalPar'!$B$19/10000/E19),6)*(7/5)</f>
        <v>1.0416E-2</v>
      </c>
      <c r="N19" s="267">
        <v>1</v>
      </c>
      <c r="O19" s="268">
        <f>ROUND(IF(N19&lt;&gt;0,$BX$4/('全局参数|GlobalPar'!$B$19/10000/E19)/N19,0),6)</f>
        <v>0</v>
      </c>
      <c r="P19" s="270">
        <f t="shared" si="19"/>
        <v>3.0000000000000001E-3</v>
      </c>
      <c r="Q19" s="285">
        <f t="shared" si="20"/>
        <v>0</v>
      </c>
      <c r="R19" s="282">
        <v>5</v>
      </c>
      <c r="S19" s="283">
        <v>1</v>
      </c>
      <c r="T19" s="284" t="str">
        <f t="shared" si="21"/>
        <v>[[5,1],[5,1],[5,1],[5,1],[5,1],[5,1],[5,1],[5,1],[5,1],[5,1],[10,2],[20,4],[30,6],[40,8],[50,10],[100,20],[200,40],[300,60],[400,80],[500,100]]</v>
      </c>
      <c r="U19" s="284">
        <v>1</v>
      </c>
      <c r="V19" s="284">
        <v>1</v>
      </c>
      <c r="W19" s="284" t="str">
        <f t="shared" si="168"/>
        <v>[[1,1],[1,1],[1,1],[1,1],[1,1],[1,1],[1,1],[1,1],[1,1],[1,1],[1,1],[1,1],[1,1],[1,1],[1,1],[1,1],[1,1],[1,1],[1,1],[1,1]]</v>
      </c>
      <c r="X19" s="63">
        <v>0</v>
      </c>
      <c r="Y19" s="305">
        <v>0</v>
      </c>
      <c r="Z19" s="303">
        <f t="shared" si="22"/>
        <v>0</v>
      </c>
      <c r="AA19" s="303">
        <v>0.06</v>
      </c>
      <c r="AB19" s="303">
        <f t="shared" si="169"/>
        <v>0.1</v>
      </c>
      <c r="AC19" s="304">
        <f t="shared" si="213"/>
        <v>0.05</v>
      </c>
      <c r="AD19" s="304">
        <f t="shared" si="213"/>
        <v>0</v>
      </c>
      <c r="AE19" s="304">
        <f t="shared" si="213"/>
        <v>0</v>
      </c>
      <c r="AF19" s="304">
        <f t="shared" si="213"/>
        <v>0</v>
      </c>
      <c r="AG19" s="63" t="str">
        <f t="shared" si="170"/>
        <v>[[1,5],[2,2],[3,1]]</v>
      </c>
      <c r="AH19" s="256" t="str">
        <f t="shared" si="171"/>
        <v>[0.133333,0.066667,0.044444]</v>
      </c>
      <c r="AI19" s="256">
        <v>0</v>
      </c>
      <c r="AJ19" s="256">
        <v>1</v>
      </c>
      <c r="AK19" s="256">
        <f t="shared" si="23"/>
        <v>1</v>
      </c>
      <c r="AL19" s="256">
        <v>0</v>
      </c>
      <c r="AM19" s="256">
        <f t="shared" si="172"/>
        <v>4.5</v>
      </c>
      <c r="AN19" s="256" t="s">
        <v>2548</v>
      </c>
      <c r="AO19" s="324">
        <v>6</v>
      </c>
      <c r="AP19" s="63">
        <f t="shared" si="24"/>
        <v>-1</v>
      </c>
      <c r="AQ19" s="63">
        <v>0</v>
      </c>
      <c r="AR19" s="63"/>
      <c r="AS19" s="39">
        <v>3</v>
      </c>
      <c r="AT19" s="326">
        <v>1</v>
      </c>
      <c r="AU19" s="63">
        <v>1</v>
      </c>
      <c r="AV19" s="63">
        <f t="shared" ref="AV19" si="240">AU19/0.67</f>
        <v>1.4925373134328357</v>
      </c>
      <c r="AW19" s="63">
        <v>1</v>
      </c>
      <c r="AX19" s="63">
        <v>1</v>
      </c>
      <c r="AY19" s="63"/>
      <c r="AZ19" s="39"/>
      <c r="BA19" s="39"/>
      <c r="BB19" s="328">
        <v>0.6</v>
      </c>
      <c r="BC19" s="39">
        <v>25</v>
      </c>
      <c r="BD19" s="39">
        <v>0.18</v>
      </c>
      <c r="BE19" s="39">
        <v>1</v>
      </c>
      <c r="BF19" s="39">
        <v>1</v>
      </c>
      <c r="BG19" s="39" t="s">
        <v>1604</v>
      </c>
      <c r="BH19" s="331" t="s">
        <v>1658</v>
      </c>
      <c r="BI19" s="331" t="s">
        <v>1658</v>
      </c>
      <c r="BJ19" s="265" t="s">
        <v>232</v>
      </c>
      <c r="BK19" s="265" t="s">
        <v>280</v>
      </c>
      <c r="BL19" s="265"/>
      <c r="BM19" s="265"/>
      <c r="BN19" s="81">
        <f t="shared" si="25"/>
        <v>11.25</v>
      </c>
      <c r="BO19" s="343">
        <f t="shared" si="26"/>
        <v>13.333333333333334</v>
      </c>
      <c r="BP19" s="81" t="s">
        <v>1606</v>
      </c>
      <c r="BQ19" s="81">
        <f t="shared" si="27"/>
        <v>0.746</v>
      </c>
      <c r="BR19" s="81"/>
      <c r="BS19" s="63">
        <f t="shared" si="28"/>
        <v>15</v>
      </c>
      <c r="BT19" s="63">
        <f t="shared" si="29"/>
        <v>15.9</v>
      </c>
      <c r="BV19" s="63">
        <f t="shared" si="30"/>
        <v>0</v>
      </c>
      <c r="CG19" s="371">
        <f t="shared" si="31"/>
        <v>16.5</v>
      </c>
      <c r="CH19" s="372">
        <f t="shared" si="214"/>
        <v>0.1</v>
      </c>
      <c r="CI19" s="373">
        <v>1</v>
      </c>
      <c r="CJ19" s="143">
        <v>5</v>
      </c>
      <c r="CK19" s="373">
        <v>2</v>
      </c>
      <c r="CL19" s="143">
        <v>2</v>
      </c>
      <c r="CM19" s="373">
        <v>3</v>
      </c>
      <c r="CN19" s="143">
        <v>1</v>
      </c>
      <c r="CO19" s="143">
        <f t="shared" si="174"/>
        <v>1.5</v>
      </c>
      <c r="CP19" s="143">
        <f t="shared" si="175"/>
        <v>7.5</v>
      </c>
      <c r="CQ19" s="377">
        <f t="shared" si="176"/>
        <v>0.13333300000000001</v>
      </c>
      <c r="CR19" s="143">
        <f t="shared" si="32"/>
        <v>15</v>
      </c>
      <c r="CS19" s="378">
        <f t="shared" si="177"/>
        <v>6.6667000000000004E-2</v>
      </c>
      <c r="CT19" s="143">
        <f t="shared" si="32"/>
        <v>22.5</v>
      </c>
      <c r="CU19" s="392">
        <f t="shared" si="178"/>
        <v>4.4443999999999997E-2</v>
      </c>
      <c r="CW19" s="241">
        <v>2E-3</v>
      </c>
      <c r="CX19" s="396">
        <f t="shared" si="215"/>
        <v>0</v>
      </c>
      <c r="CY19" s="270">
        <f t="shared" si="33"/>
        <v>0</v>
      </c>
      <c r="CZ19" s="394">
        <f t="shared" si="34"/>
        <v>0</v>
      </c>
      <c r="DA19" s="394">
        <f t="shared" si="35"/>
        <v>0</v>
      </c>
      <c r="DB19" s="395">
        <f t="shared" si="179"/>
        <v>0</v>
      </c>
      <c r="DC19" s="419">
        <f t="shared" si="36"/>
        <v>0</v>
      </c>
      <c r="DD19" s="394">
        <f t="shared" si="37"/>
        <v>0</v>
      </c>
      <c r="DE19" s="420" t="e">
        <f t="shared" si="38"/>
        <v>#DIV/0!</v>
      </c>
      <c r="DF19" s="421">
        <f t="shared" si="180"/>
        <v>5</v>
      </c>
      <c r="DG19" s="422">
        <f t="shared" si="181"/>
        <v>1</v>
      </c>
      <c r="DH19" s="284"/>
      <c r="DI19" s="282">
        <v>5</v>
      </c>
      <c r="DJ19" s="283">
        <v>1</v>
      </c>
      <c r="DL19" s="431"/>
      <c r="DM19" s="242"/>
      <c r="DQ19" s="427"/>
      <c r="DR19" s="421">
        <v>5</v>
      </c>
      <c r="DS19" s="270">
        <v>1</v>
      </c>
      <c r="DT19" s="427">
        <f t="shared" si="39"/>
        <v>5.0000000000000055E-4</v>
      </c>
      <c r="DU19" s="421">
        <f t="shared" si="40"/>
        <v>5</v>
      </c>
      <c r="DV19" s="270">
        <f t="shared" si="182"/>
        <v>1</v>
      </c>
      <c r="DW19" s="427">
        <f t="shared" si="42"/>
        <v>1.0000000000000011E-3</v>
      </c>
      <c r="DX19" s="421">
        <f t="shared" si="43"/>
        <v>5</v>
      </c>
      <c r="DY19" s="270">
        <f t="shared" si="183"/>
        <v>1</v>
      </c>
      <c r="DZ19" s="427">
        <f t="shared" si="45"/>
        <v>1.5000000000000015E-3</v>
      </c>
      <c r="EA19" s="421">
        <f t="shared" si="184"/>
        <v>5</v>
      </c>
      <c r="EB19" s="270">
        <f t="shared" si="185"/>
        <v>1</v>
      </c>
      <c r="EC19" s="427">
        <f t="shared" si="48"/>
        <v>2.0000000000000022E-3</v>
      </c>
      <c r="ED19" s="421">
        <f t="shared" si="186"/>
        <v>5</v>
      </c>
      <c r="EE19" s="270">
        <f t="shared" si="187"/>
        <v>1</v>
      </c>
      <c r="EF19" s="427">
        <f t="shared" si="51"/>
        <v>2.5000000000000027E-3</v>
      </c>
      <c r="EG19" s="421">
        <f t="shared" si="188"/>
        <v>5</v>
      </c>
      <c r="EH19" s="270">
        <f t="shared" si="189"/>
        <v>1</v>
      </c>
      <c r="EI19" s="427">
        <f t="shared" si="54"/>
        <v>5.0000000000000053E-3</v>
      </c>
      <c r="EJ19" s="421">
        <f t="shared" si="190"/>
        <v>5</v>
      </c>
      <c r="EK19" s="270">
        <f t="shared" si="191"/>
        <v>1</v>
      </c>
      <c r="EL19" s="427">
        <f t="shared" si="57"/>
        <v>1.0000000000000011E-2</v>
      </c>
      <c r="EM19" s="421">
        <f t="shared" si="192"/>
        <v>5</v>
      </c>
      <c r="EN19" s="270">
        <f t="shared" si="193"/>
        <v>1</v>
      </c>
      <c r="EO19" s="427">
        <f t="shared" si="60"/>
        <v>1.5000000000000017E-2</v>
      </c>
      <c r="EP19" s="421">
        <f t="shared" si="194"/>
        <v>5</v>
      </c>
      <c r="EQ19" s="270">
        <f t="shared" si="195"/>
        <v>1</v>
      </c>
      <c r="ER19" s="427">
        <f t="shared" si="63"/>
        <v>2.0000000000000021E-2</v>
      </c>
      <c r="ES19" s="421">
        <f t="shared" si="196"/>
        <v>5</v>
      </c>
      <c r="ET19" s="270">
        <f t="shared" si="197"/>
        <v>1</v>
      </c>
      <c r="EU19" s="427">
        <f t="shared" si="66"/>
        <v>2.5000000000000026E-2</v>
      </c>
      <c r="EV19" s="421">
        <f t="shared" si="67"/>
        <v>10</v>
      </c>
      <c r="EW19" s="270">
        <f t="shared" si="68"/>
        <v>2</v>
      </c>
      <c r="EX19" s="427">
        <f t="shared" si="69"/>
        <v>2.5000000000000026E-2</v>
      </c>
      <c r="EY19" s="421">
        <f t="shared" si="70"/>
        <v>20</v>
      </c>
      <c r="EZ19" s="270">
        <f t="shared" si="71"/>
        <v>4</v>
      </c>
      <c r="FA19" s="427">
        <f t="shared" si="72"/>
        <v>2.5000000000000026E-2</v>
      </c>
      <c r="FB19" s="421">
        <f t="shared" si="73"/>
        <v>30</v>
      </c>
      <c r="FC19" s="270">
        <f t="shared" si="74"/>
        <v>6</v>
      </c>
      <c r="FD19" s="427">
        <f t="shared" si="75"/>
        <v>2.5000000000000026E-2</v>
      </c>
      <c r="FE19" s="421">
        <f t="shared" si="76"/>
        <v>40</v>
      </c>
      <c r="FF19" s="270">
        <f t="shared" si="77"/>
        <v>8</v>
      </c>
      <c r="FG19" s="427">
        <f t="shared" si="78"/>
        <v>2.5000000000000026E-2</v>
      </c>
      <c r="FH19" s="421">
        <f t="shared" si="79"/>
        <v>50</v>
      </c>
      <c r="FI19" s="270">
        <f t="shared" si="80"/>
        <v>10</v>
      </c>
      <c r="FJ19" s="427">
        <f t="shared" si="81"/>
        <v>2.5000000000000026E-2</v>
      </c>
      <c r="FK19" s="421">
        <f t="shared" si="82"/>
        <v>100</v>
      </c>
      <c r="FL19" s="270">
        <f t="shared" si="83"/>
        <v>20</v>
      </c>
      <c r="FM19" s="427">
        <f t="shared" si="84"/>
        <v>2.5000000000000026E-2</v>
      </c>
      <c r="FN19" s="421">
        <f t="shared" si="85"/>
        <v>200</v>
      </c>
      <c r="FO19" s="270">
        <f t="shared" si="86"/>
        <v>40</v>
      </c>
      <c r="FP19" s="427">
        <f t="shared" si="87"/>
        <v>2.5000000000000026E-2</v>
      </c>
      <c r="FQ19" s="421">
        <f t="shared" si="88"/>
        <v>300</v>
      </c>
      <c r="FR19" s="270">
        <f t="shared" si="89"/>
        <v>60</v>
      </c>
      <c r="FS19" s="427">
        <f t="shared" si="90"/>
        <v>2.5000000000000026E-2</v>
      </c>
      <c r="FT19" s="421">
        <f t="shared" si="91"/>
        <v>400</v>
      </c>
      <c r="FU19" s="270">
        <f t="shared" si="92"/>
        <v>80</v>
      </c>
      <c r="FV19" s="427">
        <f t="shared" si="93"/>
        <v>2.5000000000000026E-2</v>
      </c>
      <c r="FW19" s="421">
        <f t="shared" si="94"/>
        <v>500</v>
      </c>
      <c r="FX19" s="270">
        <f t="shared" si="95"/>
        <v>100</v>
      </c>
      <c r="FY19" s="427">
        <f t="shared" si="96"/>
        <v>2.5000000000000026E-2</v>
      </c>
      <c r="GA19" s="431"/>
      <c r="GB19" s="242"/>
      <c r="GF19" s="427"/>
      <c r="GG19" s="421">
        <v>1</v>
      </c>
      <c r="GH19" s="270">
        <v>1</v>
      </c>
      <c r="GI19" s="427">
        <f t="shared" si="97"/>
        <v>1.6666666666666679E-6</v>
      </c>
      <c r="GJ19" s="421">
        <f t="shared" si="98"/>
        <v>1</v>
      </c>
      <c r="GK19" s="270">
        <f t="shared" si="99"/>
        <v>1</v>
      </c>
      <c r="GL19" s="427">
        <f t="shared" si="100"/>
        <v>3.3333333333333359E-6</v>
      </c>
      <c r="GM19" s="421">
        <f t="shared" si="101"/>
        <v>1</v>
      </c>
      <c r="GN19" s="270">
        <f t="shared" si="102"/>
        <v>1</v>
      </c>
      <c r="GO19" s="427">
        <f t="shared" si="103"/>
        <v>5.0000000000000038E-6</v>
      </c>
      <c r="GP19" s="421">
        <f t="shared" si="104"/>
        <v>1</v>
      </c>
      <c r="GQ19" s="270">
        <f t="shared" si="105"/>
        <v>1</v>
      </c>
      <c r="GR19" s="427">
        <f t="shared" si="106"/>
        <v>6.6666666666666717E-6</v>
      </c>
      <c r="GS19" s="421">
        <f t="shared" si="107"/>
        <v>1</v>
      </c>
      <c r="GT19" s="270">
        <f t="shared" si="108"/>
        <v>1</v>
      </c>
      <c r="GU19" s="427">
        <f t="shared" si="109"/>
        <v>8.3333333333333405E-6</v>
      </c>
      <c r="GV19" s="421">
        <f t="shared" si="110"/>
        <v>1</v>
      </c>
      <c r="GW19" s="270">
        <f t="shared" si="111"/>
        <v>1</v>
      </c>
      <c r="GX19" s="427">
        <f t="shared" si="112"/>
        <v>1.6666666666666681E-5</v>
      </c>
      <c r="GY19" s="421">
        <f t="shared" si="113"/>
        <v>1</v>
      </c>
      <c r="GZ19" s="270">
        <f t="shared" si="114"/>
        <v>1</v>
      </c>
      <c r="HA19" s="427">
        <f t="shared" si="115"/>
        <v>3.3333333333333362E-5</v>
      </c>
      <c r="HB19" s="421">
        <f t="shared" si="116"/>
        <v>1</v>
      </c>
      <c r="HC19" s="270">
        <f t="shared" si="117"/>
        <v>1</v>
      </c>
      <c r="HD19" s="427">
        <f t="shared" si="118"/>
        <v>5.0000000000000043E-5</v>
      </c>
      <c r="HE19" s="421">
        <f t="shared" si="119"/>
        <v>1</v>
      </c>
      <c r="HF19" s="270">
        <f t="shared" si="120"/>
        <v>1</v>
      </c>
      <c r="HG19" s="427">
        <f t="shared" si="121"/>
        <v>6.6666666666666724E-5</v>
      </c>
      <c r="HH19" s="421">
        <f t="shared" si="122"/>
        <v>1</v>
      </c>
      <c r="HI19" s="270">
        <f t="shared" si="123"/>
        <v>1</v>
      </c>
      <c r="HJ19" s="427">
        <f t="shared" si="124"/>
        <v>8.3333333333333398E-5</v>
      </c>
      <c r="HK19" s="421">
        <f t="shared" si="125"/>
        <v>1</v>
      </c>
      <c r="HL19" s="270">
        <f t="shared" si="125"/>
        <v>1</v>
      </c>
      <c r="HM19" s="427">
        <f t="shared" si="126"/>
        <v>1.666666666666668E-4</v>
      </c>
      <c r="HN19" s="421">
        <f t="shared" si="127"/>
        <v>1</v>
      </c>
      <c r="HO19" s="270">
        <f t="shared" si="127"/>
        <v>1</v>
      </c>
      <c r="HP19" s="427">
        <f t="shared" si="128"/>
        <v>3.3333333333333359E-4</v>
      </c>
      <c r="HQ19" s="421">
        <f t="shared" si="129"/>
        <v>1</v>
      </c>
      <c r="HR19" s="270">
        <f t="shared" si="129"/>
        <v>1</v>
      </c>
      <c r="HS19" s="427">
        <f t="shared" si="130"/>
        <v>5.0000000000000044E-4</v>
      </c>
      <c r="HT19" s="421">
        <f t="shared" si="131"/>
        <v>1</v>
      </c>
      <c r="HU19" s="270">
        <f t="shared" si="131"/>
        <v>1</v>
      </c>
      <c r="HV19" s="427">
        <f t="shared" si="132"/>
        <v>6.6666666666666719E-4</v>
      </c>
      <c r="HW19" s="421">
        <f t="shared" si="133"/>
        <v>1</v>
      </c>
      <c r="HX19" s="270">
        <f t="shared" si="133"/>
        <v>1</v>
      </c>
      <c r="HY19" s="427">
        <f t="shared" si="134"/>
        <v>8.3333333333333404E-4</v>
      </c>
      <c r="HZ19" s="421">
        <f t="shared" si="135"/>
        <v>1</v>
      </c>
      <c r="IA19" s="270">
        <f t="shared" si="135"/>
        <v>1</v>
      </c>
      <c r="IB19" s="427">
        <f t="shared" si="136"/>
        <v>1.6666666666666681E-3</v>
      </c>
      <c r="IC19" s="421">
        <f t="shared" si="137"/>
        <v>1</v>
      </c>
      <c r="ID19" s="270">
        <f t="shared" si="137"/>
        <v>1</v>
      </c>
      <c r="IE19" s="427">
        <f t="shared" si="138"/>
        <v>3.3333333333333361E-3</v>
      </c>
      <c r="IF19" s="421">
        <f t="shared" si="139"/>
        <v>1</v>
      </c>
      <c r="IG19" s="270">
        <f t="shared" si="139"/>
        <v>1</v>
      </c>
      <c r="IH19" s="427">
        <f t="shared" si="140"/>
        <v>5.0000000000000044E-3</v>
      </c>
      <c r="II19" s="421">
        <f t="shared" si="141"/>
        <v>1</v>
      </c>
      <c r="IJ19" s="270">
        <f t="shared" si="141"/>
        <v>1</v>
      </c>
      <c r="IK19" s="427">
        <f t="shared" si="142"/>
        <v>6.6666666666666723E-3</v>
      </c>
      <c r="IL19" s="421">
        <f t="shared" si="143"/>
        <v>1</v>
      </c>
      <c r="IM19" s="270">
        <f t="shared" si="143"/>
        <v>1</v>
      </c>
      <c r="IN19" s="427">
        <f t="shared" si="144"/>
        <v>8.3333333333333402E-3</v>
      </c>
      <c r="IS19" s="447">
        <f t="shared" si="236"/>
        <v>0</v>
      </c>
      <c r="IT19" s="447">
        <f t="shared" si="236"/>
        <v>0</v>
      </c>
      <c r="IU19" s="447">
        <f t="shared" si="236"/>
        <v>0</v>
      </c>
      <c r="IV19" s="447">
        <f t="shared" si="236"/>
        <v>5.9999999999999995E-4</v>
      </c>
      <c r="IW19" s="447">
        <f t="shared" si="236"/>
        <v>7.5000000000000002E-4</v>
      </c>
      <c r="IX19" s="447">
        <f t="shared" si="236"/>
        <v>1.5E-3</v>
      </c>
      <c r="IY19" s="447">
        <f t="shared" si="236"/>
        <v>3.0000000000000001E-3</v>
      </c>
      <c r="IZ19" s="447">
        <f t="shared" si="236"/>
        <v>4.4999999999999997E-3</v>
      </c>
      <c r="JA19" s="447">
        <f t="shared" si="236"/>
        <v>6.0000000000000001E-3</v>
      </c>
      <c r="JB19" s="447">
        <f t="shared" si="236"/>
        <v>7.4999999999999997E-3</v>
      </c>
      <c r="JC19" s="447">
        <f t="shared" si="237"/>
        <v>1.4999999999999999E-2</v>
      </c>
      <c r="JD19" s="447">
        <f t="shared" si="237"/>
        <v>1.8749999999999999E-2</v>
      </c>
      <c r="JE19" s="447">
        <f t="shared" si="237"/>
        <v>1.8747E-2</v>
      </c>
      <c r="JF19" s="447">
        <f t="shared" si="237"/>
        <v>1.8744000000000004E-2</v>
      </c>
      <c r="JG19" s="447">
        <f t="shared" si="237"/>
        <v>1.8742499999999999E-2</v>
      </c>
      <c r="JH19" s="447">
        <f t="shared" si="237"/>
        <v>1.8735000000000002E-2</v>
      </c>
      <c r="JI19" s="447">
        <f t="shared" si="237"/>
        <v>1.8720000000000004E-2</v>
      </c>
      <c r="JJ19" s="447">
        <f t="shared" si="237"/>
        <v>1.8720000000000004E-2</v>
      </c>
      <c r="JK19" s="447">
        <f t="shared" si="237"/>
        <v>1.8720000000000004E-2</v>
      </c>
      <c r="JL19" s="447">
        <f t="shared" si="237"/>
        <v>1.8675000000000001E-2</v>
      </c>
      <c r="JQ19" s="455" t="s">
        <v>1659</v>
      </c>
      <c r="JR19" s="456">
        <v>1</v>
      </c>
      <c r="JS19" s="456">
        <v>10000000</v>
      </c>
      <c r="JT19" s="242"/>
      <c r="JU19" s="242">
        <f t="shared" si="198"/>
        <v>300000</v>
      </c>
      <c r="JV19" s="242">
        <f t="shared" si="199"/>
        <v>300000</v>
      </c>
      <c r="JW19" s="242">
        <f t="shared" si="216"/>
        <v>1</v>
      </c>
      <c r="JX19" s="242">
        <f t="shared" si="200"/>
        <v>500000</v>
      </c>
      <c r="JY19" s="241">
        <f t="shared" si="217"/>
        <v>0</v>
      </c>
      <c r="JZ19" s="241">
        <f t="shared" si="218"/>
        <v>300000</v>
      </c>
      <c r="KA19" s="241" t="str">
        <f t="shared" si="219"/>
        <v>期望符合预期</v>
      </c>
      <c r="KC19" s="242">
        <f t="shared" si="201"/>
        <v>600000</v>
      </c>
      <c r="KD19" s="242">
        <f t="shared" si="202"/>
        <v>500000</v>
      </c>
      <c r="KE19" s="242">
        <f t="shared" si="220"/>
        <v>0.6</v>
      </c>
      <c r="KF19" s="242">
        <f t="shared" si="203"/>
        <v>750000</v>
      </c>
      <c r="KG19" s="241">
        <f t="shared" si="221"/>
        <v>0.4</v>
      </c>
      <c r="KH19" s="241">
        <f t="shared" si="222"/>
        <v>600000</v>
      </c>
      <c r="KI19" s="241" t="str">
        <f t="shared" si="223"/>
        <v>期望符合预期</v>
      </c>
      <c r="KK19" s="242">
        <f t="shared" si="204"/>
        <v>900000</v>
      </c>
      <c r="KL19" s="242">
        <f t="shared" si="205"/>
        <v>750000</v>
      </c>
      <c r="KM19" s="242">
        <f t="shared" si="224"/>
        <v>0.4</v>
      </c>
      <c r="KN19" s="242">
        <f t="shared" si="206"/>
        <v>1000000</v>
      </c>
      <c r="KO19" s="241">
        <f t="shared" si="225"/>
        <v>0.6</v>
      </c>
      <c r="KP19" s="241">
        <f t="shared" si="226"/>
        <v>900000</v>
      </c>
      <c r="KQ19" s="241" t="str">
        <f t="shared" si="227"/>
        <v>期望符合预期</v>
      </c>
      <c r="KS19" s="242">
        <f t="shared" si="207"/>
        <v>1200000</v>
      </c>
      <c r="KT19" s="242">
        <f t="shared" si="208"/>
        <v>1000000</v>
      </c>
      <c r="KU19" s="242">
        <f t="shared" si="228"/>
        <v>0.6</v>
      </c>
      <c r="KV19" s="242">
        <f t="shared" si="209"/>
        <v>1500000</v>
      </c>
      <c r="KW19" s="241">
        <f t="shared" si="229"/>
        <v>0.4</v>
      </c>
      <c r="KX19" s="241">
        <f t="shared" si="230"/>
        <v>1200000</v>
      </c>
      <c r="KY19" s="241" t="str">
        <f t="shared" si="231"/>
        <v>期望符合预期</v>
      </c>
      <c r="LA19" s="242">
        <f t="shared" si="210"/>
        <v>1500000</v>
      </c>
      <c r="LB19" s="242">
        <f t="shared" si="211"/>
        <v>1500000</v>
      </c>
      <c r="LC19" s="242">
        <f t="shared" si="232"/>
        <v>1</v>
      </c>
      <c r="LD19" s="242">
        <f t="shared" si="212"/>
        <v>2000000</v>
      </c>
      <c r="LE19" s="241">
        <f t="shared" si="233"/>
        <v>0</v>
      </c>
      <c r="LF19" s="241">
        <f t="shared" si="234"/>
        <v>1500000</v>
      </c>
      <c r="LG19" s="241" t="str">
        <f t="shared" si="235"/>
        <v>期望符合预期</v>
      </c>
    </row>
    <row r="20" spans="1:319" ht="16.2" x14ac:dyDescent="0.4">
      <c r="A20" s="63">
        <v>16</v>
      </c>
      <c r="B20" s="254" t="s">
        <v>1660</v>
      </c>
      <c r="C20" s="63">
        <v>2</v>
      </c>
      <c r="D20" s="63">
        <v>-1</v>
      </c>
      <c r="E20" s="63">
        <v>18</v>
      </c>
      <c r="F20" s="63">
        <f t="shared" si="16"/>
        <v>18</v>
      </c>
      <c r="G20" s="63">
        <f t="shared" si="167"/>
        <v>18</v>
      </c>
      <c r="H20" s="63"/>
      <c r="I20" s="265"/>
      <c r="J20" s="63">
        <f t="shared" si="238"/>
        <v>0</v>
      </c>
      <c r="K20" s="63">
        <f t="shared" si="18"/>
        <v>0</v>
      </c>
      <c r="L20" s="63">
        <v>0</v>
      </c>
      <c r="M20" s="266">
        <f>ROUND($BX$7/('全局参数|GlobalPar'!$B$19/10000/E20),6)*(7/5)</f>
        <v>1.2500599999999999E-2</v>
      </c>
      <c r="N20" s="267">
        <v>1</v>
      </c>
      <c r="O20" s="268">
        <f>ROUND(IF(N20&lt;&gt;0,$BX$4/('全局参数|GlobalPar'!$B$19/10000/E20)/N20,0),6)</f>
        <v>0</v>
      </c>
      <c r="P20" s="270">
        <f t="shared" si="19"/>
        <v>3.5999999999999999E-3</v>
      </c>
      <c r="Q20" s="285">
        <f t="shared" si="20"/>
        <v>0</v>
      </c>
      <c r="R20" s="282">
        <v>6</v>
      </c>
      <c r="S20" s="283">
        <v>1</v>
      </c>
      <c r="T20" s="284" t="str">
        <f t="shared" si="21"/>
        <v>[[6,1],[6,1],[6,1],[6,1],[6,1],[6,1],[6,1],[6,1],[6,1],[6,1],[12,2],[24,4],[36,6],[48,8],[60,10],[120,20],[240,40],[360,60],[480,80],[600,100]]</v>
      </c>
      <c r="U20" s="284">
        <v>1</v>
      </c>
      <c r="V20" s="284">
        <v>1</v>
      </c>
      <c r="W20" s="284" t="str">
        <f t="shared" si="168"/>
        <v>[[1,1],[1,1],[1,1],[1,1],[1,1],[1,1],[1,1],[1,1],[1,1],[1,1],[1,1],[1,1],[1,1],[1,1],[1,1],[1,1],[1,1],[1,1],[1,1],[1,1]]</v>
      </c>
      <c r="X20" s="63">
        <v>0</v>
      </c>
      <c r="Y20" s="305">
        <v>0</v>
      </c>
      <c r="Z20" s="303">
        <f t="shared" si="22"/>
        <v>0</v>
      </c>
      <c r="AA20" s="303">
        <v>0.06</v>
      </c>
      <c r="AB20" s="303">
        <f t="shared" si="169"/>
        <v>0.1</v>
      </c>
      <c r="AC20" s="304">
        <f t="shared" si="213"/>
        <v>0.05</v>
      </c>
      <c r="AD20" s="304">
        <f t="shared" si="213"/>
        <v>0</v>
      </c>
      <c r="AE20" s="304">
        <f t="shared" si="213"/>
        <v>0</v>
      </c>
      <c r="AF20" s="304">
        <f t="shared" si="213"/>
        <v>0</v>
      </c>
      <c r="AG20" s="63" t="str">
        <f t="shared" si="170"/>
        <v>[[1,5],[2,2],[3,1]]</v>
      </c>
      <c r="AH20" s="256" t="str">
        <f t="shared" si="171"/>
        <v>[0.16,0.08,0.053333]</v>
      </c>
      <c r="AI20" s="256">
        <v>0</v>
      </c>
      <c r="AJ20" s="256">
        <v>1</v>
      </c>
      <c r="AK20" s="256">
        <f t="shared" si="23"/>
        <v>1</v>
      </c>
      <c r="AL20" s="256">
        <v>0</v>
      </c>
      <c r="AM20" s="256">
        <f t="shared" si="172"/>
        <v>5.4</v>
      </c>
      <c r="AN20" s="256" t="s">
        <v>2548</v>
      </c>
      <c r="AO20" s="324">
        <v>6</v>
      </c>
      <c r="AP20" s="63">
        <f t="shared" si="24"/>
        <v>-1</v>
      </c>
      <c r="AQ20" s="63">
        <v>0</v>
      </c>
      <c r="AR20" s="39"/>
      <c r="AS20" s="39">
        <v>3</v>
      </c>
      <c r="AT20" s="39">
        <v>0</v>
      </c>
      <c r="AU20" s="261">
        <v>0.88</v>
      </c>
      <c r="AV20" s="63">
        <f t="shared" ref="AV20" si="241">AU20/0.67</f>
        <v>1.3134328358208955</v>
      </c>
      <c r="AW20" s="63">
        <v>1</v>
      </c>
      <c r="AX20" s="63">
        <v>1</v>
      </c>
      <c r="AY20" s="63"/>
      <c r="AZ20" s="39"/>
      <c r="BA20" s="39"/>
      <c r="BB20" s="328">
        <v>0.6</v>
      </c>
      <c r="BC20" s="39">
        <v>30</v>
      </c>
      <c r="BD20" s="39">
        <v>0.18</v>
      </c>
      <c r="BE20" s="39">
        <v>0.8</v>
      </c>
      <c r="BF20" s="39">
        <v>1</v>
      </c>
      <c r="BG20" s="39" t="s">
        <v>1604</v>
      </c>
      <c r="BH20" s="331" t="s">
        <v>1661</v>
      </c>
      <c r="BI20" s="331" t="s">
        <v>1661</v>
      </c>
      <c r="BJ20" s="265" t="s">
        <v>1662</v>
      </c>
      <c r="BK20" s="265" t="s">
        <v>280</v>
      </c>
      <c r="BL20" s="265"/>
      <c r="BM20" s="265"/>
      <c r="BN20" s="81">
        <f t="shared" si="25"/>
        <v>13.5</v>
      </c>
      <c r="BO20" s="343">
        <f t="shared" si="26"/>
        <v>11.111111111111111</v>
      </c>
      <c r="BP20" s="81" t="s">
        <v>1606</v>
      </c>
      <c r="BQ20" s="81">
        <f t="shared" si="27"/>
        <v>0.65700000000000003</v>
      </c>
      <c r="BR20" s="81"/>
      <c r="BS20" s="63">
        <f t="shared" si="28"/>
        <v>18</v>
      </c>
      <c r="BT20" s="63">
        <f t="shared" si="29"/>
        <v>19.080000000000002</v>
      </c>
      <c r="BV20" s="63">
        <f t="shared" si="30"/>
        <v>0</v>
      </c>
      <c r="CG20" s="371">
        <f t="shared" si="31"/>
        <v>19.8</v>
      </c>
      <c r="CH20" s="372">
        <f t="shared" si="214"/>
        <v>0.1</v>
      </c>
      <c r="CI20" s="373">
        <v>1</v>
      </c>
      <c r="CJ20" s="143">
        <v>5</v>
      </c>
      <c r="CK20" s="373">
        <v>2</v>
      </c>
      <c r="CL20" s="143">
        <v>2</v>
      </c>
      <c r="CM20" s="373">
        <v>3</v>
      </c>
      <c r="CN20" s="143">
        <v>1</v>
      </c>
      <c r="CO20" s="143">
        <f t="shared" si="174"/>
        <v>1.5</v>
      </c>
      <c r="CP20" s="143">
        <f t="shared" si="175"/>
        <v>7.5</v>
      </c>
      <c r="CQ20" s="377">
        <f t="shared" si="176"/>
        <v>0.16</v>
      </c>
      <c r="CR20" s="143">
        <f t="shared" si="32"/>
        <v>15</v>
      </c>
      <c r="CS20" s="378">
        <f t="shared" si="177"/>
        <v>0.08</v>
      </c>
      <c r="CT20" s="143">
        <f t="shared" si="32"/>
        <v>22.5</v>
      </c>
      <c r="CU20" s="392">
        <f t="shared" si="178"/>
        <v>5.3332999999999998E-2</v>
      </c>
      <c r="CW20" s="241">
        <v>2E-3</v>
      </c>
      <c r="CX20" s="396">
        <f t="shared" si="215"/>
        <v>0</v>
      </c>
      <c r="CY20" s="270">
        <f t="shared" si="33"/>
        <v>0</v>
      </c>
      <c r="CZ20" s="394">
        <f t="shared" si="34"/>
        <v>0</v>
      </c>
      <c r="DA20" s="394">
        <f t="shared" si="35"/>
        <v>0</v>
      </c>
      <c r="DB20" s="395">
        <f t="shared" si="179"/>
        <v>0</v>
      </c>
      <c r="DC20" s="419">
        <f t="shared" si="36"/>
        <v>0</v>
      </c>
      <c r="DD20" s="394">
        <f t="shared" si="37"/>
        <v>0</v>
      </c>
      <c r="DE20" s="420" t="e">
        <f t="shared" si="38"/>
        <v>#DIV/0!</v>
      </c>
      <c r="DF20" s="421">
        <f t="shared" si="180"/>
        <v>6</v>
      </c>
      <c r="DG20" s="422">
        <f t="shared" si="181"/>
        <v>1</v>
      </c>
      <c r="DH20" s="284"/>
      <c r="DI20" s="282">
        <v>6</v>
      </c>
      <c r="DJ20" s="283">
        <v>1</v>
      </c>
      <c r="DL20" s="431"/>
      <c r="DM20" s="242"/>
      <c r="DQ20" s="427"/>
      <c r="DR20" s="421">
        <v>6</v>
      </c>
      <c r="DS20" s="270">
        <v>1</v>
      </c>
      <c r="DT20" s="427">
        <f t="shared" si="39"/>
        <v>5.0000000000000055E-4</v>
      </c>
      <c r="DU20" s="421">
        <f t="shared" si="40"/>
        <v>6</v>
      </c>
      <c r="DV20" s="270">
        <f t="shared" si="182"/>
        <v>1</v>
      </c>
      <c r="DW20" s="427">
        <f t="shared" si="42"/>
        <v>1.0000000000000011E-3</v>
      </c>
      <c r="DX20" s="421">
        <f t="shared" si="43"/>
        <v>6</v>
      </c>
      <c r="DY20" s="270">
        <f t="shared" si="183"/>
        <v>1</v>
      </c>
      <c r="DZ20" s="427">
        <f t="shared" si="45"/>
        <v>1.5000000000000015E-3</v>
      </c>
      <c r="EA20" s="421">
        <f t="shared" si="184"/>
        <v>6</v>
      </c>
      <c r="EB20" s="270">
        <f t="shared" si="185"/>
        <v>1</v>
      </c>
      <c r="EC20" s="427">
        <f t="shared" si="48"/>
        <v>2.0000000000000022E-3</v>
      </c>
      <c r="ED20" s="421">
        <f t="shared" si="186"/>
        <v>6</v>
      </c>
      <c r="EE20" s="270">
        <f t="shared" si="187"/>
        <v>1</v>
      </c>
      <c r="EF20" s="427">
        <f t="shared" si="51"/>
        <v>2.5000000000000027E-3</v>
      </c>
      <c r="EG20" s="421">
        <f t="shared" si="188"/>
        <v>6</v>
      </c>
      <c r="EH20" s="270">
        <f t="shared" si="189"/>
        <v>1</v>
      </c>
      <c r="EI20" s="427">
        <f t="shared" si="54"/>
        <v>5.0000000000000053E-3</v>
      </c>
      <c r="EJ20" s="421">
        <f t="shared" si="190"/>
        <v>6</v>
      </c>
      <c r="EK20" s="270">
        <f t="shared" si="191"/>
        <v>1</v>
      </c>
      <c r="EL20" s="427">
        <f t="shared" si="57"/>
        <v>1.0000000000000011E-2</v>
      </c>
      <c r="EM20" s="421">
        <f t="shared" si="192"/>
        <v>6</v>
      </c>
      <c r="EN20" s="270">
        <f t="shared" si="193"/>
        <v>1</v>
      </c>
      <c r="EO20" s="427">
        <f t="shared" si="60"/>
        <v>1.5000000000000017E-2</v>
      </c>
      <c r="EP20" s="421">
        <f t="shared" si="194"/>
        <v>6</v>
      </c>
      <c r="EQ20" s="270">
        <f t="shared" si="195"/>
        <v>1</v>
      </c>
      <c r="ER20" s="427">
        <f t="shared" si="63"/>
        <v>2.0000000000000021E-2</v>
      </c>
      <c r="ES20" s="421">
        <f t="shared" si="196"/>
        <v>6</v>
      </c>
      <c r="ET20" s="270">
        <f t="shared" si="197"/>
        <v>1</v>
      </c>
      <c r="EU20" s="427">
        <f t="shared" si="66"/>
        <v>2.5000000000000026E-2</v>
      </c>
      <c r="EV20" s="421">
        <f t="shared" si="67"/>
        <v>12</v>
      </c>
      <c r="EW20" s="270">
        <f t="shared" si="68"/>
        <v>2</v>
      </c>
      <c r="EX20" s="427">
        <f t="shared" si="69"/>
        <v>2.5000000000000026E-2</v>
      </c>
      <c r="EY20" s="421">
        <f t="shared" si="70"/>
        <v>24</v>
      </c>
      <c r="EZ20" s="270">
        <f t="shared" si="71"/>
        <v>4</v>
      </c>
      <c r="FA20" s="427">
        <f t="shared" si="72"/>
        <v>2.5000000000000026E-2</v>
      </c>
      <c r="FB20" s="421">
        <f t="shared" si="73"/>
        <v>36</v>
      </c>
      <c r="FC20" s="270">
        <f t="shared" si="74"/>
        <v>6</v>
      </c>
      <c r="FD20" s="427">
        <f t="shared" si="75"/>
        <v>2.5000000000000026E-2</v>
      </c>
      <c r="FE20" s="421">
        <f t="shared" si="76"/>
        <v>48</v>
      </c>
      <c r="FF20" s="270">
        <f t="shared" si="77"/>
        <v>8</v>
      </c>
      <c r="FG20" s="427">
        <f t="shared" si="78"/>
        <v>2.5000000000000026E-2</v>
      </c>
      <c r="FH20" s="421">
        <f t="shared" si="79"/>
        <v>60</v>
      </c>
      <c r="FI20" s="270">
        <f t="shared" si="80"/>
        <v>10</v>
      </c>
      <c r="FJ20" s="427">
        <f t="shared" si="81"/>
        <v>2.5000000000000026E-2</v>
      </c>
      <c r="FK20" s="421">
        <f t="shared" si="82"/>
        <v>120</v>
      </c>
      <c r="FL20" s="270">
        <f t="shared" si="83"/>
        <v>20</v>
      </c>
      <c r="FM20" s="427">
        <f t="shared" si="84"/>
        <v>2.5000000000000026E-2</v>
      </c>
      <c r="FN20" s="421">
        <f t="shared" si="85"/>
        <v>240</v>
      </c>
      <c r="FO20" s="270">
        <f t="shared" si="86"/>
        <v>40</v>
      </c>
      <c r="FP20" s="427">
        <f t="shared" si="87"/>
        <v>2.5000000000000026E-2</v>
      </c>
      <c r="FQ20" s="421">
        <f t="shared" si="88"/>
        <v>360</v>
      </c>
      <c r="FR20" s="270">
        <f t="shared" si="89"/>
        <v>60</v>
      </c>
      <c r="FS20" s="427">
        <f t="shared" si="90"/>
        <v>2.5000000000000026E-2</v>
      </c>
      <c r="FT20" s="421">
        <f t="shared" si="91"/>
        <v>480</v>
      </c>
      <c r="FU20" s="270">
        <f t="shared" si="92"/>
        <v>80</v>
      </c>
      <c r="FV20" s="427">
        <f t="shared" si="93"/>
        <v>2.5000000000000026E-2</v>
      </c>
      <c r="FW20" s="421">
        <f t="shared" si="94"/>
        <v>600</v>
      </c>
      <c r="FX20" s="270">
        <f t="shared" si="95"/>
        <v>100</v>
      </c>
      <c r="FY20" s="427">
        <f t="shared" si="96"/>
        <v>2.5000000000000026E-2</v>
      </c>
      <c r="GA20" s="431"/>
      <c r="GB20" s="242"/>
      <c r="GF20" s="427"/>
      <c r="GG20" s="421">
        <v>1</v>
      </c>
      <c r="GH20" s="270">
        <v>1</v>
      </c>
      <c r="GI20" s="427">
        <f t="shared" si="97"/>
        <v>2.0000000000000016E-6</v>
      </c>
      <c r="GJ20" s="421">
        <f t="shared" si="98"/>
        <v>1</v>
      </c>
      <c r="GK20" s="270">
        <f t="shared" si="99"/>
        <v>1</v>
      </c>
      <c r="GL20" s="427">
        <f t="shared" si="100"/>
        <v>4.0000000000000032E-6</v>
      </c>
      <c r="GM20" s="421">
        <f t="shared" si="101"/>
        <v>1</v>
      </c>
      <c r="GN20" s="270">
        <f t="shared" si="102"/>
        <v>1</v>
      </c>
      <c r="GO20" s="427">
        <f t="shared" si="103"/>
        <v>6.0000000000000052E-6</v>
      </c>
      <c r="GP20" s="421">
        <f t="shared" si="104"/>
        <v>1</v>
      </c>
      <c r="GQ20" s="270">
        <f t="shared" si="105"/>
        <v>1</v>
      </c>
      <c r="GR20" s="427">
        <f t="shared" si="106"/>
        <v>8.0000000000000064E-6</v>
      </c>
      <c r="GS20" s="421">
        <f t="shared" si="107"/>
        <v>1</v>
      </c>
      <c r="GT20" s="270">
        <f t="shared" si="108"/>
        <v>1</v>
      </c>
      <c r="GU20" s="427">
        <f t="shared" si="109"/>
        <v>1.0000000000000008E-5</v>
      </c>
      <c r="GV20" s="421">
        <f t="shared" si="110"/>
        <v>1</v>
      </c>
      <c r="GW20" s="270">
        <f t="shared" si="111"/>
        <v>1</v>
      </c>
      <c r="GX20" s="427">
        <f t="shared" si="112"/>
        <v>2.0000000000000015E-5</v>
      </c>
      <c r="GY20" s="421">
        <f t="shared" si="113"/>
        <v>1</v>
      </c>
      <c r="GZ20" s="270">
        <f t="shared" si="114"/>
        <v>1</v>
      </c>
      <c r="HA20" s="427">
        <f t="shared" si="115"/>
        <v>4.000000000000003E-5</v>
      </c>
      <c r="HB20" s="421">
        <f t="shared" si="116"/>
        <v>1</v>
      </c>
      <c r="HC20" s="270">
        <f t="shared" si="117"/>
        <v>1</v>
      </c>
      <c r="HD20" s="427">
        <f t="shared" si="118"/>
        <v>6.0000000000000049E-5</v>
      </c>
      <c r="HE20" s="421">
        <f t="shared" si="119"/>
        <v>1</v>
      </c>
      <c r="HF20" s="270">
        <f t="shared" si="120"/>
        <v>1</v>
      </c>
      <c r="HG20" s="427">
        <f t="shared" si="121"/>
        <v>8.0000000000000061E-5</v>
      </c>
      <c r="HH20" s="421">
        <f t="shared" si="122"/>
        <v>1</v>
      </c>
      <c r="HI20" s="270">
        <f t="shared" si="123"/>
        <v>1</v>
      </c>
      <c r="HJ20" s="427">
        <f t="shared" si="124"/>
        <v>1.0000000000000009E-4</v>
      </c>
      <c r="HK20" s="421">
        <f t="shared" si="125"/>
        <v>1</v>
      </c>
      <c r="HL20" s="270">
        <f t="shared" si="125"/>
        <v>1</v>
      </c>
      <c r="HM20" s="427">
        <f t="shared" si="126"/>
        <v>2.0000000000000017E-4</v>
      </c>
      <c r="HN20" s="421">
        <f t="shared" si="127"/>
        <v>1</v>
      </c>
      <c r="HO20" s="270">
        <f t="shared" si="127"/>
        <v>1</v>
      </c>
      <c r="HP20" s="427">
        <f t="shared" si="128"/>
        <v>4.0000000000000034E-4</v>
      </c>
      <c r="HQ20" s="421">
        <f t="shared" si="129"/>
        <v>1</v>
      </c>
      <c r="HR20" s="270">
        <f t="shared" si="129"/>
        <v>1</v>
      </c>
      <c r="HS20" s="427">
        <f t="shared" si="130"/>
        <v>6.0000000000000049E-4</v>
      </c>
      <c r="HT20" s="421">
        <f t="shared" si="131"/>
        <v>1</v>
      </c>
      <c r="HU20" s="270">
        <f t="shared" si="131"/>
        <v>1</v>
      </c>
      <c r="HV20" s="427">
        <f t="shared" si="132"/>
        <v>8.0000000000000069E-4</v>
      </c>
      <c r="HW20" s="421">
        <f t="shared" si="133"/>
        <v>1</v>
      </c>
      <c r="HX20" s="270">
        <f t="shared" si="133"/>
        <v>1</v>
      </c>
      <c r="HY20" s="427">
        <f t="shared" si="134"/>
        <v>1.0000000000000009E-3</v>
      </c>
      <c r="HZ20" s="421">
        <f t="shared" si="135"/>
        <v>1</v>
      </c>
      <c r="IA20" s="270">
        <f t="shared" si="135"/>
        <v>1</v>
      </c>
      <c r="IB20" s="427">
        <f t="shared" si="136"/>
        <v>2.0000000000000018E-3</v>
      </c>
      <c r="IC20" s="421">
        <f t="shared" si="137"/>
        <v>1</v>
      </c>
      <c r="ID20" s="270">
        <f t="shared" si="137"/>
        <v>1</v>
      </c>
      <c r="IE20" s="427">
        <f t="shared" si="138"/>
        <v>4.0000000000000036E-3</v>
      </c>
      <c r="IF20" s="421">
        <f t="shared" si="139"/>
        <v>1</v>
      </c>
      <c r="IG20" s="270">
        <f t="shared" si="139"/>
        <v>1</v>
      </c>
      <c r="IH20" s="427">
        <f t="shared" si="140"/>
        <v>6.0000000000000045E-3</v>
      </c>
      <c r="II20" s="421">
        <f t="shared" si="141"/>
        <v>1</v>
      </c>
      <c r="IJ20" s="270">
        <f t="shared" si="141"/>
        <v>1</v>
      </c>
      <c r="IK20" s="427">
        <f t="shared" si="142"/>
        <v>8.0000000000000071E-3</v>
      </c>
      <c r="IL20" s="421">
        <f t="shared" si="143"/>
        <v>1</v>
      </c>
      <c r="IM20" s="270">
        <f t="shared" si="143"/>
        <v>1</v>
      </c>
      <c r="IN20" s="427">
        <f t="shared" si="144"/>
        <v>1.0000000000000009E-2</v>
      </c>
      <c r="IS20" s="447">
        <f t="shared" si="236"/>
        <v>0</v>
      </c>
      <c r="IT20" s="447">
        <f t="shared" si="236"/>
        <v>0</v>
      </c>
      <c r="IU20" s="447">
        <f t="shared" si="236"/>
        <v>0</v>
      </c>
      <c r="IV20" s="447">
        <f t="shared" si="236"/>
        <v>7.2000000000000005E-4</v>
      </c>
      <c r="IW20" s="447">
        <f t="shared" si="236"/>
        <v>8.9999999999999998E-4</v>
      </c>
      <c r="IX20" s="447">
        <f t="shared" si="236"/>
        <v>1.8E-3</v>
      </c>
      <c r="IY20" s="447">
        <f t="shared" si="236"/>
        <v>3.5999999999999999E-3</v>
      </c>
      <c r="IZ20" s="447">
        <f t="shared" si="236"/>
        <v>5.4000000000000003E-3</v>
      </c>
      <c r="JA20" s="447">
        <f t="shared" si="236"/>
        <v>7.1999999999999998E-3</v>
      </c>
      <c r="JB20" s="447">
        <f t="shared" si="236"/>
        <v>8.9999999999999993E-3</v>
      </c>
      <c r="JC20" s="447">
        <f t="shared" si="237"/>
        <v>1.7999999999999999E-2</v>
      </c>
      <c r="JD20" s="447">
        <f t="shared" si="237"/>
        <v>2.2499999999999999E-2</v>
      </c>
      <c r="JE20" s="447">
        <f t="shared" si="237"/>
        <v>2.2496400000000003E-2</v>
      </c>
      <c r="JF20" s="447">
        <f t="shared" si="237"/>
        <v>2.24928E-2</v>
      </c>
      <c r="JG20" s="447">
        <f t="shared" si="237"/>
        <v>2.2491000000000004E-2</v>
      </c>
      <c r="JH20" s="447">
        <f t="shared" si="237"/>
        <v>2.2482000000000002E-2</v>
      </c>
      <c r="JI20" s="447">
        <f t="shared" si="237"/>
        <v>2.2464000000000005E-2</v>
      </c>
      <c r="JJ20" s="447">
        <f t="shared" si="237"/>
        <v>2.2464000000000001E-2</v>
      </c>
      <c r="JK20" s="447">
        <f t="shared" si="237"/>
        <v>2.2464000000000005E-2</v>
      </c>
      <c r="JL20" s="447">
        <f t="shared" si="237"/>
        <v>2.2409999999999999E-2</v>
      </c>
      <c r="JQ20" s="455" t="s">
        <v>1656</v>
      </c>
      <c r="JR20" s="456">
        <v>3</v>
      </c>
      <c r="JS20" s="456">
        <v>15000000</v>
      </c>
      <c r="JT20" s="242"/>
      <c r="JU20" s="242">
        <f t="shared" si="198"/>
        <v>360000</v>
      </c>
      <c r="JV20" s="242">
        <f t="shared" si="199"/>
        <v>300000</v>
      </c>
      <c r="JW20" s="242">
        <f t="shared" si="216"/>
        <v>0.7</v>
      </c>
      <c r="JX20" s="242">
        <f t="shared" si="200"/>
        <v>500000</v>
      </c>
      <c r="JY20" s="241">
        <f t="shared" si="217"/>
        <v>0.3</v>
      </c>
      <c r="JZ20" s="241">
        <f t="shared" si="218"/>
        <v>360000</v>
      </c>
      <c r="KA20" s="241" t="str">
        <f t="shared" si="219"/>
        <v>期望符合预期</v>
      </c>
      <c r="KC20" s="242">
        <f t="shared" si="201"/>
        <v>720000</v>
      </c>
      <c r="KD20" s="242">
        <f t="shared" si="202"/>
        <v>500000</v>
      </c>
      <c r="KE20" s="242">
        <f t="shared" si="220"/>
        <v>0.12</v>
      </c>
      <c r="KF20" s="242">
        <f t="shared" si="203"/>
        <v>750000</v>
      </c>
      <c r="KG20" s="241">
        <f t="shared" si="221"/>
        <v>0.88</v>
      </c>
      <c r="KH20" s="241">
        <f t="shared" si="222"/>
        <v>720000</v>
      </c>
      <c r="KI20" s="241" t="str">
        <f t="shared" si="223"/>
        <v>期望符合预期</v>
      </c>
      <c r="KK20" s="242">
        <f t="shared" si="204"/>
        <v>1080000</v>
      </c>
      <c r="KL20" s="242">
        <f t="shared" si="205"/>
        <v>1000000</v>
      </c>
      <c r="KM20" s="242">
        <f t="shared" si="224"/>
        <v>0.84</v>
      </c>
      <c r="KN20" s="242">
        <f t="shared" si="206"/>
        <v>1500000</v>
      </c>
      <c r="KO20" s="241">
        <f t="shared" si="225"/>
        <v>0.16</v>
      </c>
      <c r="KP20" s="241">
        <f t="shared" si="226"/>
        <v>1080000</v>
      </c>
      <c r="KQ20" s="241" t="str">
        <f t="shared" si="227"/>
        <v>期望符合预期</v>
      </c>
      <c r="KS20" s="242">
        <f t="shared" si="207"/>
        <v>1440000</v>
      </c>
      <c r="KT20" s="242">
        <f t="shared" si="208"/>
        <v>1000000</v>
      </c>
      <c r="KU20" s="242">
        <f t="shared" si="228"/>
        <v>0.12</v>
      </c>
      <c r="KV20" s="242">
        <f t="shared" si="209"/>
        <v>1500000</v>
      </c>
      <c r="KW20" s="241">
        <f t="shared" si="229"/>
        <v>0.88</v>
      </c>
      <c r="KX20" s="241">
        <f t="shared" si="230"/>
        <v>1440000</v>
      </c>
      <c r="KY20" s="241" t="str">
        <f t="shared" si="231"/>
        <v>期望符合预期</v>
      </c>
      <c r="LA20" s="242">
        <f t="shared" si="210"/>
        <v>1800000</v>
      </c>
      <c r="LB20" s="242">
        <f t="shared" si="211"/>
        <v>1500000</v>
      </c>
      <c r="LC20" s="242">
        <f t="shared" si="232"/>
        <v>0.4</v>
      </c>
      <c r="LD20" s="242">
        <f t="shared" si="212"/>
        <v>2000000</v>
      </c>
      <c r="LE20" s="241">
        <f t="shared" si="233"/>
        <v>0.6</v>
      </c>
      <c r="LF20" s="241">
        <f t="shared" si="234"/>
        <v>1800000</v>
      </c>
      <c r="LG20" s="241" t="str">
        <f t="shared" si="235"/>
        <v>期望符合预期</v>
      </c>
    </row>
    <row r="21" spans="1:319" ht="16.2" x14ac:dyDescent="0.4">
      <c r="A21" s="63">
        <v>17</v>
      </c>
      <c r="B21" s="254" t="s">
        <v>1663</v>
      </c>
      <c r="C21" s="63">
        <v>2</v>
      </c>
      <c r="D21" s="63">
        <v>-1</v>
      </c>
      <c r="E21" s="63">
        <v>20</v>
      </c>
      <c r="F21" s="63" t="s">
        <v>1664</v>
      </c>
      <c r="G21" s="63">
        <f t="shared" si="167"/>
        <v>20</v>
      </c>
      <c r="H21" s="63"/>
      <c r="I21" s="265" t="s">
        <v>1665</v>
      </c>
      <c r="J21" s="63">
        <f t="shared" si="238"/>
        <v>0</v>
      </c>
      <c r="K21" s="63">
        <f t="shared" si="18"/>
        <v>0</v>
      </c>
      <c r="L21" s="63">
        <v>0</v>
      </c>
      <c r="M21" s="266">
        <f>ROUND($BX$7/('全局参数|GlobalPar'!$B$19/10000/E21),6)*(7/5)</f>
        <v>1.3889399999999998E-2</v>
      </c>
      <c r="N21" s="267">
        <v>1</v>
      </c>
      <c r="O21" s="268">
        <f>ROUND(IF(N21&lt;&gt;0,$BX$4/('全局参数|GlobalPar'!$B$19/10000/E21)/N21,0),6)</f>
        <v>0</v>
      </c>
      <c r="P21" s="270">
        <f t="shared" si="19"/>
        <v>4.0000000000000001E-3</v>
      </c>
      <c r="Q21" s="285">
        <f t="shared" si="20"/>
        <v>0</v>
      </c>
      <c r="R21" s="282">
        <v>6</v>
      </c>
      <c r="S21" s="283">
        <v>1</v>
      </c>
      <c r="T21" s="284" t="str">
        <f t="shared" si="21"/>
        <v>[[6,1],[6,1],[6,1],[6,1],[6,1],[6,1],[6,1],[6,1],[6,1],[6,1],[12,2],[24,4],[36,6],[48,8],[60,10],[120,20],[240,40],[360,60],[480,80],[600,100]]</v>
      </c>
      <c r="U21" s="284">
        <v>1</v>
      </c>
      <c r="V21" s="284">
        <v>1</v>
      </c>
      <c r="W21" s="284" t="str">
        <f t="shared" si="168"/>
        <v>[[1,1],[1,1],[1,1],[1,1],[1,1],[1,1],[1,1],[1,1],[1,1],[1,1],[1,1],[1,1],[1,1],[1,1],[1,1],[1,1],[1,1],[1,1],[1,1],[1,1]]</v>
      </c>
      <c r="X21" s="63">
        <v>0</v>
      </c>
      <c r="Y21" s="305">
        <v>0</v>
      </c>
      <c r="Z21" s="303">
        <f t="shared" si="22"/>
        <v>0</v>
      </c>
      <c r="AA21" s="303">
        <v>0.06</v>
      </c>
      <c r="AB21" s="303">
        <f t="shared" si="169"/>
        <v>0.1</v>
      </c>
      <c r="AC21" s="304">
        <f t="shared" si="213"/>
        <v>0.05</v>
      </c>
      <c r="AD21" s="304">
        <f t="shared" si="213"/>
        <v>0</v>
      </c>
      <c r="AE21" s="304">
        <f t="shared" si="213"/>
        <v>0</v>
      </c>
      <c r="AF21" s="304">
        <f t="shared" si="213"/>
        <v>0</v>
      </c>
      <c r="AG21" s="63" t="str">
        <f t="shared" si="170"/>
        <v>[[1,5],[2,2],[3,1]]</v>
      </c>
      <c r="AH21" s="256" t="str">
        <f t="shared" si="171"/>
        <v>[0.177778,0.088889,0.059259]</v>
      </c>
      <c r="AI21" s="256">
        <v>0</v>
      </c>
      <c r="AJ21" s="256">
        <v>1</v>
      </c>
      <c r="AK21" s="256">
        <f t="shared" si="23"/>
        <v>1</v>
      </c>
      <c r="AL21" s="256">
        <v>0</v>
      </c>
      <c r="AM21" s="256">
        <f t="shared" si="172"/>
        <v>6</v>
      </c>
      <c r="AN21" s="256" t="s">
        <v>2548</v>
      </c>
      <c r="AO21" s="324">
        <v>7</v>
      </c>
      <c r="AP21" s="63">
        <f t="shared" si="24"/>
        <v>-1</v>
      </c>
      <c r="AQ21" s="63">
        <v>0</v>
      </c>
      <c r="AR21" s="63"/>
      <c r="AS21" s="39">
        <v>3</v>
      </c>
      <c r="AT21" s="39">
        <v>0</v>
      </c>
      <c r="AU21" s="63">
        <v>1</v>
      </c>
      <c r="AV21" s="63">
        <v>1.5</v>
      </c>
      <c r="AW21" s="63">
        <v>1</v>
      </c>
      <c r="AX21" s="63">
        <v>1</v>
      </c>
      <c r="AY21" s="63"/>
      <c r="AZ21" s="39"/>
      <c r="BA21" s="39"/>
      <c r="BB21" s="328">
        <v>0.6</v>
      </c>
      <c r="BC21" s="39">
        <v>35</v>
      </c>
      <c r="BD21" s="39">
        <v>0.18</v>
      </c>
      <c r="BE21" s="39">
        <v>1</v>
      </c>
      <c r="BF21" s="39">
        <v>1</v>
      </c>
      <c r="BG21" s="39" t="s">
        <v>1604</v>
      </c>
      <c r="BH21" s="331" t="s">
        <v>1666</v>
      </c>
      <c r="BI21" s="331" t="s">
        <v>1667</v>
      </c>
      <c r="BJ21" s="265" t="s">
        <v>1668</v>
      </c>
      <c r="BK21" s="265" t="s">
        <v>280</v>
      </c>
      <c r="BL21" s="265"/>
      <c r="BM21" s="265"/>
      <c r="BN21" s="81">
        <f t="shared" si="25"/>
        <v>15</v>
      </c>
      <c r="BO21" s="343">
        <f t="shared" si="26"/>
        <v>10</v>
      </c>
      <c r="BP21" s="81" t="s">
        <v>1606</v>
      </c>
      <c r="BQ21" s="81">
        <f t="shared" si="27"/>
        <v>0.746</v>
      </c>
      <c r="BR21" s="81"/>
      <c r="BS21" s="63">
        <f t="shared" si="28"/>
        <v>20</v>
      </c>
      <c r="BT21" s="63">
        <f t="shared" si="29"/>
        <v>21.200000000000003</v>
      </c>
      <c r="BV21" s="63">
        <f t="shared" si="30"/>
        <v>0</v>
      </c>
      <c r="CG21" s="371">
        <f t="shared" si="31"/>
        <v>22</v>
      </c>
      <c r="CH21" s="372">
        <f t="shared" si="214"/>
        <v>0.1</v>
      </c>
      <c r="CI21" s="373">
        <v>1</v>
      </c>
      <c r="CJ21" s="143">
        <v>5</v>
      </c>
      <c r="CK21" s="373">
        <v>2</v>
      </c>
      <c r="CL21" s="143">
        <v>2</v>
      </c>
      <c r="CM21" s="373">
        <v>3</v>
      </c>
      <c r="CN21" s="143">
        <v>1</v>
      </c>
      <c r="CO21" s="143">
        <f t="shared" si="174"/>
        <v>1.5</v>
      </c>
      <c r="CP21" s="143">
        <f t="shared" si="175"/>
        <v>7.5</v>
      </c>
      <c r="CQ21" s="377">
        <f t="shared" si="176"/>
        <v>0.17777799999999999</v>
      </c>
      <c r="CR21" s="143">
        <f t="shared" si="175"/>
        <v>15</v>
      </c>
      <c r="CS21" s="378">
        <f t="shared" si="177"/>
        <v>8.8888999999999996E-2</v>
      </c>
      <c r="CT21" s="143">
        <f t="shared" si="175"/>
        <v>22.5</v>
      </c>
      <c r="CU21" s="392">
        <f t="shared" si="178"/>
        <v>5.9258999999999999E-2</v>
      </c>
      <c r="CW21" s="241">
        <v>2E-3</v>
      </c>
      <c r="CX21" s="396">
        <f t="shared" si="215"/>
        <v>0</v>
      </c>
      <c r="CY21" s="270">
        <f t="shared" si="33"/>
        <v>0</v>
      </c>
      <c r="CZ21" s="394">
        <f t="shared" si="34"/>
        <v>0</v>
      </c>
      <c r="DA21" s="394">
        <f t="shared" si="35"/>
        <v>0</v>
      </c>
      <c r="DB21" s="395">
        <f t="shared" si="179"/>
        <v>0</v>
      </c>
      <c r="DC21" s="419">
        <f t="shared" si="36"/>
        <v>0</v>
      </c>
      <c r="DD21" s="394">
        <f t="shared" si="37"/>
        <v>0</v>
      </c>
      <c r="DE21" s="420" t="e">
        <f t="shared" si="38"/>
        <v>#DIV/0!</v>
      </c>
      <c r="DF21" s="421">
        <f t="shared" si="180"/>
        <v>6</v>
      </c>
      <c r="DG21" s="422">
        <f t="shared" si="181"/>
        <v>1</v>
      </c>
      <c r="DH21" s="284"/>
      <c r="DI21" s="282">
        <v>6</v>
      </c>
      <c r="DJ21" s="283">
        <v>1</v>
      </c>
      <c r="DL21" s="431"/>
      <c r="DM21" s="242"/>
      <c r="DQ21" s="427"/>
      <c r="DR21" s="421">
        <v>6</v>
      </c>
      <c r="DS21" s="270">
        <v>1</v>
      </c>
      <c r="DT21" s="427">
        <f t="shared" si="39"/>
        <v>5.5555555555555621E-4</v>
      </c>
      <c r="DU21" s="421">
        <f t="shared" si="40"/>
        <v>6</v>
      </c>
      <c r="DV21" s="270">
        <f t="shared" si="182"/>
        <v>1</v>
      </c>
      <c r="DW21" s="427">
        <f t="shared" si="42"/>
        <v>1.1111111111111124E-3</v>
      </c>
      <c r="DX21" s="421">
        <f t="shared" si="43"/>
        <v>6</v>
      </c>
      <c r="DY21" s="270">
        <f t="shared" si="183"/>
        <v>1</v>
      </c>
      <c r="DZ21" s="427">
        <f t="shared" si="45"/>
        <v>1.6666666666666685E-3</v>
      </c>
      <c r="EA21" s="421">
        <f t="shared" si="184"/>
        <v>6</v>
      </c>
      <c r="EB21" s="270">
        <f t="shared" si="185"/>
        <v>1</v>
      </c>
      <c r="EC21" s="427">
        <f t="shared" si="48"/>
        <v>2.2222222222222248E-3</v>
      </c>
      <c r="ED21" s="421">
        <f t="shared" si="186"/>
        <v>6</v>
      </c>
      <c r="EE21" s="270">
        <f t="shared" si="187"/>
        <v>1</v>
      </c>
      <c r="EF21" s="427">
        <f t="shared" si="51"/>
        <v>2.7777777777777805E-3</v>
      </c>
      <c r="EG21" s="421">
        <f t="shared" si="188"/>
        <v>6</v>
      </c>
      <c r="EH21" s="270">
        <f t="shared" si="189"/>
        <v>1</v>
      </c>
      <c r="EI21" s="427">
        <f t="shared" si="54"/>
        <v>5.555555555555561E-3</v>
      </c>
      <c r="EJ21" s="421">
        <f t="shared" si="190"/>
        <v>6</v>
      </c>
      <c r="EK21" s="270">
        <f t="shared" si="191"/>
        <v>1</v>
      </c>
      <c r="EL21" s="427">
        <f t="shared" si="57"/>
        <v>1.1111111111111122E-2</v>
      </c>
      <c r="EM21" s="421">
        <f t="shared" si="192"/>
        <v>6</v>
      </c>
      <c r="EN21" s="270">
        <f t="shared" si="193"/>
        <v>1</v>
      </c>
      <c r="EO21" s="427">
        <f t="shared" si="60"/>
        <v>1.6666666666666684E-2</v>
      </c>
      <c r="EP21" s="421">
        <f t="shared" si="194"/>
        <v>6</v>
      </c>
      <c r="EQ21" s="270">
        <f t="shared" si="195"/>
        <v>1</v>
      </c>
      <c r="ER21" s="427">
        <f t="shared" si="63"/>
        <v>2.2222222222222244E-2</v>
      </c>
      <c r="ES21" s="421">
        <f t="shared" si="196"/>
        <v>6</v>
      </c>
      <c r="ET21" s="270">
        <f t="shared" si="197"/>
        <v>1</v>
      </c>
      <c r="EU21" s="427">
        <f t="shared" si="66"/>
        <v>2.7777777777777807E-2</v>
      </c>
      <c r="EV21" s="421">
        <f t="shared" si="67"/>
        <v>12</v>
      </c>
      <c r="EW21" s="270">
        <f t="shared" si="68"/>
        <v>2</v>
      </c>
      <c r="EX21" s="427">
        <f t="shared" si="69"/>
        <v>2.7777777777777807E-2</v>
      </c>
      <c r="EY21" s="421">
        <f t="shared" si="70"/>
        <v>24</v>
      </c>
      <c r="EZ21" s="270">
        <f t="shared" si="71"/>
        <v>4</v>
      </c>
      <c r="FA21" s="427">
        <f t="shared" si="72"/>
        <v>2.7777777777777807E-2</v>
      </c>
      <c r="FB21" s="421">
        <f t="shared" si="73"/>
        <v>36</v>
      </c>
      <c r="FC21" s="270">
        <f t="shared" si="74"/>
        <v>6</v>
      </c>
      <c r="FD21" s="427">
        <f t="shared" si="75"/>
        <v>2.7777777777777807E-2</v>
      </c>
      <c r="FE21" s="421">
        <f t="shared" si="76"/>
        <v>48</v>
      </c>
      <c r="FF21" s="270">
        <f t="shared" si="77"/>
        <v>8</v>
      </c>
      <c r="FG21" s="427">
        <f t="shared" si="78"/>
        <v>2.7777777777777807E-2</v>
      </c>
      <c r="FH21" s="421">
        <f t="shared" si="79"/>
        <v>60</v>
      </c>
      <c r="FI21" s="270">
        <f t="shared" si="80"/>
        <v>10</v>
      </c>
      <c r="FJ21" s="427">
        <f t="shared" si="81"/>
        <v>2.7777777777777807E-2</v>
      </c>
      <c r="FK21" s="421">
        <f t="shared" si="82"/>
        <v>120</v>
      </c>
      <c r="FL21" s="270">
        <f t="shared" si="83"/>
        <v>20</v>
      </c>
      <c r="FM21" s="427">
        <f t="shared" si="84"/>
        <v>2.7777777777777807E-2</v>
      </c>
      <c r="FN21" s="421">
        <f t="shared" si="85"/>
        <v>240</v>
      </c>
      <c r="FO21" s="270">
        <f t="shared" si="86"/>
        <v>40</v>
      </c>
      <c r="FP21" s="427">
        <f t="shared" si="87"/>
        <v>2.7777777777777807E-2</v>
      </c>
      <c r="FQ21" s="421">
        <f t="shared" si="88"/>
        <v>360</v>
      </c>
      <c r="FR21" s="270">
        <f t="shared" si="89"/>
        <v>60</v>
      </c>
      <c r="FS21" s="427">
        <f t="shared" si="90"/>
        <v>2.7777777777777807E-2</v>
      </c>
      <c r="FT21" s="421">
        <f t="shared" si="91"/>
        <v>480</v>
      </c>
      <c r="FU21" s="270">
        <f t="shared" si="92"/>
        <v>80</v>
      </c>
      <c r="FV21" s="427">
        <f t="shared" si="93"/>
        <v>2.7777777777777807E-2</v>
      </c>
      <c r="FW21" s="421">
        <f t="shared" si="94"/>
        <v>600</v>
      </c>
      <c r="FX21" s="270">
        <f t="shared" si="95"/>
        <v>100</v>
      </c>
      <c r="FY21" s="427">
        <f t="shared" si="96"/>
        <v>2.7777777777777807E-2</v>
      </c>
      <c r="GA21" s="431"/>
      <c r="GB21" s="242"/>
      <c r="GF21" s="427"/>
      <c r="GG21" s="421">
        <v>1</v>
      </c>
      <c r="GH21" s="270">
        <v>1</v>
      </c>
      <c r="GI21" s="427">
        <f t="shared" si="97"/>
        <v>2.2222222222222242E-6</v>
      </c>
      <c r="GJ21" s="421">
        <f t="shared" si="98"/>
        <v>1</v>
      </c>
      <c r="GK21" s="270">
        <f t="shared" si="99"/>
        <v>1</v>
      </c>
      <c r="GL21" s="427">
        <f t="shared" si="100"/>
        <v>4.4444444444444484E-6</v>
      </c>
      <c r="GM21" s="421">
        <f t="shared" si="101"/>
        <v>1</v>
      </c>
      <c r="GN21" s="270">
        <f t="shared" si="102"/>
        <v>1</v>
      </c>
      <c r="GO21" s="427">
        <f t="shared" si="103"/>
        <v>6.6666666666666717E-6</v>
      </c>
      <c r="GP21" s="421">
        <f t="shared" si="104"/>
        <v>1</v>
      </c>
      <c r="GQ21" s="270">
        <f t="shared" si="105"/>
        <v>1</v>
      </c>
      <c r="GR21" s="427">
        <f t="shared" si="106"/>
        <v>8.8888888888888968E-6</v>
      </c>
      <c r="GS21" s="421">
        <f t="shared" si="107"/>
        <v>1</v>
      </c>
      <c r="GT21" s="270">
        <f t="shared" si="108"/>
        <v>1</v>
      </c>
      <c r="GU21" s="427">
        <f t="shared" si="109"/>
        <v>1.111111111111112E-5</v>
      </c>
      <c r="GV21" s="421">
        <f t="shared" si="110"/>
        <v>1</v>
      </c>
      <c r="GW21" s="270">
        <f t="shared" si="111"/>
        <v>1</v>
      </c>
      <c r="GX21" s="427">
        <f t="shared" si="112"/>
        <v>2.222222222222224E-5</v>
      </c>
      <c r="GY21" s="421">
        <f t="shared" si="113"/>
        <v>1</v>
      </c>
      <c r="GZ21" s="270">
        <f t="shared" si="114"/>
        <v>1</v>
      </c>
      <c r="HA21" s="427">
        <f t="shared" si="115"/>
        <v>4.444444444444448E-5</v>
      </c>
      <c r="HB21" s="421">
        <f t="shared" si="116"/>
        <v>1</v>
      </c>
      <c r="HC21" s="270">
        <f t="shared" si="117"/>
        <v>1</v>
      </c>
      <c r="HD21" s="427">
        <f t="shared" si="118"/>
        <v>6.6666666666666724E-5</v>
      </c>
      <c r="HE21" s="421">
        <f t="shared" si="119"/>
        <v>1</v>
      </c>
      <c r="HF21" s="270">
        <f t="shared" si="120"/>
        <v>1</v>
      </c>
      <c r="HG21" s="427">
        <f t="shared" si="121"/>
        <v>8.8888888888888961E-5</v>
      </c>
      <c r="HH21" s="421">
        <f t="shared" si="122"/>
        <v>1</v>
      </c>
      <c r="HI21" s="270">
        <f t="shared" si="123"/>
        <v>1</v>
      </c>
      <c r="HJ21" s="427">
        <f t="shared" si="124"/>
        <v>1.111111111111112E-4</v>
      </c>
      <c r="HK21" s="421">
        <f t="shared" si="125"/>
        <v>1</v>
      </c>
      <c r="HL21" s="270">
        <f t="shared" si="125"/>
        <v>1</v>
      </c>
      <c r="HM21" s="427">
        <f t="shared" si="126"/>
        <v>2.222222222222224E-4</v>
      </c>
      <c r="HN21" s="421">
        <f t="shared" si="127"/>
        <v>1</v>
      </c>
      <c r="HO21" s="270">
        <f t="shared" si="127"/>
        <v>1</v>
      </c>
      <c r="HP21" s="427">
        <f t="shared" si="128"/>
        <v>4.4444444444444479E-4</v>
      </c>
      <c r="HQ21" s="421">
        <f t="shared" si="129"/>
        <v>1</v>
      </c>
      <c r="HR21" s="270">
        <f t="shared" si="129"/>
        <v>1</v>
      </c>
      <c r="HS21" s="427">
        <f t="shared" si="130"/>
        <v>6.6666666666666719E-4</v>
      </c>
      <c r="HT21" s="421">
        <f t="shared" si="131"/>
        <v>1</v>
      </c>
      <c r="HU21" s="270">
        <f t="shared" si="131"/>
        <v>1</v>
      </c>
      <c r="HV21" s="427">
        <f t="shared" si="132"/>
        <v>8.8888888888888958E-4</v>
      </c>
      <c r="HW21" s="421">
        <f t="shared" si="133"/>
        <v>1</v>
      </c>
      <c r="HX21" s="270">
        <f t="shared" si="133"/>
        <v>1</v>
      </c>
      <c r="HY21" s="427">
        <f t="shared" si="134"/>
        <v>1.111111111111112E-3</v>
      </c>
      <c r="HZ21" s="421">
        <f t="shared" si="135"/>
        <v>1</v>
      </c>
      <c r="IA21" s="270">
        <f t="shared" si="135"/>
        <v>1</v>
      </c>
      <c r="IB21" s="427">
        <f t="shared" si="136"/>
        <v>2.222222222222224E-3</v>
      </c>
      <c r="IC21" s="421">
        <f t="shared" si="137"/>
        <v>1</v>
      </c>
      <c r="ID21" s="270">
        <f t="shared" si="137"/>
        <v>1</v>
      </c>
      <c r="IE21" s="427">
        <f t="shared" si="138"/>
        <v>4.4444444444444479E-3</v>
      </c>
      <c r="IF21" s="421">
        <f t="shared" si="139"/>
        <v>1</v>
      </c>
      <c r="IG21" s="270">
        <f t="shared" si="139"/>
        <v>1</v>
      </c>
      <c r="IH21" s="427">
        <f t="shared" si="140"/>
        <v>6.6666666666666723E-3</v>
      </c>
      <c r="II21" s="421">
        <f t="shared" si="141"/>
        <v>1</v>
      </c>
      <c r="IJ21" s="270">
        <f t="shared" si="141"/>
        <v>1</v>
      </c>
      <c r="IK21" s="427">
        <f t="shared" si="142"/>
        <v>8.8888888888888958E-3</v>
      </c>
      <c r="IL21" s="421">
        <f t="shared" si="143"/>
        <v>1</v>
      </c>
      <c r="IM21" s="270">
        <f t="shared" si="143"/>
        <v>1</v>
      </c>
      <c r="IN21" s="427">
        <f t="shared" si="144"/>
        <v>1.111111111111112E-2</v>
      </c>
      <c r="IS21" s="447">
        <f t="shared" si="236"/>
        <v>0</v>
      </c>
      <c r="IT21" s="447">
        <f t="shared" si="236"/>
        <v>0</v>
      </c>
      <c r="IU21" s="447">
        <f t="shared" si="236"/>
        <v>0</v>
      </c>
      <c r="IV21" s="447">
        <f t="shared" si="236"/>
        <v>8.0000000000000004E-4</v>
      </c>
      <c r="IW21" s="447">
        <f t="shared" si="236"/>
        <v>1E-3</v>
      </c>
      <c r="IX21" s="447">
        <f t="shared" si="236"/>
        <v>2E-3</v>
      </c>
      <c r="IY21" s="447">
        <f t="shared" si="236"/>
        <v>4.0000000000000001E-3</v>
      </c>
      <c r="IZ21" s="447">
        <f t="shared" si="236"/>
        <v>6.0000000000000001E-3</v>
      </c>
      <c r="JA21" s="447">
        <f t="shared" si="236"/>
        <v>8.0000000000000002E-3</v>
      </c>
      <c r="JB21" s="447">
        <f t="shared" si="236"/>
        <v>0.01</v>
      </c>
      <c r="JC21" s="447">
        <f t="shared" si="237"/>
        <v>0.02</v>
      </c>
      <c r="JD21" s="447">
        <f t="shared" si="237"/>
        <v>2.5000000000000001E-2</v>
      </c>
      <c r="JE21" s="447">
        <f t="shared" si="237"/>
        <v>2.4996000000000004E-2</v>
      </c>
      <c r="JF21" s="447">
        <f t="shared" si="237"/>
        <v>2.4992000000000004E-2</v>
      </c>
      <c r="JG21" s="447">
        <f t="shared" si="237"/>
        <v>2.4989999999999998E-2</v>
      </c>
      <c r="JH21" s="447">
        <f t="shared" si="237"/>
        <v>2.4979999999999999E-2</v>
      </c>
      <c r="JI21" s="447">
        <f t="shared" si="237"/>
        <v>2.4960000000000003E-2</v>
      </c>
      <c r="JJ21" s="447">
        <f t="shared" si="237"/>
        <v>2.4960000000000003E-2</v>
      </c>
      <c r="JK21" s="447">
        <f t="shared" si="237"/>
        <v>2.4960000000000003E-2</v>
      </c>
      <c r="JL21" s="447">
        <f t="shared" si="237"/>
        <v>2.4899999999999999E-2</v>
      </c>
      <c r="JQ21" s="455" t="s">
        <v>1659</v>
      </c>
      <c r="JR21" s="456">
        <v>2</v>
      </c>
      <c r="JS21" s="456">
        <f>10000000*JR21</f>
        <v>20000000</v>
      </c>
      <c r="JT21" s="242"/>
      <c r="JU21" s="242">
        <f t="shared" si="198"/>
        <v>400000</v>
      </c>
      <c r="JV21" s="242">
        <f t="shared" si="199"/>
        <v>300000</v>
      </c>
      <c r="JW21" s="242">
        <f t="shared" si="216"/>
        <v>0.5</v>
      </c>
      <c r="JX21" s="242">
        <f t="shared" si="200"/>
        <v>500000</v>
      </c>
      <c r="JY21" s="241">
        <f t="shared" si="217"/>
        <v>0.5</v>
      </c>
      <c r="JZ21" s="241">
        <f t="shared" si="218"/>
        <v>400000</v>
      </c>
      <c r="KA21" s="241" t="str">
        <f t="shared" si="219"/>
        <v>期望符合预期</v>
      </c>
      <c r="KC21" s="242">
        <f t="shared" si="201"/>
        <v>800000</v>
      </c>
      <c r="KD21" s="242">
        <f t="shared" si="202"/>
        <v>750000</v>
      </c>
      <c r="KE21" s="242">
        <f t="shared" si="220"/>
        <v>0.8</v>
      </c>
      <c r="KF21" s="242">
        <f t="shared" si="203"/>
        <v>1000000</v>
      </c>
      <c r="KG21" s="241">
        <f t="shared" si="221"/>
        <v>0.2</v>
      </c>
      <c r="KH21" s="241">
        <f t="shared" si="222"/>
        <v>800000</v>
      </c>
      <c r="KI21" s="241" t="str">
        <f t="shared" si="223"/>
        <v>期望符合预期</v>
      </c>
      <c r="KK21" s="242">
        <f t="shared" si="204"/>
        <v>1200000</v>
      </c>
      <c r="KL21" s="242">
        <f t="shared" si="205"/>
        <v>1000000</v>
      </c>
      <c r="KM21" s="242">
        <f t="shared" si="224"/>
        <v>0.6</v>
      </c>
      <c r="KN21" s="242">
        <f t="shared" si="206"/>
        <v>1500000</v>
      </c>
      <c r="KO21" s="241">
        <f t="shared" si="225"/>
        <v>0.4</v>
      </c>
      <c r="KP21" s="241">
        <f t="shared" si="226"/>
        <v>1200000</v>
      </c>
      <c r="KQ21" s="241" t="str">
        <f t="shared" si="227"/>
        <v>期望符合预期</v>
      </c>
      <c r="KS21" s="242">
        <f t="shared" si="207"/>
        <v>1600000</v>
      </c>
      <c r="KT21" s="242">
        <f t="shared" si="208"/>
        <v>1500000</v>
      </c>
      <c r="KU21" s="242">
        <f t="shared" si="228"/>
        <v>0.8</v>
      </c>
      <c r="KV21" s="242">
        <f t="shared" si="209"/>
        <v>2000000</v>
      </c>
      <c r="KW21" s="241">
        <f t="shared" si="229"/>
        <v>0.2</v>
      </c>
      <c r="KX21" s="241">
        <f t="shared" si="230"/>
        <v>1600000</v>
      </c>
      <c r="KY21" s="241" t="str">
        <f t="shared" si="231"/>
        <v>期望符合预期</v>
      </c>
      <c r="LA21" s="242">
        <f t="shared" si="210"/>
        <v>2000000</v>
      </c>
      <c r="LB21" s="242">
        <f t="shared" si="211"/>
        <v>2000000</v>
      </c>
      <c r="LC21" s="242">
        <f t="shared" si="232"/>
        <v>1</v>
      </c>
      <c r="LD21" s="242">
        <f t="shared" si="212"/>
        <v>3000000</v>
      </c>
      <c r="LE21" s="241">
        <f t="shared" si="233"/>
        <v>0</v>
      </c>
      <c r="LF21" s="241">
        <f t="shared" si="234"/>
        <v>2000000</v>
      </c>
      <c r="LG21" s="241" t="str">
        <f t="shared" si="235"/>
        <v>期望符合预期</v>
      </c>
    </row>
    <row r="22" spans="1:319" ht="16.2" x14ac:dyDescent="0.4">
      <c r="A22" s="63">
        <v>18</v>
      </c>
      <c r="B22" s="254" t="s">
        <v>1669</v>
      </c>
      <c r="C22" s="63">
        <v>2</v>
      </c>
      <c r="D22" s="63">
        <v>-1</v>
      </c>
      <c r="E22" s="63">
        <v>20</v>
      </c>
      <c r="F22" s="63" t="s">
        <v>1664</v>
      </c>
      <c r="G22" s="63">
        <f t="shared" si="167"/>
        <v>20</v>
      </c>
      <c r="H22" s="63"/>
      <c r="I22" s="265" t="s">
        <v>1665</v>
      </c>
      <c r="J22" s="63">
        <f t="shared" si="238"/>
        <v>0</v>
      </c>
      <c r="K22" s="63">
        <f t="shared" si="18"/>
        <v>0</v>
      </c>
      <c r="L22" s="63">
        <v>0</v>
      </c>
      <c r="M22" s="266">
        <f>ROUND($BX$7/('全局参数|GlobalPar'!$B$19/10000/E22),6)*(7/5)</f>
        <v>1.3889399999999998E-2</v>
      </c>
      <c r="N22" s="267">
        <v>1</v>
      </c>
      <c r="O22" s="268">
        <f>ROUND(IF(N22&lt;&gt;0,$BX$4/('全局参数|GlobalPar'!$B$19/10000/E22)/N22,0),6)</f>
        <v>0</v>
      </c>
      <c r="P22" s="270">
        <f t="shared" si="19"/>
        <v>4.0000000000000001E-3</v>
      </c>
      <c r="Q22" s="285">
        <f t="shared" si="20"/>
        <v>0</v>
      </c>
      <c r="R22" s="282">
        <v>7</v>
      </c>
      <c r="S22" s="283">
        <v>1</v>
      </c>
      <c r="T22" s="284" t="str">
        <f t="shared" si="21"/>
        <v>[[7,1],[7,1],[7,1],[7,1],[7,1],[7,1],[7,1],[7,1],[7,1],[7,1],[14,2],[28,4],[42,6],[56,8],[70,10],[140,20],[280,40],[420,60],[560,80],[700,100]]</v>
      </c>
      <c r="U22" s="284">
        <v>1</v>
      </c>
      <c r="V22" s="284">
        <v>1</v>
      </c>
      <c r="W22" s="284" t="str">
        <f t="shared" si="168"/>
        <v>[[1,1],[1,1],[1,1],[1,1],[1,1],[1,1],[1,1],[1,1],[1,1],[1,1],[1,1],[1,1],[1,1],[1,1],[1,1],[1,1],[1,1],[1,1],[1,1],[1,1]]</v>
      </c>
      <c r="X22" s="63">
        <v>0</v>
      </c>
      <c r="Y22" s="305">
        <v>0</v>
      </c>
      <c r="Z22" s="303">
        <f t="shared" si="22"/>
        <v>0</v>
      </c>
      <c r="AA22" s="303">
        <v>0.06</v>
      </c>
      <c r="AB22" s="303">
        <f t="shared" si="169"/>
        <v>0.1</v>
      </c>
      <c r="AC22" s="304">
        <f t="shared" si="213"/>
        <v>0.05</v>
      </c>
      <c r="AD22" s="304">
        <f t="shared" si="213"/>
        <v>0</v>
      </c>
      <c r="AE22" s="304">
        <f t="shared" si="213"/>
        <v>0</v>
      </c>
      <c r="AF22" s="304">
        <f t="shared" si="213"/>
        <v>0</v>
      </c>
      <c r="AG22" s="63" t="str">
        <f t="shared" si="170"/>
        <v>[[1,5],[2,2],[3,1]]</v>
      </c>
      <c r="AH22" s="256" t="str">
        <f t="shared" si="171"/>
        <v>[0.177778,0.088889,0.059259]</v>
      </c>
      <c r="AI22" s="256">
        <v>0</v>
      </c>
      <c r="AJ22" s="256">
        <v>1</v>
      </c>
      <c r="AK22" s="256">
        <f t="shared" si="23"/>
        <v>1</v>
      </c>
      <c r="AL22" s="256">
        <v>0</v>
      </c>
      <c r="AM22" s="256">
        <f t="shared" si="172"/>
        <v>6</v>
      </c>
      <c r="AN22" s="256" t="s">
        <v>2548</v>
      </c>
      <c r="AO22" s="324">
        <v>7</v>
      </c>
      <c r="AP22" s="63">
        <f t="shared" si="24"/>
        <v>-1</v>
      </c>
      <c r="AQ22" s="63">
        <v>0</v>
      </c>
      <c r="AR22" s="39"/>
      <c r="AS22" s="39">
        <v>3</v>
      </c>
      <c r="AT22" s="39">
        <v>1</v>
      </c>
      <c r="AU22" s="261">
        <v>0.9</v>
      </c>
      <c r="AV22" s="63">
        <f t="shared" si="173"/>
        <v>0.9</v>
      </c>
      <c r="AW22" s="63">
        <v>1</v>
      </c>
      <c r="AX22" s="63">
        <v>1</v>
      </c>
      <c r="AY22" s="63"/>
      <c r="AZ22" s="39"/>
      <c r="BA22" s="39"/>
      <c r="BB22" s="328">
        <v>0.6</v>
      </c>
      <c r="BC22" s="39">
        <v>40</v>
      </c>
      <c r="BD22" s="39">
        <v>0.18</v>
      </c>
      <c r="BE22" s="39">
        <v>0.8</v>
      </c>
      <c r="BF22" s="39">
        <v>1</v>
      </c>
      <c r="BG22" s="39" t="s">
        <v>1604</v>
      </c>
      <c r="BH22" s="331" t="s">
        <v>1670</v>
      </c>
      <c r="BI22" s="331" t="s">
        <v>1671</v>
      </c>
      <c r="BJ22" s="265" t="s">
        <v>1672</v>
      </c>
      <c r="BK22" s="265" t="s">
        <v>280</v>
      </c>
      <c r="BL22" s="265"/>
      <c r="BM22" s="265"/>
      <c r="BN22" s="81">
        <f t="shared" si="25"/>
        <v>15</v>
      </c>
      <c r="BO22" s="343">
        <f t="shared" si="26"/>
        <v>10</v>
      </c>
      <c r="BP22" s="81" t="s">
        <v>1606</v>
      </c>
      <c r="BQ22" s="81">
        <f t="shared" si="27"/>
        <v>0.67200000000000004</v>
      </c>
      <c r="BR22" s="81"/>
      <c r="BS22" s="63">
        <f t="shared" si="28"/>
        <v>20</v>
      </c>
      <c r="BT22" s="63">
        <f t="shared" si="29"/>
        <v>21.200000000000003</v>
      </c>
      <c r="BV22" s="63">
        <f t="shared" si="30"/>
        <v>0</v>
      </c>
      <c r="CG22" s="371">
        <f t="shared" si="31"/>
        <v>22</v>
      </c>
      <c r="CH22" s="372">
        <f t="shared" si="214"/>
        <v>0.1</v>
      </c>
      <c r="CI22" s="373">
        <v>1</v>
      </c>
      <c r="CJ22" s="143">
        <v>5</v>
      </c>
      <c r="CK22" s="373">
        <v>2</v>
      </c>
      <c r="CL22" s="143">
        <v>2</v>
      </c>
      <c r="CM22" s="373">
        <v>3</v>
      </c>
      <c r="CN22" s="143">
        <v>1</v>
      </c>
      <c r="CO22" s="143">
        <f t="shared" si="174"/>
        <v>1.5</v>
      </c>
      <c r="CP22" s="143">
        <f t="shared" si="175"/>
        <v>7.5</v>
      </c>
      <c r="CQ22" s="377">
        <f t="shared" si="176"/>
        <v>0.17777799999999999</v>
      </c>
      <c r="CR22" s="143">
        <f t="shared" si="175"/>
        <v>15</v>
      </c>
      <c r="CS22" s="378">
        <f t="shared" si="177"/>
        <v>8.8888999999999996E-2</v>
      </c>
      <c r="CT22" s="143">
        <f t="shared" si="175"/>
        <v>22.5</v>
      </c>
      <c r="CU22" s="392">
        <f t="shared" si="178"/>
        <v>5.9258999999999999E-2</v>
      </c>
      <c r="CW22" s="241">
        <v>2E-3</v>
      </c>
      <c r="CX22" s="396">
        <f t="shared" si="215"/>
        <v>0</v>
      </c>
      <c r="CY22" s="270">
        <f t="shared" si="33"/>
        <v>0</v>
      </c>
      <c r="CZ22" s="394">
        <f t="shared" si="34"/>
        <v>0</v>
      </c>
      <c r="DA22" s="394">
        <f t="shared" si="35"/>
        <v>0</v>
      </c>
      <c r="DB22" s="395">
        <f t="shared" si="179"/>
        <v>0</v>
      </c>
      <c r="DC22" s="419">
        <f t="shared" si="36"/>
        <v>0</v>
      </c>
      <c r="DD22" s="394">
        <f t="shared" si="37"/>
        <v>0</v>
      </c>
      <c r="DE22" s="420" t="e">
        <f t="shared" si="38"/>
        <v>#DIV/0!</v>
      </c>
      <c r="DF22" s="421">
        <f t="shared" si="180"/>
        <v>7</v>
      </c>
      <c r="DG22" s="422">
        <f t="shared" si="181"/>
        <v>1</v>
      </c>
      <c r="DH22" s="284"/>
      <c r="DI22" s="282">
        <v>7</v>
      </c>
      <c r="DJ22" s="283">
        <v>1</v>
      </c>
      <c r="DL22" s="431"/>
      <c r="DM22" s="242"/>
      <c r="DQ22" s="427"/>
      <c r="DR22" s="421">
        <v>7</v>
      </c>
      <c r="DS22" s="270">
        <v>1</v>
      </c>
      <c r="DT22" s="427">
        <f t="shared" si="39"/>
        <v>4.7619047619047673E-4</v>
      </c>
      <c r="DU22" s="421">
        <f t="shared" si="40"/>
        <v>7</v>
      </c>
      <c r="DV22" s="270">
        <f t="shared" si="182"/>
        <v>1</v>
      </c>
      <c r="DW22" s="427">
        <f t="shared" si="42"/>
        <v>9.5238095238095346E-4</v>
      </c>
      <c r="DX22" s="421">
        <f t="shared" si="43"/>
        <v>7</v>
      </c>
      <c r="DY22" s="270">
        <f t="shared" si="183"/>
        <v>1</v>
      </c>
      <c r="DZ22" s="427">
        <f t="shared" si="45"/>
        <v>1.4285714285714301E-3</v>
      </c>
      <c r="EA22" s="421">
        <f t="shared" si="184"/>
        <v>7</v>
      </c>
      <c r="EB22" s="270">
        <f t="shared" si="185"/>
        <v>1</v>
      </c>
      <c r="EC22" s="427">
        <f t="shared" si="48"/>
        <v>1.9047619047619069E-3</v>
      </c>
      <c r="ED22" s="421">
        <f t="shared" si="186"/>
        <v>7</v>
      </c>
      <c r="EE22" s="270">
        <f t="shared" si="187"/>
        <v>1</v>
      </c>
      <c r="EF22" s="427">
        <f t="shared" si="51"/>
        <v>2.3809523809523838E-3</v>
      </c>
      <c r="EG22" s="421">
        <f t="shared" si="188"/>
        <v>7</v>
      </c>
      <c r="EH22" s="270">
        <f t="shared" si="189"/>
        <v>1</v>
      </c>
      <c r="EI22" s="427">
        <f t="shared" si="54"/>
        <v>4.7619047619047675E-3</v>
      </c>
      <c r="EJ22" s="421">
        <f t="shared" si="190"/>
        <v>7</v>
      </c>
      <c r="EK22" s="270">
        <f t="shared" si="191"/>
        <v>1</v>
      </c>
      <c r="EL22" s="427">
        <f t="shared" si="57"/>
        <v>9.5238095238095351E-3</v>
      </c>
      <c r="EM22" s="421">
        <f t="shared" si="192"/>
        <v>7</v>
      </c>
      <c r="EN22" s="270">
        <f t="shared" si="193"/>
        <v>1</v>
      </c>
      <c r="EO22" s="427">
        <f t="shared" si="60"/>
        <v>1.4285714285714301E-2</v>
      </c>
      <c r="EP22" s="421">
        <f t="shared" si="194"/>
        <v>7</v>
      </c>
      <c r="EQ22" s="270">
        <f t="shared" si="195"/>
        <v>1</v>
      </c>
      <c r="ER22" s="427">
        <f t="shared" si="63"/>
        <v>1.904761904761907E-2</v>
      </c>
      <c r="ES22" s="421">
        <f t="shared" si="196"/>
        <v>7</v>
      </c>
      <c r="ET22" s="270">
        <f t="shared" si="197"/>
        <v>1</v>
      </c>
      <c r="EU22" s="427">
        <f t="shared" si="66"/>
        <v>2.3809523809523836E-2</v>
      </c>
      <c r="EV22" s="421">
        <f t="shared" si="67"/>
        <v>14</v>
      </c>
      <c r="EW22" s="270">
        <f t="shared" si="68"/>
        <v>2</v>
      </c>
      <c r="EX22" s="427">
        <f t="shared" si="69"/>
        <v>2.3809523809523836E-2</v>
      </c>
      <c r="EY22" s="421">
        <f t="shared" si="70"/>
        <v>28</v>
      </c>
      <c r="EZ22" s="270">
        <f t="shared" si="71"/>
        <v>4</v>
      </c>
      <c r="FA22" s="427">
        <f t="shared" si="72"/>
        <v>2.3809523809523836E-2</v>
      </c>
      <c r="FB22" s="421">
        <f t="shared" si="73"/>
        <v>42</v>
      </c>
      <c r="FC22" s="270">
        <f t="shared" si="74"/>
        <v>6</v>
      </c>
      <c r="FD22" s="427">
        <f t="shared" si="75"/>
        <v>2.3809523809523836E-2</v>
      </c>
      <c r="FE22" s="421">
        <f t="shared" si="76"/>
        <v>56</v>
      </c>
      <c r="FF22" s="270">
        <f t="shared" si="77"/>
        <v>8</v>
      </c>
      <c r="FG22" s="427">
        <f t="shared" si="78"/>
        <v>2.3809523809523836E-2</v>
      </c>
      <c r="FH22" s="421">
        <f t="shared" si="79"/>
        <v>70</v>
      </c>
      <c r="FI22" s="270">
        <f t="shared" si="80"/>
        <v>10</v>
      </c>
      <c r="FJ22" s="427">
        <f t="shared" si="81"/>
        <v>2.3809523809523836E-2</v>
      </c>
      <c r="FK22" s="421">
        <f t="shared" si="82"/>
        <v>140</v>
      </c>
      <c r="FL22" s="270">
        <f t="shared" si="83"/>
        <v>20</v>
      </c>
      <c r="FM22" s="427">
        <f t="shared" si="84"/>
        <v>2.3809523809523836E-2</v>
      </c>
      <c r="FN22" s="421">
        <f t="shared" si="85"/>
        <v>280</v>
      </c>
      <c r="FO22" s="270">
        <f t="shared" si="86"/>
        <v>40</v>
      </c>
      <c r="FP22" s="427">
        <f t="shared" si="87"/>
        <v>2.3809523809523836E-2</v>
      </c>
      <c r="FQ22" s="421">
        <f t="shared" si="88"/>
        <v>420</v>
      </c>
      <c r="FR22" s="270">
        <f t="shared" si="89"/>
        <v>60</v>
      </c>
      <c r="FS22" s="427">
        <f t="shared" si="90"/>
        <v>2.3809523809523836E-2</v>
      </c>
      <c r="FT22" s="421">
        <f t="shared" si="91"/>
        <v>560</v>
      </c>
      <c r="FU22" s="270">
        <f t="shared" si="92"/>
        <v>80</v>
      </c>
      <c r="FV22" s="427">
        <f t="shared" si="93"/>
        <v>2.3809523809523836E-2</v>
      </c>
      <c r="FW22" s="421">
        <f t="shared" si="94"/>
        <v>700</v>
      </c>
      <c r="FX22" s="270">
        <f t="shared" si="95"/>
        <v>100</v>
      </c>
      <c r="FY22" s="427">
        <f t="shared" si="96"/>
        <v>2.3809523809523836E-2</v>
      </c>
      <c r="GA22" s="431"/>
      <c r="GB22" s="242"/>
      <c r="GF22" s="427"/>
      <c r="GG22" s="421">
        <v>1</v>
      </c>
      <c r="GH22" s="270">
        <v>1</v>
      </c>
      <c r="GI22" s="427">
        <f t="shared" si="97"/>
        <v>2.2222222222222242E-6</v>
      </c>
      <c r="GJ22" s="421">
        <f t="shared" si="98"/>
        <v>1</v>
      </c>
      <c r="GK22" s="270">
        <f t="shared" si="99"/>
        <v>1</v>
      </c>
      <c r="GL22" s="427">
        <f t="shared" si="100"/>
        <v>4.4444444444444484E-6</v>
      </c>
      <c r="GM22" s="421">
        <f t="shared" si="101"/>
        <v>1</v>
      </c>
      <c r="GN22" s="270">
        <f t="shared" si="102"/>
        <v>1</v>
      </c>
      <c r="GO22" s="427">
        <f t="shared" si="103"/>
        <v>6.6666666666666717E-6</v>
      </c>
      <c r="GP22" s="421">
        <f t="shared" si="104"/>
        <v>1</v>
      </c>
      <c r="GQ22" s="270">
        <f t="shared" si="105"/>
        <v>1</v>
      </c>
      <c r="GR22" s="427">
        <f t="shared" si="106"/>
        <v>8.8888888888888968E-6</v>
      </c>
      <c r="GS22" s="421">
        <f t="shared" si="107"/>
        <v>1</v>
      </c>
      <c r="GT22" s="270">
        <f t="shared" si="108"/>
        <v>1</v>
      </c>
      <c r="GU22" s="427">
        <f t="shared" si="109"/>
        <v>1.111111111111112E-5</v>
      </c>
      <c r="GV22" s="421">
        <f t="shared" si="110"/>
        <v>1</v>
      </c>
      <c r="GW22" s="270">
        <f t="shared" si="111"/>
        <v>1</v>
      </c>
      <c r="GX22" s="427">
        <f t="shared" si="112"/>
        <v>2.222222222222224E-5</v>
      </c>
      <c r="GY22" s="421">
        <f t="shared" si="113"/>
        <v>1</v>
      </c>
      <c r="GZ22" s="270">
        <f t="shared" si="114"/>
        <v>1</v>
      </c>
      <c r="HA22" s="427">
        <f t="shared" si="115"/>
        <v>4.444444444444448E-5</v>
      </c>
      <c r="HB22" s="421">
        <f t="shared" si="116"/>
        <v>1</v>
      </c>
      <c r="HC22" s="270">
        <f t="shared" si="117"/>
        <v>1</v>
      </c>
      <c r="HD22" s="427">
        <f t="shared" si="118"/>
        <v>6.6666666666666724E-5</v>
      </c>
      <c r="HE22" s="421">
        <f t="shared" si="119"/>
        <v>1</v>
      </c>
      <c r="HF22" s="270">
        <f t="shared" si="120"/>
        <v>1</v>
      </c>
      <c r="HG22" s="427">
        <f t="shared" si="121"/>
        <v>8.8888888888888961E-5</v>
      </c>
      <c r="HH22" s="421">
        <f t="shared" si="122"/>
        <v>1</v>
      </c>
      <c r="HI22" s="270">
        <f t="shared" si="123"/>
        <v>1</v>
      </c>
      <c r="HJ22" s="427">
        <f t="shared" si="124"/>
        <v>1.111111111111112E-4</v>
      </c>
      <c r="HK22" s="421">
        <f t="shared" si="125"/>
        <v>1</v>
      </c>
      <c r="HL22" s="270">
        <f t="shared" si="125"/>
        <v>1</v>
      </c>
      <c r="HM22" s="427">
        <f t="shared" si="126"/>
        <v>2.222222222222224E-4</v>
      </c>
      <c r="HN22" s="421">
        <f t="shared" si="127"/>
        <v>1</v>
      </c>
      <c r="HO22" s="270">
        <f t="shared" si="127"/>
        <v>1</v>
      </c>
      <c r="HP22" s="427">
        <f t="shared" si="128"/>
        <v>4.4444444444444479E-4</v>
      </c>
      <c r="HQ22" s="421">
        <f t="shared" si="129"/>
        <v>1</v>
      </c>
      <c r="HR22" s="270">
        <f t="shared" si="129"/>
        <v>1</v>
      </c>
      <c r="HS22" s="427">
        <f t="shared" si="130"/>
        <v>6.6666666666666719E-4</v>
      </c>
      <c r="HT22" s="421">
        <f t="shared" si="131"/>
        <v>1</v>
      </c>
      <c r="HU22" s="270">
        <f t="shared" si="131"/>
        <v>1</v>
      </c>
      <c r="HV22" s="427">
        <f t="shared" si="132"/>
        <v>8.8888888888888958E-4</v>
      </c>
      <c r="HW22" s="421">
        <f t="shared" si="133"/>
        <v>1</v>
      </c>
      <c r="HX22" s="270">
        <f t="shared" si="133"/>
        <v>1</v>
      </c>
      <c r="HY22" s="427">
        <f t="shared" si="134"/>
        <v>1.111111111111112E-3</v>
      </c>
      <c r="HZ22" s="421">
        <f t="shared" si="135"/>
        <v>1</v>
      </c>
      <c r="IA22" s="270">
        <f t="shared" si="135"/>
        <v>1</v>
      </c>
      <c r="IB22" s="427">
        <f t="shared" si="136"/>
        <v>2.222222222222224E-3</v>
      </c>
      <c r="IC22" s="421">
        <f t="shared" si="137"/>
        <v>1</v>
      </c>
      <c r="ID22" s="270">
        <f t="shared" si="137"/>
        <v>1</v>
      </c>
      <c r="IE22" s="427">
        <f t="shared" si="138"/>
        <v>4.4444444444444479E-3</v>
      </c>
      <c r="IF22" s="421">
        <f t="shared" si="139"/>
        <v>1</v>
      </c>
      <c r="IG22" s="270">
        <f t="shared" si="139"/>
        <v>1</v>
      </c>
      <c r="IH22" s="427">
        <f t="shared" si="140"/>
        <v>6.6666666666666723E-3</v>
      </c>
      <c r="II22" s="421">
        <f t="shared" si="141"/>
        <v>1</v>
      </c>
      <c r="IJ22" s="270">
        <f t="shared" si="141"/>
        <v>1</v>
      </c>
      <c r="IK22" s="427">
        <f t="shared" si="142"/>
        <v>8.8888888888888958E-3</v>
      </c>
      <c r="IL22" s="421">
        <f t="shared" si="143"/>
        <v>1</v>
      </c>
      <c r="IM22" s="270">
        <f t="shared" si="143"/>
        <v>1</v>
      </c>
      <c r="IN22" s="427">
        <f t="shared" si="144"/>
        <v>1.111111111111112E-2</v>
      </c>
      <c r="IS22" s="447">
        <f t="shared" si="236"/>
        <v>0</v>
      </c>
      <c r="IT22" s="447">
        <f t="shared" si="236"/>
        <v>0</v>
      </c>
      <c r="IU22" s="447">
        <f t="shared" si="236"/>
        <v>0</v>
      </c>
      <c r="IV22" s="447">
        <f t="shared" si="236"/>
        <v>8.0000000000000004E-4</v>
      </c>
      <c r="IW22" s="447">
        <f t="shared" si="236"/>
        <v>1E-3</v>
      </c>
      <c r="IX22" s="447">
        <f t="shared" si="236"/>
        <v>2E-3</v>
      </c>
      <c r="IY22" s="447">
        <f t="shared" si="236"/>
        <v>4.0000000000000001E-3</v>
      </c>
      <c r="IZ22" s="447">
        <f t="shared" si="236"/>
        <v>6.0000000000000001E-3</v>
      </c>
      <c r="JA22" s="447">
        <f t="shared" si="236"/>
        <v>8.0000000000000002E-3</v>
      </c>
      <c r="JB22" s="447">
        <f t="shared" si="236"/>
        <v>0.01</v>
      </c>
      <c r="JC22" s="447">
        <f t="shared" si="237"/>
        <v>0.02</v>
      </c>
      <c r="JD22" s="447">
        <f t="shared" si="237"/>
        <v>2.5000000000000001E-2</v>
      </c>
      <c r="JE22" s="447">
        <f t="shared" si="237"/>
        <v>2.4996000000000004E-2</v>
      </c>
      <c r="JF22" s="447">
        <f t="shared" si="237"/>
        <v>2.4992000000000004E-2</v>
      </c>
      <c r="JG22" s="447">
        <f t="shared" si="237"/>
        <v>2.4989999999999998E-2</v>
      </c>
      <c r="JH22" s="447">
        <f t="shared" si="237"/>
        <v>2.4979999999999999E-2</v>
      </c>
      <c r="JI22" s="447">
        <f t="shared" si="237"/>
        <v>2.4960000000000003E-2</v>
      </c>
      <c r="JJ22" s="447">
        <f t="shared" si="237"/>
        <v>2.4960000000000003E-2</v>
      </c>
      <c r="JK22" s="447">
        <f t="shared" si="237"/>
        <v>2.4960000000000003E-2</v>
      </c>
      <c r="JL22" s="447">
        <f t="shared" si="237"/>
        <v>2.4899999999999999E-2</v>
      </c>
      <c r="JQ22" s="455" t="s">
        <v>1659</v>
      </c>
      <c r="JR22" s="456">
        <v>3</v>
      </c>
      <c r="JS22" s="456">
        <f t="shared" ref="JS22:JS30" si="242">10000000*JR22</f>
        <v>30000000</v>
      </c>
      <c r="JT22" s="242"/>
      <c r="JU22" s="242">
        <f t="shared" si="198"/>
        <v>400000</v>
      </c>
      <c r="JV22" s="242">
        <f t="shared" si="199"/>
        <v>300000</v>
      </c>
      <c r="JW22" s="242">
        <f t="shared" si="216"/>
        <v>0.5</v>
      </c>
      <c r="JX22" s="242">
        <f t="shared" si="200"/>
        <v>500000</v>
      </c>
      <c r="JY22" s="241">
        <f t="shared" si="217"/>
        <v>0.5</v>
      </c>
      <c r="JZ22" s="241">
        <f t="shared" si="218"/>
        <v>400000</v>
      </c>
      <c r="KA22" s="241" t="str">
        <f t="shared" si="219"/>
        <v>期望符合预期</v>
      </c>
      <c r="KC22" s="242">
        <f t="shared" si="201"/>
        <v>800000</v>
      </c>
      <c r="KD22" s="242">
        <f t="shared" si="202"/>
        <v>750000</v>
      </c>
      <c r="KE22" s="242">
        <f t="shared" si="220"/>
        <v>0.8</v>
      </c>
      <c r="KF22" s="242">
        <f t="shared" si="203"/>
        <v>1000000</v>
      </c>
      <c r="KG22" s="241">
        <f t="shared" si="221"/>
        <v>0.2</v>
      </c>
      <c r="KH22" s="241">
        <f t="shared" si="222"/>
        <v>800000</v>
      </c>
      <c r="KI22" s="241" t="str">
        <f t="shared" si="223"/>
        <v>期望符合预期</v>
      </c>
      <c r="KK22" s="242">
        <f t="shared" si="204"/>
        <v>1200000</v>
      </c>
      <c r="KL22" s="242">
        <f t="shared" si="205"/>
        <v>1000000</v>
      </c>
      <c r="KM22" s="242">
        <f t="shared" si="224"/>
        <v>0.6</v>
      </c>
      <c r="KN22" s="242">
        <f t="shared" si="206"/>
        <v>1500000</v>
      </c>
      <c r="KO22" s="241">
        <f t="shared" si="225"/>
        <v>0.4</v>
      </c>
      <c r="KP22" s="241">
        <f t="shared" si="226"/>
        <v>1200000</v>
      </c>
      <c r="KQ22" s="241" t="str">
        <f t="shared" si="227"/>
        <v>期望符合预期</v>
      </c>
      <c r="KS22" s="242">
        <f t="shared" si="207"/>
        <v>1600000</v>
      </c>
      <c r="KT22" s="242">
        <f t="shared" si="208"/>
        <v>1500000</v>
      </c>
      <c r="KU22" s="242">
        <f t="shared" si="228"/>
        <v>0.8</v>
      </c>
      <c r="KV22" s="242">
        <f t="shared" si="209"/>
        <v>2000000</v>
      </c>
      <c r="KW22" s="241">
        <f t="shared" si="229"/>
        <v>0.2</v>
      </c>
      <c r="KX22" s="241">
        <f t="shared" si="230"/>
        <v>1600000</v>
      </c>
      <c r="KY22" s="241" t="str">
        <f t="shared" si="231"/>
        <v>期望符合预期</v>
      </c>
      <c r="LA22" s="242">
        <f t="shared" si="210"/>
        <v>2000000</v>
      </c>
      <c r="LB22" s="242">
        <f t="shared" si="211"/>
        <v>2000000</v>
      </c>
      <c r="LC22" s="242">
        <f t="shared" si="232"/>
        <v>1</v>
      </c>
      <c r="LD22" s="242">
        <f t="shared" si="212"/>
        <v>3000000</v>
      </c>
      <c r="LE22" s="241">
        <f t="shared" si="233"/>
        <v>0</v>
      </c>
      <c r="LF22" s="241">
        <f t="shared" si="234"/>
        <v>2000000</v>
      </c>
      <c r="LG22" s="241" t="str">
        <f t="shared" si="235"/>
        <v>期望符合预期</v>
      </c>
    </row>
    <row r="23" spans="1:319" ht="16.2" x14ac:dyDescent="0.4">
      <c r="A23" s="63">
        <v>19</v>
      </c>
      <c r="B23" s="254" t="s">
        <v>1673</v>
      </c>
      <c r="C23" s="63">
        <v>2</v>
      </c>
      <c r="D23" s="63">
        <v>-1</v>
      </c>
      <c r="E23" s="63">
        <v>30</v>
      </c>
      <c r="F23" s="63">
        <f t="shared" si="16"/>
        <v>30</v>
      </c>
      <c r="G23" s="63">
        <f t="shared" si="167"/>
        <v>30</v>
      </c>
      <c r="H23" s="63"/>
      <c r="I23" s="265"/>
      <c r="J23" s="63">
        <f t="shared" si="238"/>
        <v>0</v>
      </c>
      <c r="K23" s="63">
        <f t="shared" si="18"/>
        <v>0</v>
      </c>
      <c r="L23" s="63">
        <v>0</v>
      </c>
      <c r="M23" s="266">
        <f>ROUND($BX$7/('全局参数|GlobalPar'!$B$19/10000/E23),6)*(7/5)</f>
        <v>2.0833399999999998E-2</v>
      </c>
      <c r="N23" s="267">
        <v>1</v>
      </c>
      <c r="O23" s="268">
        <f>ROUND(IF(N23&lt;&gt;0,$BX$4/('全局参数|GlobalPar'!$B$19/10000/E23)/N23,0),6)</f>
        <v>0</v>
      </c>
      <c r="P23" s="270">
        <f t="shared" si="19"/>
        <v>6.0000000000000001E-3</v>
      </c>
      <c r="Q23" s="285">
        <f t="shared" si="20"/>
        <v>0</v>
      </c>
      <c r="R23" s="282">
        <v>7</v>
      </c>
      <c r="S23" s="283">
        <v>1</v>
      </c>
      <c r="T23" s="284" t="str">
        <f t="shared" si="21"/>
        <v>[[7,1],[7,1],[7,1],[7,1],[7,1],[7,1],[7,1],[7,1],[7,1],[7,1],[14,2],[28,4],[42,6],[56,8],[70,10],[140,20],[280,40],[420,60],[560,80],[700,100]]</v>
      </c>
      <c r="U23" s="284">
        <v>1</v>
      </c>
      <c r="V23" s="284">
        <v>1</v>
      </c>
      <c r="W23" s="284" t="str">
        <f t="shared" si="168"/>
        <v>[[1,1],[1,1],[1,1],[1,1],[1,1],[1,1],[1,1],[1,1],[1,1],[1,1],[1,1],[1,1],[1,1],[1,1],[1,1],[1,1],[1,1],[1,1],[1,1],[1,1]]</v>
      </c>
      <c r="X23" s="63">
        <v>0</v>
      </c>
      <c r="Y23" s="305">
        <v>0</v>
      </c>
      <c r="Z23" s="303">
        <f t="shared" si="22"/>
        <v>0</v>
      </c>
      <c r="AA23" s="303">
        <v>0.06</v>
      </c>
      <c r="AB23" s="303">
        <f t="shared" si="169"/>
        <v>0.1</v>
      </c>
      <c r="AC23" s="304">
        <f t="shared" si="213"/>
        <v>0.05</v>
      </c>
      <c r="AD23" s="304">
        <f t="shared" si="213"/>
        <v>0</v>
      </c>
      <c r="AE23" s="304">
        <f t="shared" si="213"/>
        <v>0</v>
      </c>
      <c r="AF23" s="304">
        <f t="shared" si="213"/>
        <v>0</v>
      </c>
      <c r="AG23" s="63" t="str">
        <f t="shared" si="170"/>
        <v>[[1,5],[2,2],[3,1]]</v>
      </c>
      <c r="AH23" s="256" t="str">
        <f t="shared" si="171"/>
        <v>[0.266667,0.133333,0.088889]</v>
      </c>
      <c r="AI23" s="256">
        <v>0</v>
      </c>
      <c r="AJ23" s="256">
        <v>1</v>
      </c>
      <c r="AK23" s="256">
        <f t="shared" si="23"/>
        <v>1</v>
      </c>
      <c r="AL23" s="256">
        <v>0</v>
      </c>
      <c r="AM23" s="256">
        <f t="shared" si="172"/>
        <v>9</v>
      </c>
      <c r="AN23" s="256" t="s">
        <v>2548</v>
      </c>
      <c r="AO23" s="324">
        <v>8</v>
      </c>
      <c r="AP23" s="63">
        <f t="shared" si="24"/>
        <v>-1</v>
      </c>
      <c r="AQ23" s="63">
        <v>0</v>
      </c>
      <c r="AR23" s="63"/>
      <c r="AS23" s="39">
        <v>3</v>
      </c>
      <c r="AT23" s="39">
        <v>0</v>
      </c>
      <c r="AU23" s="261">
        <v>0.9</v>
      </c>
      <c r="AV23" s="63">
        <f t="shared" si="173"/>
        <v>0.9</v>
      </c>
      <c r="AW23" s="63">
        <v>1</v>
      </c>
      <c r="AX23" s="63">
        <v>1</v>
      </c>
      <c r="AY23" s="63"/>
      <c r="AZ23" s="39"/>
      <c r="BA23" s="39"/>
      <c r="BB23" s="328">
        <v>0.6</v>
      </c>
      <c r="BC23" s="39">
        <v>50</v>
      </c>
      <c r="BD23" s="39">
        <v>0.18</v>
      </c>
      <c r="BE23" s="39">
        <v>0.8</v>
      </c>
      <c r="BF23" s="39">
        <v>1</v>
      </c>
      <c r="BG23" s="39" t="s">
        <v>1604</v>
      </c>
      <c r="BH23" s="331" t="s">
        <v>1674</v>
      </c>
      <c r="BI23" s="331" t="s">
        <v>1674</v>
      </c>
      <c r="BJ23" s="265" t="s">
        <v>1675</v>
      </c>
      <c r="BK23" s="265" t="s">
        <v>280</v>
      </c>
      <c r="BL23" s="265"/>
      <c r="BM23" s="265"/>
      <c r="BN23" s="81">
        <f t="shared" si="25"/>
        <v>22.5</v>
      </c>
      <c r="BO23" s="343">
        <f t="shared" si="26"/>
        <v>6.666666666666667</v>
      </c>
      <c r="BP23" s="81" t="s">
        <v>1606</v>
      </c>
      <c r="BQ23" s="81">
        <f t="shared" si="27"/>
        <v>0.67200000000000004</v>
      </c>
      <c r="BR23" s="81"/>
      <c r="BS23" s="63">
        <f t="shared" si="28"/>
        <v>30</v>
      </c>
      <c r="BT23" s="63">
        <f t="shared" si="29"/>
        <v>31.8</v>
      </c>
      <c r="BV23" s="63">
        <f t="shared" si="30"/>
        <v>0</v>
      </c>
      <c r="CG23" s="371">
        <f t="shared" si="31"/>
        <v>33</v>
      </c>
      <c r="CH23" s="372">
        <f t="shared" si="214"/>
        <v>0.1</v>
      </c>
      <c r="CI23" s="373">
        <v>1</v>
      </c>
      <c r="CJ23" s="143">
        <v>5</v>
      </c>
      <c r="CK23" s="373">
        <v>2</v>
      </c>
      <c r="CL23" s="143">
        <v>2</v>
      </c>
      <c r="CM23" s="373">
        <v>3</v>
      </c>
      <c r="CN23" s="143">
        <v>1</v>
      </c>
      <c r="CO23" s="143">
        <f t="shared" si="174"/>
        <v>1.5</v>
      </c>
      <c r="CP23" s="143">
        <f t="shared" si="175"/>
        <v>7.5</v>
      </c>
      <c r="CQ23" s="377">
        <f t="shared" si="176"/>
        <v>0.26666699999999999</v>
      </c>
      <c r="CR23" s="143">
        <f t="shared" si="175"/>
        <v>15</v>
      </c>
      <c r="CS23" s="378">
        <f t="shared" si="177"/>
        <v>0.13333300000000001</v>
      </c>
      <c r="CT23" s="143">
        <f t="shared" si="175"/>
        <v>22.5</v>
      </c>
      <c r="CU23" s="392">
        <f t="shared" si="178"/>
        <v>8.8888999999999996E-2</v>
      </c>
      <c r="CW23" s="241">
        <v>2E-3</v>
      </c>
      <c r="CX23" s="396">
        <f t="shared" si="215"/>
        <v>0</v>
      </c>
      <c r="CY23" s="270">
        <f t="shared" si="33"/>
        <v>0</v>
      </c>
      <c r="CZ23" s="394">
        <f t="shared" si="34"/>
        <v>0</v>
      </c>
      <c r="DA23" s="394">
        <f t="shared" si="35"/>
        <v>0</v>
      </c>
      <c r="DB23" s="395">
        <f t="shared" si="179"/>
        <v>0</v>
      </c>
      <c r="DC23" s="419">
        <f t="shared" si="36"/>
        <v>0</v>
      </c>
      <c r="DD23" s="394">
        <f t="shared" si="37"/>
        <v>0</v>
      </c>
      <c r="DE23" s="420" t="e">
        <f t="shared" si="38"/>
        <v>#DIV/0!</v>
      </c>
      <c r="DF23" s="421">
        <f t="shared" si="180"/>
        <v>7</v>
      </c>
      <c r="DG23" s="422">
        <f t="shared" si="181"/>
        <v>1</v>
      </c>
      <c r="DH23" s="284"/>
      <c r="DI23" s="282">
        <v>7</v>
      </c>
      <c r="DJ23" s="283">
        <v>1</v>
      </c>
      <c r="DL23" s="431"/>
      <c r="DM23" s="242"/>
      <c r="DQ23" s="427"/>
      <c r="DR23" s="421">
        <v>7</v>
      </c>
      <c r="DS23" s="270">
        <v>1</v>
      </c>
      <c r="DT23" s="427">
        <f t="shared" si="39"/>
        <v>7.1428571428571504E-4</v>
      </c>
      <c r="DU23" s="421">
        <f t="shared" si="40"/>
        <v>7</v>
      </c>
      <c r="DV23" s="270">
        <f t="shared" si="182"/>
        <v>1</v>
      </c>
      <c r="DW23" s="427">
        <f t="shared" si="42"/>
        <v>1.4285714285714301E-3</v>
      </c>
      <c r="DX23" s="421">
        <f t="shared" si="43"/>
        <v>7</v>
      </c>
      <c r="DY23" s="270">
        <f t="shared" si="183"/>
        <v>1</v>
      </c>
      <c r="DZ23" s="427">
        <f t="shared" si="45"/>
        <v>2.1428571428571451E-3</v>
      </c>
      <c r="EA23" s="421">
        <f t="shared" si="184"/>
        <v>7</v>
      </c>
      <c r="EB23" s="270">
        <f t="shared" si="185"/>
        <v>1</v>
      </c>
      <c r="EC23" s="427">
        <f t="shared" si="48"/>
        <v>2.8571428571428602E-3</v>
      </c>
      <c r="ED23" s="421">
        <f t="shared" si="186"/>
        <v>7</v>
      </c>
      <c r="EE23" s="270">
        <f t="shared" si="187"/>
        <v>1</v>
      </c>
      <c r="EF23" s="427">
        <f t="shared" si="51"/>
        <v>3.5714285714285752E-3</v>
      </c>
      <c r="EG23" s="421">
        <f t="shared" si="188"/>
        <v>7</v>
      </c>
      <c r="EH23" s="270">
        <f t="shared" si="189"/>
        <v>1</v>
      </c>
      <c r="EI23" s="427">
        <f t="shared" si="54"/>
        <v>7.1428571428571504E-3</v>
      </c>
      <c r="EJ23" s="421">
        <f t="shared" si="190"/>
        <v>7</v>
      </c>
      <c r="EK23" s="270">
        <f t="shared" si="191"/>
        <v>1</v>
      </c>
      <c r="EL23" s="427">
        <f t="shared" si="57"/>
        <v>1.4285714285714301E-2</v>
      </c>
      <c r="EM23" s="421">
        <f t="shared" si="192"/>
        <v>7</v>
      </c>
      <c r="EN23" s="270">
        <f t="shared" si="193"/>
        <v>1</v>
      </c>
      <c r="EO23" s="427">
        <f t="shared" si="60"/>
        <v>2.1428571428571453E-2</v>
      </c>
      <c r="EP23" s="421">
        <f t="shared" si="194"/>
        <v>7</v>
      </c>
      <c r="EQ23" s="270">
        <f t="shared" si="195"/>
        <v>1</v>
      </c>
      <c r="ER23" s="427">
        <f t="shared" si="63"/>
        <v>2.8571428571428602E-2</v>
      </c>
      <c r="ES23" s="421">
        <f t="shared" si="196"/>
        <v>7</v>
      </c>
      <c r="ET23" s="270">
        <f t="shared" si="197"/>
        <v>1</v>
      </c>
      <c r="EU23" s="427">
        <f t="shared" si="66"/>
        <v>3.5714285714285747E-2</v>
      </c>
      <c r="EV23" s="421">
        <f t="shared" si="67"/>
        <v>14</v>
      </c>
      <c r="EW23" s="270">
        <f t="shared" si="68"/>
        <v>2</v>
      </c>
      <c r="EX23" s="427">
        <f t="shared" si="69"/>
        <v>3.5714285714285747E-2</v>
      </c>
      <c r="EY23" s="421">
        <f t="shared" si="70"/>
        <v>28</v>
      </c>
      <c r="EZ23" s="270">
        <f t="shared" si="71"/>
        <v>4</v>
      </c>
      <c r="FA23" s="427">
        <f t="shared" si="72"/>
        <v>3.5714285714285747E-2</v>
      </c>
      <c r="FB23" s="421">
        <f t="shared" si="73"/>
        <v>42</v>
      </c>
      <c r="FC23" s="270">
        <f t="shared" si="74"/>
        <v>6</v>
      </c>
      <c r="FD23" s="427">
        <f t="shared" si="75"/>
        <v>3.5714285714285747E-2</v>
      </c>
      <c r="FE23" s="421">
        <f t="shared" si="76"/>
        <v>56</v>
      </c>
      <c r="FF23" s="270">
        <f t="shared" si="77"/>
        <v>8</v>
      </c>
      <c r="FG23" s="427">
        <f t="shared" si="78"/>
        <v>3.5714285714285747E-2</v>
      </c>
      <c r="FH23" s="421">
        <f t="shared" si="79"/>
        <v>70</v>
      </c>
      <c r="FI23" s="270">
        <f t="shared" si="80"/>
        <v>10</v>
      </c>
      <c r="FJ23" s="427">
        <f t="shared" si="81"/>
        <v>3.5714285714285747E-2</v>
      </c>
      <c r="FK23" s="421">
        <f t="shared" si="82"/>
        <v>140</v>
      </c>
      <c r="FL23" s="270">
        <f t="shared" si="83"/>
        <v>20</v>
      </c>
      <c r="FM23" s="427">
        <f t="shared" si="84"/>
        <v>3.5714285714285747E-2</v>
      </c>
      <c r="FN23" s="421">
        <f t="shared" si="85"/>
        <v>280</v>
      </c>
      <c r="FO23" s="270">
        <f t="shared" si="86"/>
        <v>40</v>
      </c>
      <c r="FP23" s="427">
        <f t="shared" si="87"/>
        <v>3.5714285714285747E-2</v>
      </c>
      <c r="FQ23" s="421">
        <f t="shared" si="88"/>
        <v>420</v>
      </c>
      <c r="FR23" s="270">
        <f t="shared" si="89"/>
        <v>60</v>
      </c>
      <c r="FS23" s="427">
        <f t="shared" si="90"/>
        <v>3.5714285714285747E-2</v>
      </c>
      <c r="FT23" s="421">
        <f t="shared" si="91"/>
        <v>560</v>
      </c>
      <c r="FU23" s="270">
        <f t="shared" si="92"/>
        <v>80</v>
      </c>
      <c r="FV23" s="427">
        <f t="shared" si="93"/>
        <v>3.5714285714285747E-2</v>
      </c>
      <c r="FW23" s="421">
        <f t="shared" si="94"/>
        <v>700</v>
      </c>
      <c r="FX23" s="270">
        <f t="shared" si="95"/>
        <v>100</v>
      </c>
      <c r="FY23" s="427">
        <f t="shared" si="96"/>
        <v>3.5714285714285747E-2</v>
      </c>
      <c r="GA23" s="431"/>
      <c r="GB23" s="242"/>
      <c r="GF23" s="427"/>
      <c r="GG23" s="421">
        <v>1</v>
      </c>
      <c r="GH23" s="270">
        <v>1</v>
      </c>
      <c r="GI23" s="427">
        <f t="shared" si="97"/>
        <v>3.3333333333333359E-6</v>
      </c>
      <c r="GJ23" s="421">
        <f t="shared" si="98"/>
        <v>1</v>
      </c>
      <c r="GK23" s="270">
        <f t="shared" si="99"/>
        <v>1</v>
      </c>
      <c r="GL23" s="427">
        <f t="shared" si="100"/>
        <v>6.6666666666666717E-6</v>
      </c>
      <c r="GM23" s="421">
        <f t="shared" si="101"/>
        <v>1</v>
      </c>
      <c r="GN23" s="270">
        <f t="shared" si="102"/>
        <v>1</v>
      </c>
      <c r="GO23" s="427">
        <f t="shared" si="103"/>
        <v>1.0000000000000008E-5</v>
      </c>
      <c r="GP23" s="421">
        <f t="shared" si="104"/>
        <v>1</v>
      </c>
      <c r="GQ23" s="270">
        <f t="shared" si="105"/>
        <v>1</v>
      </c>
      <c r="GR23" s="427">
        <f t="shared" si="106"/>
        <v>1.3333333333333343E-5</v>
      </c>
      <c r="GS23" s="421">
        <f t="shared" si="107"/>
        <v>1</v>
      </c>
      <c r="GT23" s="270">
        <f t="shared" si="108"/>
        <v>1</v>
      </c>
      <c r="GU23" s="427">
        <f t="shared" si="109"/>
        <v>1.6666666666666681E-5</v>
      </c>
      <c r="GV23" s="421">
        <f t="shared" si="110"/>
        <v>1</v>
      </c>
      <c r="GW23" s="270">
        <f t="shared" si="111"/>
        <v>1</v>
      </c>
      <c r="GX23" s="427">
        <f t="shared" si="112"/>
        <v>3.3333333333333362E-5</v>
      </c>
      <c r="GY23" s="421">
        <f t="shared" si="113"/>
        <v>1</v>
      </c>
      <c r="GZ23" s="270">
        <f t="shared" si="114"/>
        <v>1</v>
      </c>
      <c r="HA23" s="427">
        <f t="shared" si="115"/>
        <v>6.6666666666666724E-5</v>
      </c>
      <c r="HB23" s="421">
        <f t="shared" si="116"/>
        <v>1</v>
      </c>
      <c r="HC23" s="270">
        <f t="shared" si="117"/>
        <v>1</v>
      </c>
      <c r="HD23" s="427">
        <f t="shared" si="118"/>
        <v>1.0000000000000009E-4</v>
      </c>
      <c r="HE23" s="421">
        <f t="shared" si="119"/>
        <v>1</v>
      </c>
      <c r="HF23" s="270">
        <f t="shared" si="120"/>
        <v>1</v>
      </c>
      <c r="HG23" s="427">
        <f t="shared" si="121"/>
        <v>1.3333333333333345E-4</v>
      </c>
      <c r="HH23" s="421">
        <f t="shared" si="122"/>
        <v>1</v>
      </c>
      <c r="HI23" s="270">
        <f t="shared" si="123"/>
        <v>1</v>
      </c>
      <c r="HJ23" s="427">
        <f t="shared" si="124"/>
        <v>1.666666666666668E-4</v>
      </c>
      <c r="HK23" s="421">
        <f t="shared" si="125"/>
        <v>1</v>
      </c>
      <c r="HL23" s="270">
        <f t="shared" si="125"/>
        <v>1</v>
      </c>
      <c r="HM23" s="427">
        <f t="shared" si="126"/>
        <v>3.3333333333333359E-4</v>
      </c>
      <c r="HN23" s="421">
        <f t="shared" si="127"/>
        <v>1</v>
      </c>
      <c r="HO23" s="270">
        <f t="shared" si="127"/>
        <v>1</v>
      </c>
      <c r="HP23" s="427">
        <f t="shared" si="128"/>
        <v>6.6666666666666719E-4</v>
      </c>
      <c r="HQ23" s="421">
        <f t="shared" si="129"/>
        <v>1</v>
      </c>
      <c r="HR23" s="270">
        <f t="shared" si="129"/>
        <v>1</v>
      </c>
      <c r="HS23" s="427">
        <f t="shared" si="130"/>
        <v>1.0000000000000009E-3</v>
      </c>
      <c r="HT23" s="421">
        <f t="shared" si="131"/>
        <v>1</v>
      </c>
      <c r="HU23" s="270">
        <f t="shared" si="131"/>
        <v>1</v>
      </c>
      <c r="HV23" s="427">
        <f t="shared" si="132"/>
        <v>1.3333333333333344E-3</v>
      </c>
      <c r="HW23" s="421">
        <f t="shared" si="133"/>
        <v>1</v>
      </c>
      <c r="HX23" s="270">
        <f t="shared" si="133"/>
        <v>1</v>
      </c>
      <c r="HY23" s="427">
        <f t="shared" si="134"/>
        <v>1.6666666666666681E-3</v>
      </c>
      <c r="HZ23" s="421">
        <f t="shared" si="135"/>
        <v>1</v>
      </c>
      <c r="IA23" s="270">
        <f t="shared" si="135"/>
        <v>1</v>
      </c>
      <c r="IB23" s="427">
        <f t="shared" si="136"/>
        <v>3.3333333333333361E-3</v>
      </c>
      <c r="IC23" s="421">
        <f t="shared" si="137"/>
        <v>1</v>
      </c>
      <c r="ID23" s="270">
        <f t="shared" si="137"/>
        <v>1</v>
      </c>
      <c r="IE23" s="427">
        <f t="shared" si="138"/>
        <v>6.6666666666666723E-3</v>
      </c>
      <c r="IF23" s="421">
        <f t="shared" si="139"/>
        <v>1</v>
      </c>
      <c r="IG23" s="270">
        <f t="shared" si="139"/>
        <v>1</v>
      </c>
      <c r="IH23" s="427">
        <f t="shared" si="140"/>
        <v>1.0000000000000009E-2</v>
      </c>
      <c r="II23" s="421">
        <f t="shared" si="141"/>
        <v>1</v>
      </c>
      <c r="IJ23" s="270">
        <f t="shared" si="141"/>
        <v>1</v>
      </c>
      <c r="IK23" s="427">
        <f t="shared" si="142"/>
        <v>1.3333333333333345E-2</v>
      </c>
      <c r="IL23" s="421">
        <f t="shared" si="143"/>
        <v>1</v>
      </c>
      <c r="IM23" s="270">
        <f t="shared" si="143"/>
        <v>1</v>
      </c>
      <c r="IN23" s="427">
        <f t="shared" si="144"/>
        <v>1.666666666666668E-2</v>
      </c>
      <c r="IS23" s="447">
        <f t="shared" si="236"/>
        <v>0</v>
      </c>
      <c r="IT23" s="447">
        <f t="shared" si="236"/>
        <v>0</v>
      </c>
      <c r="IU23" s="447">
        <f t="shared" si="236"/>
        <v>0</v>
      </c>
      <c r="IV23" s="447">
        <f t="shared" si="236"/>
        <v>1.1999999999999999E-3</v>
      </c>
      <c r="IW23" s="447">
        <f t="shared" si="236"/>
        <v>1.5E-3</v>
      </c>
      <c r="IX23" s="447">
        <f t="shared" si="236"/>
        <v>3.0000000000000001E-3</v>
      </c>
      <c r="IY23" s="447">
        <f t="shared" si="236"/>
        <v>6.0000000000000001E-3</v>
      </c>
      <c r="IZ23" s="447">
        <f t="shared" si="236"/>
        <v>8.9999999999999993E-3</v>
      </c>
      <c r="JA23" s="447">
        <f t="shared" si="236"/>
        <v>1.2E-2</v>
      </c>
      <c r="JB23" s="447">
        <f t="shared" si="236"/>
        <v>1.4999999999999999E-2</v>
      </c>
      <c r="JC23" s="447">
        <f t="shared" si="237"/>
        <v>0.03</v>
      </c>
      <c r="JD23" s="447">
        <f t="shared" si="237"/>
        <v>3.7499999999999999E-2</v>
      </c>
      <c r="JE23" s="447">
        <f t="shared" si="237"/>
        <v>3.7494E-2</v>
      </c>
      <c r="JF23" s="447">
        <f t="shared" si="237"/>
        <v>3.7488000000000007E-2</v>
      </c>
      <c r="JG23" s="447">
        <f t="shared" si="237"/>
        <v>3.7484999999999997E-2</v>
      </c>
      <c r="JH23" s="447">
        <f t="shared" si="237"/>
        <v>3.7470000000000003E-2</v>
      </c>
      <c r="JI23" s="447">
        <f t="shared" si="237"/>
        <v>3.7440000000000008E-2</v>
      </c>
      <c r="JJ23" s="447">
        <f t="shared" si="237"/>
        <v>3.7440000000000008E-2</v>
      </c>
      <c r="JK23" s="447">
        <f t="shared" si="237"/>
        <v>3.7440000000000008E-2</v>
      </c>
      <c r="JL23" s="447">
        <f t="shared" si="237"/>
        <v>3.7350000000000001E-2</v>
      </c>
      <c r="JQ23" s="455" t="s">
        <v>1659</v>
      </c>
      <c r="JR23" s="456">
        <v>4</v>
      </c>
      <c r="JS23" s="456">
        <f t="shared" si="242"/>
        <v>40000000</v>
      </c>
      <c r="JT23" s="242"/>
      <c r="JU23" s="242">
        <f t="shared" si="198"/>
        <v>600000</v>
      </c>
      <c r="JV23" s="242">
        <f t="shared" si="199"/>
        <v>500000</v>
      </c>
      <c r="JW23" s="242">
        <f t="shared" si="216"/>
        <v>0.6</v>
      </c>
      <c r="JX23" s="242">
        <f t="shared" si="200"/>
        <v>750000</v>
      </c>
      <c r="JY23" s="241">
        <f t="shared" si="217"/>
        <v>0.4</v>
      </c>
      <c r="JZ23" s="241">
        <f t="shared" si="218"/>
        <v>600000</v>
      </c>
      <c r="KA23" s="241" t="str">
        <f t="shared" si="219"/>
        <v>期望符合预期</v>
      </c>
      <c r="KC23" s="242">
        <f t="shared" si="201"/>
        <v>1200000</v>
      </c>
      <c r="KD23" s="242">
        <f t="shared" si="202"/>
        <v>1000000</v>
      </c>
      <c r="KE23" s="242">
        <f t="shared" si="220"/>
        <v>0.6</v>
      </c>
      <c r="KF23" s="242">
        <f t="shared" si="203"/>
        <v>1500000</v>
      </c>
      <c r="KG23" s="241">
        <f t="shared" si="221"/>
        <v>0.4</v>
      </c>
      <c r="KH23" s="241">
        <f t="shared" si="222"/>
        <v>1200000</v>
      </c>
      <c r="KI23" s="241" t="str">
        <f t="shared" si="223"/>
        <v>期望符合预期</v>
      </c>
      <c r="KK23" s="242">
        <f t="shared" si="204"/>
        <v>1800000</v>
      </c>
      <c r="KL23" s="242">
        <f t="shared" si="205"/>
        <v>1500000</v>
      </c>
      <c r="KM23" s="242">
        <f t="shared" si="224"/>
        <v>0.4</v>
      </c>
      <c r="KN23" s="242">
        <f t="shared" si="206"/>
        <v>2000000</v>
      </c>
      <c r="KO23" s="241">
        <f t="shared" si="225"/>
        <v>0.6</v>
      </c>
      <c r="KP23" s="241">
        <f t="shared" si="226"/>
        <v>1800000</v>
      </c>
      <c r="KQ23" s="241" t="str">
        <f t="shared" si="227"/>
        <v>期望符合预期</v>
      </c>
      <c r="KS23" s="242">
        <f t="shared" si="207"/>
        <v>2400000</v>
      </c>
      <c r="KT23" s="242">
        <f t="shared" si="208"/>
        <v>2000000</v>
      </c>
      <c r="KU23" s="242">
        <f t="shared" si="228"/>
        <v>0.6</v>
      </c>
      <c r="KV23" s="242">
        <f t="shared" si="209"/>
        <v>3000000</v>
      </c>
      <c r="KW23" s="241">
        <f t="shared" si="229"/>
        <v>0.4</v>
      </c>
      <c r="KX23" s="241">
        <f t="shared" si="230"/>
        <v>2400000</v>
      </c>
      <c r="KY23" s="241" t="str">
        <f t="shared" si="231"/>
        <v>期望符合预期</v>
      </c>
      <c r="LA23" s="242">
        <f t="shared" si="210"/>
        <v>3000000</v>
      </c>
      <c r="LB23" s="242">
        <f t="shared" si="211"/>
        <v>3000000</v>
      </c>
      <c r="LC23" s="242">
        <f t="shared" si="232"/>
        <v>1</v>
      </c>
      <c r="LD23" s="242">
        <f t="shared" si="212"/>
        <v>4000000</v>
      </c>
      <c r="LE23" s="241">
        <f t="shared" si="233"/>
        <v>0</v>
      </c>
      <c r="LF23" s="241">
        <f t="shared" si="234"/>
        <v>3000000</v>
      </c>
      <c r="LG23" s="241" t="str">
        <f t="shared" si="235"/>
        <v>期望符合预期</v>
      </c>
    </row>
    <row r="24" spans="1:319" s="242" customFormat="1" ht="16.2" x14ac:dyDescent="0.4">
      <c r="A24" s="63">
        <v>20</v>
      </c>
      <c r="B24" s="254" t="s">
        <v>1676</v>
      </c>
      <c r="C24" s="63">
        <v>3</v>
      </c>
      <c r="D24" s="63">
        <v>-1</v>
      </c>
      <c r="E24" s="63">
        <v>20</v>
      </c>
      <c r="F24" s="63" t="s">
        <v>1664</v>
      </c>
      <c r="G24" s="63">
        <f t="shared" si="167"/>
        <v>20</v>
      </c>
      <c r="H24" s="63"/>
      <c r="I24" s="265" t="s">
        <v>1665</v>
      </c>
      <c r="J24" s="63">
        <f t="shared" si="238"/>
        <v>0</v>
      </c>
      <c r="K24" s="63">
        <f t="shared" si="18"/>
        <v>0</v>
      </c>
      <c r="L24" s="63">
        <v>0</v>
      </c>
      <c r="M24" s="266">
        <f>ROUND($BX$7/('全局参数|GlobalPar'!$B$19/10000/E24),6)*(7/5)</f>
        <v>1.3889399999999998E-2</v>
      </c>
      <c r="N24" s="267">
        <v>1</v>
      </c>
      <c r="O24" s="268">
        <f>ROUND(IF(N24&lt;&gt;0,$BX$4/('全局参数|GlobalPar'!$B$19/10000/E24)/N24,0),6)</f>
        <v>0</v>
      </c>
      <c r="P24" s="270">
        <f t="shared" si="19"/>
        <v>4.0000000000000001E-3</v>
      </c>
      <c r="Q24" s="285">
        <f t="shared" si="20"/>
        <v>0</v>
      </c>
      <c r="R24" s="282">
        <v>8</v>
      </c>
      <c r="S24" s="283">
        <v>1</v>
      </c>
      <c r="T24" s="284" t="str">
        <f t="shared" si="21"/>
        <v>[[8,1],[8,1],[8,1],[8,1],[8,1],[8,1],[8,1],[8,1],[8,1],[8,1],[16,2],[32,4],[48,6],[64,8],[80,10],[160,20],[320,40],[480,60],[640,80],[800,100]]</v>
      </c>
      <c r="U24" s="284">
        <v>1</v>
      </c>
      <c r="V24" s="284">
        <v>1</v>
      </c>
      <c r="W24" s="284" t="str">
        <f t="shared" si="168"/>
        <v>[[1,1],[1,1],[1,1],[1,1],[1,1],[1,1],[1,1],[1,1],[1,1],[1,1],[1,1],[1,1],[1,1],[1,1],[1,1],[1,1],[1,1],[1,1],[1,1],[1,1]]</v>
      </c>
      <c r="X24" s="63">
        <v>0</v>
      </c>
      <c r="Y24" s="305">
        <v>0</v>
      </c>
      <c r="Z24" s="303">
        <f t="shared" si="22"/>
        <v>0</v>
      </c>
      <c r="AA24" s="303">
        <v>0.06</v>
      </c>
      <c r="AB24" s="303">
        <f t="shared" si="169"/>
        <v>0.1</v>
      </c>
      <c r="AC24" s="304">
        <f t="shared" si="213"/>
        <v>0.05</v>
      </c>
      <c r="AD24" s="304">
        <f t="shared" si="213"/>
        <v>0</v>
      </c>
      <c r="AE24" s="304">
        <f t="shared" si="213"/>
        <v>0</v>
      </c>
      <c r="AF24" s="304">
        <f t="shared" si="213"/>
        <v>0</v>
      </c>
      <c r="AG24" s="63" t="str">
        <f t="shared" si="170"/>
        <v>[[2,5],[3,2],[4,1]]</v>
      </c>
      <c r="AH24" s="256" t="str">
        <f t="shared" si="171"/>
        <v>[0.106667,0.053333,0.035556]</v>
      </c>
      <c r="AI24" s="256">
        <v>0</v>
      </c>
      <c r="AJ24" s="256">
        <v>1</v>
      </c>
      <c r="AK24" s="256">
        <f t="shared" ref="AK24:AK64" si="243">AJ24</f>
        <v>1</v>
      </c>
      <c r="AL24" s="256">
        <v>0</v>
      </c>
      <c r="AM24" s="256">
        <f t="shared" si="172"/>
        <v>6</v>
      </c>
      <c r="AN24" s="256" t="s">
        <v>2548</v>
      </c>
      <c r="AO24" s="324">
        <v>8</v>
      </c>
      <c r="AP24" s="63">
        <v>-1</v>
      </c>
      <c r="AQ24" s="63">
        <v>0</v>
      </c>
      <c r="AR24" s="39">
        <v>1</v>
      </c>
      <c r="AS24" s="39">
        <v>3</v>
      </c>
      <c r="AT24" s="39">
        <v>1</v>
      </c>
      <c r="AU24" s="63">
        <v>1</v>
      </c>
      <c r="AV24" s="63">
        <f t="shared" si="173"/>
        <v>1</v>
      </c>
      <c r="AW24" s="63">
        <v>1</v>
      </c>
      <c r="AX24" s="63">
        <v>1</v>
      </c>
      <c r="AY24" s="63" t="s">
        <v>1159</v>
      </c>
      <c r="AZ24" s="39"/>
      <c r="BA24" s="39"/>
      <c r="BB24" s="328">
        <v>0.6</v>
      </c>
      <c r="BC24" s="39">
        <v>55</v>
      </c>
      <c r="BD24" s="39">
        <v>0.18</v>
      </c>
      <c r="BE24" s="39">
        <v>0.8</v>
      </c>
      <c r="BF24" s="39">
        <v>1</v>
      </c>
      <c r="BG24" s="39" t="s">
        <v>1677</v>
      </c>
      <c r="BH24" s="331" t="s">
        <v>1678</v>
      </c>
      <c r="BI24" s="331" t="s">
        <v>1679</v>
      </c>
      <c r="BJ24" s="265" t="s">
        <v>246</v>
      </c>
      <c r="BK24" s="265" t="s">
        <v>280</v>
      </c>
      <c r="BL24" s="265"/>
      <c r="BM24" s="265"/>
      <c r="BN24" s="81">
        <f t="shared" si="25"/>
        <v>15</v>
      </c>
      <c r="BO24" s="343">
        <f t="shared" si="26"/>
        <v>10</v>
      </c>
      <c r="BP24" s="81" t="s">
        <v>1606</v>
      </c>
      <c r="BQ24" s="81">
        <f t="shared" si="27"/>
        <v>0.746</v>
      </c>
      <c r="BR24" s="81"/>
      <c r="BS24" s="63">
        <f t="shared" si="28"/>
        <v>20</v>
      </c>
      <c r="BT24" s="63">
        <f t="shared" si="29"/>
        <v>21.200000000000003</v>
      </c>
      <c r="BV24" s="63">
        <f t="shared" si="30"/>
        <v>0</v>
      </c>
      <c r="BZ24" s="241"/>
      <c r="CG24" s="371">
        <f t="shared" si="31"/>
        <v>22</v>
      </c>
      <c r="CH24" s="372">
        <f t="shared" si="214"/>
        <v>0.1</v>
      </c>
      <c r="CI24" s="373">
        <v>2</v>
      </c>
      <c r="CJ24" s="143">
        <v>5</v>
      </c>
      <c r="CK24" s="373">
        <v>3</v>
      </c>
      <c r="CL24" s="143">
        <v>2</v>
      </c>
      <c r="CM24" s="373">
        <v>4</v>
      </c>
      <c r="CN24" s="143">
        <v>1</v>
      </c>
      <c r="CO24" s="143">
        <f t="shared" si="174"/>
        <v>2.5</v>
      </c>
      <c r="CP24" s="143">
        <f t="shared" si="175"/>
        <v>7.5</v>
      </c>
      <c r="CQ24" s="377">
        <f t="shared" si="176"/>
        <v>0.106667</v>
      </c>
      <c r="CR24" s="143">
        <f t="shared" si="175"/>
        <v>15</v>
      </c>
      <c r="CS24" s="378">
        <f t="shared" si="177"/>
        <v>5.3332999999999998E-2</v>
      </c>
      <c r="CT24" s="143">
        <f t="shared" si="175"/>
        <v>22.5</v>
      </c>
      <c r="CU24" s="392">
        <f t="shared" si="178"/>
        <v>3.5555999999999997E-2</v>
      </c>
      <c r="CW24" s="242">
        <v>2E-3</v>
      </c>
      <c r="CX24" s="396">
        <f t="shared" si="215"/>
        <v>0</v>
      </c>
      <c r="CY24" s="270">
        <f t="shared" si="33"/>
        <v>0</v>
      </c>
      <c r="CZ24" s="394">
        <f t="shared" si="34"/>
        <v>0</v>
      </c>
      <c r="DA24" s="394">
        <f t="shared" si="35"/>
        <v>0</v>
      </c>
      <c r="DB24" s="395">
        <f t="shared" si="179"/>
        <v>0</v>
      </c>
      <c r="DC24" s="419">
        <f t="shared" si="36"/>
        <v>0</v>
      </c>
      <c r="DD24" s="394">
        <f t="shared" si="37"/>
        <v>0</v>
      </c>
      <c r="DE24" s="420" t="e">
        <f t="shared" si="38"/>
        <v>#DIV/0!</v>
      </c>
      <c r="DF24" s="421">
        <f t="shared" si="180"/>
        <v>8</v>
      </c>
      <c r="DG24" s="422">
        <f t="shared" si="181"/>
        <v>1</v>
      </c>
      <c r="DH24" s="284"/>
      <c r="DI24" s="282">
        <v>8</v>
      </c>
      <c r="DJ24" s="283">
        <v>1</v>
      </c>
      <c r="DL24" s="430"/>
      <c r="DQ24" s="427"/>
      <c r="DR24" s="421">
        <v>8</v>
      </c>
      <c r="DS24" s="270">
        <v>1</v>
      </c>
      <c r="DT24" s="427">
        <f t="shared" si="39"/>
        <v>4.1666666666666713E-4</v>
      </c>
      <c r="DU24" s="421">
        <f t="shared" si="40"/>
        <v>8</v>
      </c>
      <c r="DV24" s="270">
        <f t="shared" si="182"/>
        <v>1</v>
      </c>
      <c r="DW24" s="427">
        <f t="shared" si="42"/>
        <v>8.3333333333333425E-4</v>
      </c>
      <c r="DX24" s="421">
        <f t="shared" si="43"/>
        <v>8</v>
      </c>
      <c r="DY24" s="270">
        <f t="shared" si="183"/>
        <v>1</v>
      </c>
      <c r="DZ24" s="427">
        <f t="shared" si="45"/>
        <v>1.2500000000000013E-3</v>
      </c>
      <c r="EA24" s="421">
        <f t="shared" si="184"/>
        <v>8</v>
      </c>
      <c r="EB24" s="270">
        <f t="shared" si="185"/>
        <v>1</v>
      </c>
      <c r="EC24" s="427">
        <f t="shared" si="48"/>
        <v>1.6666666666666685E-3</v>
      </c>
      <c r="ED24" s="421">
        <f t="shared" si="186"/>
        <v>8</v>
      </c>
      <c r="EE24" s="270">
        <f t="shared" si="187"/>
        <v>1</v>
      </c>
      <c r="EF24" s="427">
        <f t="shared" si="51"/>
        <v>2.0833333333333355E-3</v>
      </c>
      <c r="EG24" s="421">
        <f t="shared" si="188"/>
        <v>8</v>
      </c>
      <c r="EH24" s="270">
        <f t="shared" si="189"/>
        <v>1</v>
      </c>
      <c r="EI24" s="427">
        <f t="shared" si="54"/>
        <v>4.1666666666666709E-3</v>
      </c>
      <c r="EJ24" s="421">
        <f t="shared" si="190"/>
        <v>8</v>
      </c>
      <c r="EK24" s="270">
        <f t="shared" si="191"/>
        <v>1</v>
      </c>
      <c r="EL24" s="427">
        <f t="shared" si="57"/>
        <v>8.3333333333333419E-3</v>
      </c>
      <c r="EM24" s="421">
        <f t="shared" si="192"/>
        <v>8</v>
      </c>
      <c r="EN24" s="270">
        <f t="shared" si="193"/>
        <v>1</v>
      </c>
      <c r="EO24" s="427">
        <f t="shared" si="60"/>
        <v>1.2500000000000013E-2</v>
      </c>
      <c r="EP24" s="421">
        <f t="shared" si="194"/>
        <v>8</v>
      </c>
      <c r="EQ24" s="270">
        <f t="shared" si="195"/>
        <v>1</v>
      </c>
      <c r="ER24" s="427">
        <f t="shared" si="63"/>
        <v>1.6666666666666684E-2</v>
      </c>
      <c r="ES24" s="421">
        <f t="shared" si="196"/>
        <v>8</v>
      </c>
      <c r="ET24" s="270">
        <f t="shared" si="197"/>
        <v>1</v>
      </c>
      <c r="EU24" s="427">
        <f t="shared" si="66"/>
        <v>2.0833333333333356E-2</v>
      </c>
      <c r="EV24" s="421">
        <f t="shared" si="67"/>
        <v>16</v>
      </c>
      <c r="EW24" s="270">
        <f t="shared" si="68"/>
        <v>2</v>
      </c>
      <c r="EX24" s="427">
        <f t="shared" si="69"/>
        <v>2.0833333333333356E-2</v>
      </c>
      <c r="EY24" s="421">
        <f t="shared" si="70"/>
        <v>32</v>
      </c>
      <c r="EZ24" s="270">
        <f t="shared" si="71"/>
        <v>4</v>
      </c>
      <c r="FA24" s="427">
        <f t="shared" si="72"/>
        <v>2.0833333333333356E-2</v>
      </c>
      <c r="FB24" s="421">
        <f t="shared" si="73"/>
        <v>48</v>
      </c>
      <c r="FC24" s="270">
        <f t="shared" si="74"/>
        <v>6</v>
      </c>
      <c r="FD24" s="427">
        <f t="shared" si="75"/>
        <v>2.0833333333333356E-2</v>
      </c>
      <c r="FE24" s="421">
        <f t="shared" si="76"/>
        <v>64</v>
      </c>
      <c r="FF24" s="270">
        <f t="shared" si="77"/>
        <v>8</v>
      </c>
      <c r="FG24" s="427">
        <f t="shared" si="78"/>
        <v>2.0833333333333356E-2</v>
      </c>
      <c r="FH24" s="421">
        <f t="shared" si="79"/>
        <v>80</v>
      </c>
      <c r="FI24" s="270">
        <f t="shared" si="80"/>
        <v>10</v>
      </c>
      <c r="FJ24" s="427">
        <f t="shared" si="81"/>
        <v>2.0833333333333356E-2</v>
      </c>
      <c r="FK24" s="421">
        <f t="shared" si="82"/>
        <v>160</v>
      </c>
      <c r="FL24" s="270">
        <f t="shared" si="83"/>
        <v>20</v>
      </c>
      <c r="FM24" s="427">
        <f t="shared" si="84"/>
        <v>2.0833333333333356E-2</v>
      </c>
      <c r="FN24" s="421">
        <f t="shared" si="85"/>
        <v>320</v>
      </c>
      <c r="FO24" s="270">
        <f t="shared" si="86"/>
        <v>40</v>
      </c>
      <c r="FP24" s="427">
        <f t="shared" si="87"/>
        <v>2.0833333333333356E-2</v>
      </c>
      <c r="FQ24" s="421">
        <f t="shared" si="88"/>
        <v>480</v>
      </c>
      <c r="FR24" s="270">
        <f t="shared" si="89"/>
        <v>60</v>
      </c>
      <c r="FS24" s="427">
        <f t="shared" si="90"/>
        <v>2.0833333333333356E-2</v>
      </c>
      <c r="FT24" s="421">
        <f t="shared" si="91"/>
        <v>640</v>
      </c>
      <c r="FU24" s="270">
        <f t="shared" si="92"/>
        <v>80</v>
      </c>
      <c r="FV24" s="427">
        <f t="shared" si="93"/>
        <v>2.0833333333333356E-2</v>
      </c>
      <c r="FW24" s="421">
        <f t="shared" si="94"/>
        <v>800</v>
      </c>
      <c r="FX24" s="270">
        <f t="shared" si="95"/>
        <v>100</v>
      </c>
      <c r="FY24" s="427">
        <f t="shared" si="96"/>
        <v>2.0833333333333356E-2</v>
      </c>
      <c r="GA24" s="430"/>
      <c r="GF24" s="427"/>
      <c r="GG24" s="421">
        <v>1</v>
      </c>
      <c r="GH24" s="270">
        <v>1</v>
      </c>
      <c r="GI24" s="427">
        <f t="shared" si="97"/>
        <v>2.2222222222222242E-6</v>
      </c>
      <c r="GJ24" s="421">
        <f t="shared" si="98"/>
        <v>1</v>
      </c>
      <c r="GK24" s="270">
        <f t="shared" si="99"/>
        <v>1</v>
      </c>
      <c r="GL24" s="427">
        <f t="shared" si="100"/>
        <v>4.4444444444444484E-6</v>
      </c>
      <c r="GM24" s="421">
        <f t="shared" si="101"/>
        <v>1</v>
      </c>
      <c r="GN24" s="270">
        <f t="shared" si="102"/>
        <v>1</v>
      </c>
      <c r="GO24" s="427">
        <f t="shared" si="103"/>
        <v>6.6666666666666717E-6</v>
      </c>
      <c r="GP24" s="421">
        <f t="shared" si="104"/>
        <v>1</v>
      </c>
      <c r="GQ24" s="270">
        <f t="shared" si="105"/>
        <v>1</v>
      </c>
      <c r="GR24" s="427">
        <f t="shared" si="106"/>
        <v>8.8888888888888968E-6</v>
      </c>
      <c r="GS24" s="421">
        <f t="shared" si="107"/>
        <v>1</v>
      </c>
      <c r="GT24" s="270">
        <f t="shared" si="108"/>
        <v>1</v>
      </c>
      <c r="GU24" s="427">
        <f t="shared" si="109"/>
        <v>1.111111111111112E-5</v>
      </c>
      <c r="GV24" s="421">
        <f t="shared" si="110"/>
        <v>1</v>
      </c>
      <c r="GW24" s="270">
        <f t="shared" si="111"/>
        <v>1</v>
      </c>
      <c r="GX24" s="427">
        <f t="shared" si="112"/>
        <v>2.222222222222224E-5</v>
      </c>
      <c r="GY24" s="421">
        <f t="shared" si="113"/>
        <v>1</v>
      </c>
      <c r="GZ24" s="270">
        <f t="shared" si="114"/>
        <v>1</v>
      </c>
      <c r="HA24" s="427">
        <f t="shared" si="115"/>
        <v>4.444444444444448E-5</v>
      </c>
      <c r="HB24" s="421">
        <f t="shared" si="116"/>
        <v>1</v>
      </c>
      <c r="HC24" s="270">
        <f t="shared" si="117"/>
        <v>1</v>
      </c>
      <c r="HD24" s="427">
        <f t="shared" si="118"/>
        <v>6.6666666666666724E-5</v>
      </c>
      <c r="HE24" s="421">
        <f t="shared" si="119"/>
        <v>1</v>
      </c>
      <c r="HF24" s="270">
        <f t="shared" si="120"/>
        <v>1</v>
      </c>
      <c r="HG24" s="427">
        <f t="shared" si="121"/>
        <v>8.8888888888888961E-5</v>
      </c>
      <c r="HH24" s="421">
        <f t="shared" si="122"/>
        <v>1</v>
      </c>
      <c r="HI24" s="270">
        <f t="shared" si="123"/>
        <v>1</v>
      </c>
      <c r="HJ24" s="427">
        <f t="shared" si="124"/>
        <v>1.111111111111112E-4</v>
      </c>
      <c r="HK24" s="421">
        <f t="shared" si="125"/>
        <v>1</v>
      </c>
      <c r="HL24" s="270">
        <f t="shared" si="125"/>
        <v>1</v>
      </c>
      <c r="HM24" s="427">
        <f t="shared" si="126"/>
        <v>2.222222222222224E-4</v>
      </c>
      <c r="HN24" s="421">
        <f t="shared" si="127"/>
        <v>1</v>
      </c>
      <c r="HO24" s="270">
        <f t="shared" si="127"/>
        <v>1</v>
      </c>
      <c r="HP24" s="427">
        <f t="shared" si="128"/>
        <v>4.4444444444444479E-4</v>
      </c>
      <c r="HQ24" s="421">
        <f t="shared" si="129"/>
        <v>1</v>
      </c>
      <c r="HR24" s="270">
        <f t="shared" si="129"/>
        <v>1</v>
      </c>
      <c r="HS24" s="427">
        <f t="shared" si="130"/>
        <v>6.6666666666666719E-4</v>
      </c>
      <c r="HT24" s="421">
        <f t="shared" si="131"/>
        <v>1</v>
      </c>
      <c r="HU24" s="270">
        <f t="shared" si="131"/>
        <v>1</v>
      </c>
      <c r="HV24" s="427">
        <f t="shared" si="132"/>
        <v>8.8888888888888958E-4</v>
      </c>
      <c r="HW24" s="421">
        <f t="shared" si="133"/>
        <v>1</v>
      </c>
      <c r="HX24" s="270">
        <f t="shared" si="133"/>
        <v>1</v>
      </c>
      <c r="HY24" s="427">
        <f t="shared" si="134"/>
        <v>1.111111111111112E-3</v>
      </c>
      <c r="HZ24" s="421">
        <f t="shared" si="135"/>
        <v>1</v>
      </c>
      <c r="IA24" s="270">
        <f t="shared" si="135"/>
        <v>1</v>
      </c>
      <c r="IB24" s="427">
        <f t="shared" si="136"/>
        <v>2.222222222222224E-3</v>
      </c>
      <c r="IC24" s="421">
        <f t="shared" si="137"/>
        <v>1</v>
      </c>
      <c r="ID24" s="270">
        <f t="shared" si="137"/>
        <v>1</v>
      </c>
      <c r="IE24" s="427">
        <f t="shared" si="138"/>
        <v>4.4444444444444479E-3</v>
      </c>
      <c r="IF24" s="421">
        <f t="shared" si="139"/>
        <v>1</v>
      </c>
      <c r="IG24" s="270">
        <f t="shared" si="139"/>
        <v>1</v>
      </c>
      <c r="IH24" s="427">
        <f t="shared" si="140"/>
        <v>6.6666666666666723E-3</v>
      </c>
      <c r="II24" s="421">
        <f t="shared" si="141"/>
        <v>1</v>
      </c>
      <c r="IJ24" s="270">
        <f t="shared" si="141"/>
        <v>1</v>
      </c>
      <c r="IK24" s="427">
        <f t="shared" si="142"/>
        <v>8.8888888888888958E-3</v>
      </c>
      <c r="IL24" s="421">
        <f t="shared" si="143"/>
        <v>1</v>
      </c>
      <c r="IM24" s="270">
        <f t="shared" si="143"/>
        <v>1</v>
      </c>
      <c r="IN24" s="427">
        <f t="shared" si="144"/>
        <v>1.111111111111112E-2</v>
      </c>
      <c r="IS24" s="447">
        <f t="shared" si="236"/>
        <v>0</v>
      </c>
      <c r="IT24" s="447">
        <f t="shared" si="236"/>
        <v>0</v>
      </c>
      <c r="IU24" s="447">
        <f t="shared" si="236"/>
        <v>0</v>
      </c>
      <c r="IV24" s="447">
        <f t="shared" si="236"/>
        <v>8.0000000000000004E-4</v>
      </c>
      <c r="IW24" s="447">
        <f t="shared" si="236"/>
        <v>1E-3</v>
      </c>
      <c r="IX24" s="447">
        <f t="shared" si="236"/>
        <v>2E-3</v>
      </c>
      <c r="IY24" s="447">
        <f t="shared" si="236"/>
        <v>4.0000000000000001E-3</v>
      </c>
      <c r="IZ24" s="447">
        <f t="shared" si="236"/>
        <v>6.0000000000000001E-3</v>
      </c>
      <c r="JA24" s="447">
        <f t="shared" si="236"/>
        <v>8.0000000000000002E-3</v>
      </c>
      <c r="JB24" s="447">
        <f t="shared" si="236"/>
        <v>0.01</v>
      </c>
      <c r="JC24" s="447">
        <f t="shared" si="237"/>
        <v>0.02</v>
      </c>
      <c r="JD24" s="447">
        <f t="shared" si="237"/>
        <v>2.5000000000000001E-2</v>
      </c>
      <c r="JE24" s="447">
        <f t="shared" si="237"/>
        <v>2.4996000000000004E-2</v>
      </c>
      <c r="JF24" s="447">
        <f t="shared" si="237"/>
        <v>2.4992000000000004E-2</v>
      </c>
      <c r="JG24" s="447">
        <f t="shared" si="237"/>
        <v>2.4989999999999998E-2</v>
      </c>
      <c r="JH24" s="447">
        <f t="shared" si="237"/>
        <v>2.4979999999999999E-2</v>
      </c>
      <c r="JI24" s="447">
        <f t="shared" si="237"/>
        <v>2.4960000000000003E-2</v>
      </c>
      <c r="JJ24" s="447">
        <f t="shared" si="237"/>
        <v>2.4960000000000003E-2</v>
      </c>
      <c r="JK24" s="447">
        <f t="shared" si="237"/>
        <v>2.4960000000000003E-2</v>
      </c>
      <c r="JL24" s="447">
        <f t="shared" si="237"/>
        <v>2.4899999999999999E-2</v>
      </c>
      <c r="JQ24" s="455" t="s">
        <v>1659</v>
      </c>
      <c r="JR24" s="456">
        <v>5</v>
      </c>
      <c r="JS24" s="456">
        <f t="shared" si="242"/>
        <v>50000000</v>
      </c>
      <c r="JU24" s="242">
        <f t="shared" si="198"/>
        <v>400000</v>
      </c>
      <c r="JV24" s="242">
        <f t="shared" si="199"/>
        <v>300000</v>
      </c>
      <c r="JW24" s="242">
        <f t="shared" si="216"/>
        <v>0.5</v>
      </c>
      <c r="JX24" s="242">
        <f t="shared" si="200"/>
        <v>500000</v>
      </c>
      <c r="JY24" s="241">
        <f t="shared" si="217"/>
        <v>0.5</v>
      </c>
      <c r="JZ24" s="241">
        <f t="shared" si="218"/>
        <v>400000</v>
      </c>
      <c r="KA24" s="241" t="str">
        <f t="shared" si="219"/>
        <v>期望符合预期</v>
      </c>
      <c r="KC24" s="242">
        <f t="shared" si="201"/>
        <v>800000</v>
      </c>
      <c r="KD24" s="242">
        <f t="shared" si="202"/>
        <v>750000</v>
      </c>
      <c r="KE24" s="242">
        <f t="shared" si="220"/>
        <v>0.8</v>
      </c>
      <c r="KF24" s="242">
        <f t="shared" si="203"/>
        <v>1000000</v>
      </c>
      <c r="KG24" s="241">
        <f t="shared" si="221"/>
        <v>0.2</v>
      </c>
      <c r="KH24" s="241">
        <f t="shared" si="222"/>
        <v>800000</v>
      </c>
      <c r="KI24" s="241" t="str">
        <f t="shared" si="223"/>
        <v>期望符合预期</v>
      </c>
      <c r="KK24" s="242">
        <f t="shared" si="204"/>
        <v>1200000</v>
      </c>
      <c r="KL24" s="242">
        <f t="shared" si="205"/>
        <v>1000000</v>
      </c>
      <c r="KM24" s="242">
        <f t="shared" si="224"/>
        <v>0.6</v>
      </c>
      <c r="KN24" s="242">
        <f t="shared" si="206"/>
        <v>1500000</v>
      </c>
      <c r="KO24" s="241">
        <f t="shared" si="225"/>
        <v>0.4</v>
      </c>
      <c r="KP24" s="241">
        <f t="shared" si="226"/>
        <v>1200000</v>
      </c>
      <c r="KQ24" s="241" t="str">
        <f t="shared" si="227"/>
        <v>期望符合预期</v>
      </c>
      <c r="KS24" s="242">
        <f t="shared" si="207"/>
        <v>1600000</v>
      </c>
      <c r="KT24" s="242">
        <f t="shared" si="208"/>
        <v>1500000</v>
      </c>
      <c r="KU24" s="242">
        <f t="shared" si="228"/>
        <v>0.8</v>
      </c>
      <c r="KV24" s="242">
        <f t="shared" si="209"/>
        <v>2000000</v>
      </c>
      <c r="KW24" s="241">
        <f t="shared" si="229"/>
        <v>0.2</v>
      </c>
      <c r="KX24" s="241">
        <f t="shared" si="230"/>
        <v>1600000</v>
      </c>
      <c r="KY24" s="241" t="str">
        <f t="shared" si="231"/>
        <v>期望符合预期</v>
      </c>
      <c r="LA24" s="242">
        <f t="shared" si="210"/>
        <v>2000000</v>
      </c>
      <c r="LB24" s="242">
        <f t="shared" si="211"/>
        <v>2000000</v>
      </c>
      <c r="LC24" s="242">
        <f t="shared" si="232"/>
        <v>1</v>
      </c>
      <c r="LD24" s="242">
        <f t="shared" si="212"/>
        <v>3000000</v>
      </c>
      <c r="LE24" s="241">
        <f t="shared" si="233"/>
        <v>0</v>
      </c>
      <c r="LF24" s="241">
        <f t="shared" si="234"/>
        <v>2000000</v>
      </c>
      <c r="LG24" s="241" t="str">
        <f t="shared" si="235"/>
        <v>期望符合预期</v>
      </c>
    </row>
    <row r="25" spans="1:319" ht="16.2" x14ac:dyDescent="0.4">
      <c r="A25" s="63">
        <v>21</v>
      </c>
      <c r="B25" s="254" t="s">
        <v>1680</v>
      </c>
      <c r="C25" s="63">
        <v>3</v>
      </c>
      <c r="D25" s="63">
        <v>-1</v>
      </c>
      <c r="E25" s="63">
        <v>25</v>
      </c>
      <c r="F25" s="63" t="s">
        <v>1681</v>
      </c>
      <c r="G25" s="63">
        <f t="shared" si="167"/>
        <v>25</v>
      </c>
      <c r="H25" s="63"/>
      <c r="I25" s="265" t="s">
        <v>1682</v>
      </c>
      <c r="J25" s="63">
        <f t="shared" si="238"/>
        <v>0</v>
      </c>
      <c r="K25" s="63">
        <f t="shared" si="18"/>
        <v>0</v>
      </c>
      <c r="L25" s="63">
        <v>0</v>
      </c>
      <c r="M25" s="266">
        <f>ROUND($BX$7/('全局参数|GlobalPar'!$B$19/10000/E25),6)*(7/5)</f>
        <v>1.7361399999999999E-2</v>
      </c>
      <c r="N25" s="267">
        <v>1</v>
      </c>
      <c r="O25" s="268">
        <f>ROUND(IF(N25&lt;&gt;0,$BX$4/('全局参数|GlobalPar'!$B$19/10000/E25)/N25,0),6)</f>
        <v>0</v>
      </c>
      <c r="P25" s="270">
        <f t="shared" si="19"/>
        <v>5.0000000000000001E-3</v>
      </c>
      <c r="Q25" s="285">
        <f t="shared" si="20"/>
        <v>0</v>
      </c>
      <c r="R25" s="282">
        <v>8</v>
      </c>
      <c r="S25" s="283">
        <v>1</v>
      </c>
      <c r="T25" s="284" t="str">
        <f t="shared" si="21"/>
        <v>[[8,1],[8,1],[8,1],[8,1],[8,1],[8,1],[8,1],[8,1],[8,1],[8,1],[16,2],[32,4],[48,6],[64,8],[80,10],[160,20],[320,40],[480,60],[640,80],[800,100]]</v>
      </c>
      <c r="U25" s="284">
        <v>1</v>
      </c>
      <c r="V25" s="284">
        <v>1</v>
      </c>
      <c r="W25" s="284" t="str">
        <f t="shared" si="168"/>
        <v>[[1,1],[1,1],[1,1],[1,1],[1,1],[1,1],[1,1],[1,1],[1,1],[1,1],[1,1],[1,1],[1,1],[1,1],[1,1],[1,1],[1,1],[1,1],[1,1],[1,1]]</v>
      </c>
      <c r="X25" s="63">
        <v>0</v>
      </c>
      <c r="Y25" s="305">
        <v>0</v>
      </c>
      <c r="Z25" s="303">
        <f t="shared" si="22"/>
        <v>0</v>
      </c>
      <c r="AA25" s="303">
        <v>0.06</v>
      </c>
      <c r="AB25" s="303">
        <f t="shared" si="169"/>
        <v>0.1</v>
      </c>
      <c r="AC25" s="304">
        <f t="shared" si="213"/>
        <v>0.05</v>
      </c>
      <c r="AD25" s="304">
        <f t="shared" si="213"/>
        <v>0</v>
      </c>
      <c r="AE25" s="304">
        <f t="shared" si="213"/>
        <v>0</v>
      </c>
      <c r="AF25" s="304">
        <f t="shared" si="213"/>
        <v>0</v>
      </c>
      <c r="AG25" s="63" t="str">
        <f t="shared" si="170"/>
        <v>[[2,5],[3,2],[4,1]]</v>
      </c>
      <c r="AH25" s="256" t="str">
        <f t="shared" si="171"/>
        <v>[0.133333,0.066667,0.044444]</v>
      </c>
      <c r="AI25" s="256">
        <v>0</v>
      </c>
      <c r="AJ25" s="256">
        <v>1</v>
      </c>
      <c r="AK25" s="256">
        <f t="shared" si="243"/>
        <v>1</v>
      </c>
      <c r="AL25" s="256">
        <v>0</v>
      </c>
      <c r="AM25" s="256">
        <f t="shared" si="172"/>
        <v>7.5</v>
      </c>
      <c r="AN25" s="256" t="s">
        <v>2548</v>
      </c>
      <c r="AO25" s="324">
        <v>9</v>
      </c>
      <c r="AP25" s="63">
        <v>-1</v>
      </c>
      <c r="AQ25" s="63">
        <v>0</v>
      </c>
      <c r="AR25" s="63">
        <v>1</v>
      </c>
      <c r="AS25" s="39">
        <v>3</v>
      </c>
      <c r="AT25" s="39">
        <v>1</v>
      </c>
      <c r="AU25" s="63">
        <v>1</v>
      </c>
      <c r="AV25" s="63">
        <f t="shared" ref="AV25" si="244">AU25/0.67</f>
        <v>1.4925373134328357</v>
      </c>
      <c r="AW25" s="63">
        <v>1</v>
      </c>
      <c r="AX25" s="63">
        <v>1</v>
      </c>
      <c r="AY25" s="261" t="s">
        <v>1159</v>
      </c>
      <c r="AZ25" s="39"/>
      <c r="BA25" s="39"/>
      <c r="BB25" s="328">
        <v>0.6</v>
      </c>
      <c r="BC25" s="39">
        <v>60</v>
      </c>
      <c r="BD25" s="39">
        <v>0.18</v>
      </c>
      <c r="BE25" s="39">
        <v>1</v>
      </c>
      <c r="BF25" s="39">
        <v>1</v>
      </c>
      <c r="BG25" s="39" t="s">
        <v>1677</v>
      </c>
      <c r="BH25" s="331" t="s">
        <v>1683</v>
      </c>
      <c r="BI25" s="331" t="s">
        <v>1684</v>
      </c>
      <c r="BJ25" s="265" t="s">
        <v>1685</v>
      </c>
      <c r="BK25" s="265" t="s">
        <v>280</v>
      </c>
      <c r="BL25" s="265"/>
      <c r="BM25" s="265"/>
      <c r="BN25" s="81">
        <f t="shared" si="25"/>
        <v>18.75</v>
      </c>
      <c r="BO25" s="343">
        <f t="shared" si="26"/>
        <v>8</v>
      </c>
      <c r="BP25" s="81" t="s">
        <v>1606</v>
      </c>
      <c r="BQ25" s="81">
        <f t="shared" si="27"/>
        <v>0.746</v>
      </c>
      <c r="BR25" s="81"/>
      <c r="BS25" s="63">
        <f t="shared" si="28"/>
        <v>25</v>
      </c>
      <c r="BT25" s="63">
        <f t="shared" si="29"/>
        <v>26.5</v>
      </c>
      <c r="BV25" s="63">
        <f t="shared" si="30"/>
        <v>0</v>
      </c>
      <c r="CG25" s="371">
        <f t="shared" si="31"/>
        <v>27.500000000000004</v>
      </c>
      <c r="CH25" s="372">
        <f t="shared" si="214"/>
        <v>0.1</v>
      </c>
      <c r="CI25" s="373">
        <v>2</v>
      </c>
      <c r="CJ25" s="143">
        <v>5</v>
      </c>
      <c r="CK25" s="373">
        <v>3</v>
      </c>
      <c r="CL25" s="143">
        <v>2</v>
      </c>
      <c r="CM25" s="373">
        <v>4</v>
      </c>
      <c r="CN25" s="143">
        <v>1</v>
      </c>
      <c r="CO25" s="143">
        <f t="shared" si="174"/>
        <v>2.5</v>
      </c>
      <c r="CP25" s="143">
        <f t="shared" si="175"/>
        <v>7.5</v>
      </c>
      <c r="CQ25" s="377">
        <f t="shared" si="176"/>
        <v>0.13333300000000001</v>
      </c>
      <c r="CR25" s="143">
        <f t="shared" si="175"/>
        <v>15</v>
      </c>
      <c r="CS25" s="378">
        <f t="shared" si="177"/>
        <v>6.6667000000000004E-2</v>
      </c>
      <c r="CT25" s="143">
        <f t="shared" si="175"/>
        <v>22.5</v>
      </c>
      <c r="CU25" s="392">
        <f t="shared" si="178"/>
        <v>4.4443999999999997E-2</v>
      </c>
      <c r="CW25" s="241">
        <v>2E-3</v>
      </c>
      <c r="CX25" s="396">
        <f t="shared" si="215"/>
        <v>0</v>
      </c>
      <c r="CY25" s="270">
        <f t="shared" si="33"/>
        <v>0</v>
      </c>
      <c r="CZ25" s="394">
        <f t="shared" si="34"/>
        <v>0</v>
      </c>
      <c r="DA25" s="394">
        <f t="shared" si="35"/>
        <v>0</v>
      </c>
      <c r="DB25" s="395">
        <f t="shared" si="179"/>
        <v>0</v>
      </c>
      <c r="DC25" s="419">
        <f t="shared" si="36"/>
        <v>0</v>
      </c>
      <c r="DD25" s="394">
        <f t="shared" si="37"/>
        <v>0</v>
      </c>
      <c r="DE25" s="420" t="e">
        <f t="shared" si="38"/>
        <v>#DIV/0!</v>
      </c>
      <c r="DF25" s="421">
        <f t="shared" si="180"/>
        <v>8</v>
      </c>
      <c r="DG25" s="422">
        <f t="shared" si="181"/>
        <v>1</v>
      </c>
      <c r="DH25" s="284"/>
      <c r="DI25" s="282">
        <v>8</v>
      </c>
      <c r="DJ25" s="283">
        <v>1</v>
      </c>
      <c r="DL25" s="431"/>
      <c r="DM25" s="242"/>
      <c r="DQ25" s="427"/>
      <c r="DR25" s="421">
        <v>8</v>
      </c>
      <c r="DS25" s="270">
        <v>1</v>
      </c>
      <c r="DT25" s="427">
        <f t="shared" si="39"/>
        <v>5.2083333333333387E-4</v>
      </c>
      <c r="DU25" s="421">
        <f t="shared" si="40"/>
        <v>8</v>
      </c>
      <c r="DV25" s="270">
        <f t="shared" si="182"/>
        <v>1</v>
      </c>
      <c r="DW25" s="427">
        <f t="shared" si="42"/>
        <v>1.0416666666666677E-3</v>
      </c>
      <c r="DX25" s="421">
        <f t="shared" si="43"/>
        <v>8</v>
      </c>
      <c r="DY25" s="270">
        <f t="shared" si="183"/>
        <v>1</v>
      </c>
      <c r="DZ25" s="427">
        <f t="shared" si="45"/>
        <v>1.5625000000000016E-3</v>
      </c>
      <c r="EA25" s="421">
        <f t="shared" si="184"/>
        <v>8</v>
      </c>
      <c r="EB25" s="270">
        <f t="shared" si="185"/>
        <v>1</v>
      </c>
      <c r="EC25" s="427">
        <f t="shared" si="48"/>
        <v>2.0833333333333355E-3</v>
      </c>
      <c r="ED25" s="421">
        <f t="shared" si="186"/>
        <v>8</v>
      </c>
      <c r="EE25" s="270">
        <f t="shared" si="187"/>
        <v>1</v>
      </c>
      <c r="EF25" s="427">
        <f t="shared" si="51"/>
        <v>2.6041666666666696E-3</v>
      </c>
      <c r="EG25" s="421">
        <f t="shared" si="188"/>
        <v>8</v>
      </c>
      <c r="EH25" s="270">
        <f t="shared" si="189"/>
        <v>1</v>
      </c>
      <c r="EI25" s="427">
        <f t="shared" si="54"/>
        <v>5.2083333333333391E-3</v>
      </c>
      <c r="EJ25" s="421">
        <f t="shared" si="190"/>
        <v>8</v>
      </c>
      <c r="EK25" s="270">
        <f t="shared" si="191"/>
        <v>1</v>
      </c>
      <c r="EL25" s="427">
        <f t="shared" si="57"/>
        <v>1.0416666666666678E-2</v>
      </c>
      <c r="EM25" s="421">
        <f t="shared" si="192"/>
        <v>8</v>
      </c>
      <c r="EN25" s="270">
        <f t="shared" si="193"/>
        <v>1</v>
      </c>
      <c r="EO25" s="427">
        <f t="shared" si="60"/>
        <v>1.5625000000000017E-2</v>
      </c>
      <c r="EP25" s="421">
        <f t="shared" si="194"/>
        <v>8</v>
      </c>
      <c r="EQ25" s="270">
        <f t="shared" si="195"/>
        <v>1</v>
      </c>
      <c r="ER25" s="427">
        <f t="shared" si="63"/>
        <v>2.0833333333333356E-2</v>
      </c>
      <c r="ES25" s="421">
        <f t="shared" si="196"/>
        <v>8</v>
      </c>
      <c r="ET25" s="270">
        <f t="shared" si="197"/>
        <v>1</v>
      </c>
      <c r="EU25" s="427">
        <f t="shared" si="66"/>
        <v>2.6041666666666696E-2</v>
      </c>
      <c r="EV25" s="421">
        <f t="shared" si="67"/>
        <v>16</v>
      </c>
      <c r="EW25" s="270">
        <f t="shared" si="68"/>
        <v>2</v>
      </c>
      <c r="EX25" s="427">
        <f t="shared" si="69"/>
        <v>2.6041666666666696E-2</v>
      </c>
      <c r="EY25" s="421">
        <f t="shared" si="70"/>
        <v>32</v>
      </c>
      <c r="EZ25" s="270">
        <f t="shared" si="71"/>
        <v>4</v>
      </c>
      <c r="FA25" s="427">
        <f t="shared" si="72"/>
        <v>2.6041666666666696E-2</v>
      </c>
      <c r="FB25" s="421">
        <f t="shared" si="73"/>
        <v>48</v>
      </c>
      <c r="FC25" s="270">
        <f t="shared" si="74"/>
        <v>6</v>
      </c>
      <c r="FD25" s="427">
        <f t="shared" si="75"/>
        <v>2.6041666666666696E-2</v>
      </c>
      <c r="FE25" s="421">
        <f t="shared" si="76"/>
        <v>64</v>
      </c>
      <c r="FF25" s="270">
        <f t="shared" si="77"/>
        <v>8</v>
      </c>
      <c r="FG25" s="427">
        <f t="shared" si="78"/>
        <v>2.6041666666666696E-2</v>
      </c>
      <c r="FH25" s="421">
        <f t="shared" si="79"/>
        <v>80</v>
      </c>
      <c r="FI25" s="270">
        <f t="shared" si="80"/>
        <v>10</v>
      </c>
      <c r="FJ25" s="427">
        <f t="shared" si="81"/>
        <v>2.6041666666666696E-2</v>
      </c>
      <c r="FK25" s="421">
        <f t="shared" si="82"/>
        <v>160</v>
      </c>
      <c r="FL25" s="270">
        <f t="shared" si="83"/>
        <v>20</v>
      </c>
      <c r="FM25" s="427">
        <f t="shared" si="84"/>
        <v>2.6041666666666696E-2</v>
      </c>
      <c r="FN25" s="421">
        <f t="shared" si="85"/>
        <v>320</v>
      </c>
      <c r="FO25" s="270">
        <f t="shared" si="86"/>
        <v>40</v>
      </c>
      <c r="FP25" s="427">
        <f t="shared" si="87"/>
        <v>2.6041666666666696E-2</v>
      </c>
      <c r="FQ25" s="421">
        <f t="shared" si="88"/>
        <v>480</v>
      </c>
      <c r="FR25" s="270">
        <f t="shared" si="89"/>
        <v>60</v>
      </c>
      <c r="FS25" s="427">
        <f t="shared" si="90"/>
        <v>2.6041666666666696E-2</v>
      </c>
      <c r="FT25" s="421">
        <f t="shared" si="91"/>
        <v>640</v>
      </c>
      <c r="FU25" s="270">
        <f t="shared" si="92"/>
        <v>80</v>
      </c>
      <c r="FV25" s="427">
        <f t="shared" si="93"/>
        <v>2.6041666666666696E-2</v>
      </c>
      <c r="FW25" s="421">
        <f t="shared" si="94"/>
        <v>800</v>
      </c>
      <c r="FX25" s="270">
        <f t="shared" si="95"/>
        <v>100</v>
      </c>
      <c r="FY25" s="427">
        <f t="shared" si="96"/>
        <v>2.6041666666666696E-2</v>
      </c>
      <c r="GA25" s="431"/>
      <c r="GB25" s="242"/>
      <c r="GF25" s="427"/>
      <c r="GG25" s="421">
        <v>1</v>
      </c>
      <c r="GH25" s="270">
        <v>1</v>
      </c>
      <c r="GI25" s="427">
        <f t="shared" si="97"/>
        <v>2.77777777777778E-6</v>
      </c>
      <c r="GJ25" s="421">
        <f t="shared" si="98"/>
        <v>1</v>
      </c>
      <c r="GK25" s="270">
        <f t="shared" si="99"/>
        <v>1</v>
      </c>
      <c r="GL25" s="427">
        <f t="shared" si="100"/>
        <v>5.5555555555555601E-6</v>
      </c>
      <c r="GM25" s="421">
        <f t="shared" si="101"/>
        <v>1</v>
      </c>
      <c r="GN25" s="270">
        <f t="shared" si="102"/>
        <v>1</v>
      </c>
      <c r="GO25" s="427">
        <f t="shared" si="103"/>
        <v>8.3333333333333405E-6</v>
      </c>
      <c r="GP25" s="421">
        <f t="shared" si="104"/>
        <v>1</v>
      </c>
      <c r="GQ25" s="270">
        <f t="shared" si="105"/>
        <v>1</v>
      </c>
      <c r="GR25" s="427">
        <f t="shared" si="106"/>
        <v>1.111111111111112E-5</v>
      </c>
      <c r="GS25" s="421">
        <f t="shared" si="107"/>
        <v>1</v>
      </c>
      <c r="GT25" s="270">
        <f t="shared" si="108"/>
        <v>1</v>
      </c>
      <c r="GU25" s="427">
        <f t="shared" si="109"/>
        <v>1.38888888888889E-5</v>
      </c>
      <c r="GV25" s="421">
        <f t="shared" si="110"/>
        <v>1</v>
      </c>
      <c r="GW25" s="270">
        <f t="shared" si="111"/>
        <v>1</v>
      </c>
      <c r="GX25" s="427">
        <f t="shared" si="112"/>
        <v>2.7777777777777799E-5</v>
      </c>
      <c r="GY25" s="421">
        <f t="shared" si="113"/>
        <v>1</v>
      </c>
      <c r="GZ25" s="270">
        <f t="shared" si="114"/>
        <v>1</v>
      </c>
      <c r="HA25" s="427">
        <f t="shared" si="115"/>
        <v>5.5555555555555599E-5</v>
      </c>
      <c r="HB25" s="421">
        <f t="shared" si="116"/>
        <v>1</v>
      </c>
      <c r="HC25" s="270">
        <f t="shared" si="117"/>
        <v>1</v>
      </c>
      <c r="HD25" s="427">
        <f t="shared" si="118"/>
        <v>8.3333333333333398E-5</v>
      </c>
      <c r="HE25" s="421">
        <f t="shared" si="119"/>
        <v>1</v>
      </c>
      <c r="HF25" s="270">
        <f t="shared" si="120"/>
        <v>1</v>
      </c>
      <c r="HG25" s="427">
        <f t="shared" si="121"/>
        <v>1.111111111111112E-4</v>
      </c>
      <c r="HH25" s="421">
        <f t="shared" si="122"/>
        <v>1</v>
      </c>
      <c r="HI25" s="270">
        <f t="shared" si="123"/>
        <v>1</v>
      </c>
      <c r="HJ25" s="427">
        <f t="shared" si="124"/>
        <v>1.38888888888889E-4</v>
      </c>
      <c r="HK25" s="421">
        <f t="shared" si="125"/>
        <v>1</v>
      </c>
      <c r="HL25" s="270">
        <f t="shared" si="125"/>
        <v>1</v>
      </c>
      <c r="HM25" s="427">
        <f t="shared" si="126"/>
        <v>2.7777777777777799E-4</v>
      </c>
      <c r="HN25" s="421">
        <f t="shared" si="127"/>
        <v>1</v>
      </c>
      <c r="HO25" s="270">
        <f t="shared" si="127"/>
        <v>1</v>
      </c>
      <c r="HP25" s="427">
        <f t="shared" si="128"/>
        <v>5.5555555555555599E-4</v>
      </c>
      <c r="HQ25" s="421">
        <f t="shared" si="129"/>
        <v>1</v>
      </c>
      <c r="HR25" s="270">
        <f t="shared" si="129"/>
        <v>1</v>
      </c>
      <c r="HS25" s="427">
        <f t="shared" si="130"/>
        <v>8.3333333333333404E-4</v>
      </c>
      <c r="HT25" s="421">
        <f t="shared" si="131"/>
        <v>1</v>
      </c>
      <c r="HU25" s="270">
        <f t="shared" si="131"/>
        <v>1</v>
      </c>
      <c r="HV25" s="427">
        <f t="shared" si="132"/>
        <v>1.111111111111112E-3</v>
      </c>
      <c r="HW25" s="421">
        <f t="shared" si="133"/>
        <v>1</v>
      </c>
      <c r="HX25" s="270">
        <f t="shared" si="133"/>
        <v>1</v>
      </c>
      <c r="HY25" s="427">
        <f t="shared" si="134"/>
        <v>1.38888888888889E-3</v>
      </c>
      <c r="HZ25" s="421">
        <f t="shared" si="135"/>
        <v>1</v>
      </c>
      <c r="IA25" s="270">
        <f t="shared" si="135"/>
        <v>1</v>
      </c>
      <c r="IB25" s="427">
        <f t="shared" si="136"/>
        <v>2.7777777777777801E-3</v>
      </c>
      <c r="IC25" s="421">
        <f t="shared" si="137"/>
        <v>1</v>
      </c>
      <c r="ID25" s="270">
        <f t="shared" si="137"/>
        <v>1</v>
      </c>
      <c r="IE25" s="427">
        <f t="shared" si="138"/>
        <v>5.5555555555555601E-3</v>
      </c>
      <c r="IF25" s="421">
        <f t="shared" si="139"/>
        <v>1</v>
      </c>
      <c r="IG25" s="270">
        <f t="shared" si="139"/>
        <v>1</v>
      </c>
      <c r="IH25" s="427">
        <f t="shared" si="140"/>
        <v>8.3333333333333402E-3</v>
      </c>
      <c r="II25" s="421">
        <f t="shared" si="141"/>
        <v>1</v>
      </c>
      <c r="IJ25" s="270">
        <f t="shared" si="141"/>
        <v>1</v>
      </c>
      <c r="IK25" s="427">
        <f t="shared" si="142"/>
        <v>1.111111111111112E-2</v>
      </c>
      <c r="IL25" s="421">
        <f t="shared" si="143"/>
        <v>1</v>
      </c>
      <c r="IM25" s="270">
        <f t="shared" si="143"/>
        <v>1</v>
      </c>
      <c r="IN25" s="427">
        <f t="shared" si="144"/>
        <v>1.38888888888889E-2</v>
      </c>
      <c r="IS25" s="447">
        <f t="shared" ref="IS25:JB34" si="245">$AC25*IS$4/10000*$E25*IS$3/$JA$1</f>
        <v>0</v>
      </c>
      <c r="IT25" s="447">
        <f t="shared" si="245"/>
        <v>0</v>
      </c>
      <c r="IU25" s="447">
        <f t="shared" si="245"/>
        <v>0</v>
      </c>
      <c r="IV25" s="447">
        <f t="shared" si="245"/>
        <v>1E-3</v>
      </c>
      <c r="IW25" s="447">
        <f t="shared" si="245"/>
        <v>1.25E-3</v>
      </c>
      <c r="IX25" s="447">
        <f t="shared" si="245"/>
        <v>2.5000000000000001E-3</v>
      </c>
      <c r="IY25" s="447">
        <f t="shared" si="245"/>
        <v>5.0000000000000001E-3</v>
      </c>
      <c r="IZ25" s="447">
        <f t="shared" si="245"/>
        <v>7.4999999999999997E-3</v>
      </c>
      <c r="JA25" s="447">
        <f t="shared" si="245"/>
        <v>0.01</v>
      </c>
      <c r="JB25" s="447">
        <f t="shared" si="245"/>
        <v>1.2500000000000001E-2</v>
      </c>
      <c r="JC25" s="447">
        <f t="shared" ref="JC25:JL34" si="246">$AC25*JC$4/10000*$E25*JC$3/$JA$1</f>
        <v>2.5000000000000001E-2</v>
      </c>
      <c r="JD25" s="447">
        <f t="shared" si="246"/>
        <v>3.125E-2</v>
      </c>
      <c r="JE25" s="447">
        <f t="shared" si="246"/>
        <v>3.1245000000000005E-2</v>
      </c>
      <c r="JF25" s="447">
        <f t="shared" si="246"/>
        <v>3.1240000000000004E-2</v>
      </c>
      <c r="JG25" s="447">
        <f t="shared" si="246"/>
        <v>3.1237500000000001E-2</v>
      </c>
      <c r="JH25" s="447">
        <f t="shared" si="246"/>
        <v>3.1225000000000006E-2</v>
      </c>
      <c r="JI25" s="447">
        <f t="shared" si="246"/>
        <v>3.1200000000000006E-2</v>
      </c>
      <c r="JJ25" s="447">
        <f t="shared" si="246"/>
        <v>3.1200000000000006E-2</v>
      </c>
      <c r="JK25" s="447">
        <f t="shared" si="246"/>
        <v>3.1200000000000006E-2</v>
      </c>
      <c r="JL25" s="447">
        <f t="shared" si="246"/>
        <v>3.1125E-2</v>
      </c>
      <c r="JQ25" s="455" t="s">
        <v>1659</v>
      </c>
      <c r="JR25" s="456">
        <v>6</v>
      </c>
      <c r="JS25" s="456">
        <f t="shared" si="242"/>
        <v>60000000</v>
      </c>
      <c r="JU25" s="242">
        <f t="shared" si="198"/>
        <v>500000</v>
      </c>
      <c r="JV25" s="242">
        <f t="shared" si="199"/>
        <v>500000</v>
      </c>
      <c r="JW25" s="242">
        <f t="shared" si="216"/>
        <v>1</v>
      </c>
      <c r="JX25" s="242">
        <f t="shared" si="200"/>
        <v>750000</v>
      </c>
      <c r="JY25" s="241">
        <f t="shared" si="217"/>
        <v>0</v>
      </c>
      <c r="JZ25" s="241">
        <f t="shared" si="218"/>
        <v>500000</v>
      </c>
      <c r="KA25" s="241" t="str">
        <f t="shared" si="219"/>
        <v>期望符合预期</v>
      </c>
      <c r="KC25" s="242">
        <f t="shared" si="201"/>
        <v>1000000</v>
      </c>
      <c r="KD25" s="242">
        <f t="shared" si="202"/>
        <v>1000000</v>
      </c>
      <c r="KE25" s="242">
        <f t="shared" si="220"/>
        <v>1</v>
      </c>
      <c r="KF25" s="242">
        <f t="shared" si="203"/>
        <v>1500000</v>
      </c>
      <c r="KG25" s="241">
        <f t="shared" si="221"/>
        <v>0</v>
      </c>
      <c r="KH25" s="241">
        <f t="shared" si="222"/>
        <v>1000000</v>
      </c>
      <c r="KI25" s="241" t="str">
        <f t="shared" si="223"/>
        <v>期望符合预期</v>
      </c>
      <c r="KK25" s="242">
        <f t="shared" si="204"/>
        <v>1500000</v>
      </c>
      <c r="KL25" s="242">
        <f t="shared" si="205"/>
        <v>1500000</v>
      </c>
      <c r="KM25" s="242">
        <f t="shared" si="224"/>
        <v>1</v>
      </c>
      <c r="KN25" s="242">
        <f t="shared" si="206"/>
        <v>2000000</v>
      </c>
      <c r="KO25" s="241">
        <f t="shared" si="225"/>
        <v>0</v>
      </c>
      <c r="KP25" s="241">
        <f t="shared" si="226"/>
        <v>1500000</v>
      </c>
      <c r="KQ25" s="241" t="str">
        <f t="shared" si="227"/>
        <v>期望符合预期</v>
      </c>
      <c r="KS25" s="242">
        <f t="shared" si="207"/>
        <v>2000000</v>
      </c>
      <c r="KT25" s="242">
        <f t="shared" si="208"/>
        <v>2000000</v>
      </c>
      <c r="KU25" s="242">
        <f t="shared" si="228"/>
        <v>1</v>
      </c>
      <c r="KV25" s="242">
        <f t="shared" si="209"/>
        <v>3000000</v>
      </c>
      <c r="KW25" s="241">
        <f t="shared" si="229"/>
        <v>0</v>
      </c>
      <c r="KX25" s="241">
        <f t="shared" si="230"/>
        <v>2000000</v>
      </c>
      <c r="KY25" s="241" t="str">
        <f t="shared" si="231"/>
        <v>期望符合预期</v>
      </c>
      <c r="LA25" s="242">
        <f t="shared" si="210"/>
        <v>2500000</v>
      </c>
      <c r="LB25" s="242">
        <f t="shared" si="211"/>
        <v>2000000</v>
      </c>
      <c r="LC25" s="242">
        <f t="shared" si="232"/>
        <v>0.5</v>
      </c>
      <c r="LD25" s="242">
        <f t="shared" si="212"/>
        <v>3000000</v>
      </c>
      <c r="LE25" s="241">
        <f t="shared" si="233"/>
        <v>0.5</v>
      </c>
      <c r="LF25" s="241">
        <f t="shared" si="234"/>
        <v>2500000</v>
      </c>
      <c r="LG25" s="241" t="str">
        <f t="shared" si="235"/>
        <v>期望符合预期</v>
      </c>
    </row>
    <row r="26" spans="1:319" ht="16.2" x14ac:dyDescent="0.4">
      <c r="A26" s="255">
        <v>59</v>
      </c>
      <c r="B26" s="254" t="s">
        <v>1686</v>
      </c>
      <c r="C26" s="63">
        <v>3</v>
      </c>
      <c r="D26" s="63">
        <v>-1</v>
      </c>
      <c r="E26" s="63">
        <v>25</v>
      </c>
      <c r="F26" s="63" t="s">
        <v>1681</v>
      </c>
      <c r="G26" s="63">
        <f t="shared" ref="G26" si="247">E26</f>
        <v>25</v>
      </c>
      <c r="H26" s="63"/>
      <c r="I26" s="265" t="s">
        <v>1682</v>
      </c>
      <c r="J26" s="63">
        <f t="shared" ref="J26" si="248">ROUND(IF(C26=4,E26*10%,0),0)</f>
        <v>0</v>
      </c>
      <c r="K26" s="63">
        <f t="shared" ref="K26" si="249">ROUND(IF(C26=4,E26*2%,0),0)</f>
        <v>0</v>
      </c>
      <c r="L26" s="63">
        <v>0</v>
      </c>
      <c r="M26" s="266">
        <f>ROUND($BX$7/('全局参数|GlobalPar'!$B$19/10000/E26),6)*(7/5)</f>
        <v>1.7361399999999999E-2</v>
      </c>
      <c r="N26" s="267">
        <v>1</v>
      </c>
      <c r="O26" s="268">
        <f>ROUND(IF(N26&lt;&gt;0,$BX$4/('全局参数|GlobalPar'!$B$19/10000/E26)/N26,0),6)</f>
        <v>0</v>
      </c>
      <c r="P26" s="270">
        <f t="shared" ref="P26" si="250">IF(A26=47,1,ROUND(E26*AA26/$CA$2,6))</f>
        <v>5.0000000000000001E-3</v>
      </c>
      <c r="Q26" s="285">
        <f t="shared" ref="Q26" si="251">CX26</f>
        <v>0</v>
      </c>
      <c r="R26" s="282">
        <v>8</v>
      </c>
      <c r="S26" s="283">
        <v>1</v>
      </c>
      <c r="T26" s="284" t="str">
        <f t="shared" ref="T26" si="252">"[["&amp;DR26&amp;","&amp;DS26&amp;"],["&amp;DU26&amp;","&amp;DV26&amp;"],["&amp;DX26&amp;","&amp;DY26&amp;"],["&amp;EA26&amp;","&amp;EB26&amp;"],["&amp;ED26&amp;","&amp;EE26&amp;"],["&amp;EG26&amp;","&amp;EH26&amp;"],["&amp;EJ26&amp;","&amp;EK26&amp;"],["&amp;EM26&amp;","&amp;EN26&amp;"],["&amp;EP26&amp;","&amp;EQ26&amp;"],["&amp;ES26&amp;","&amp;ET26&amp;"],["&amp;EV26&amp;","&amp;EW26&amp;"],["&amp;EY26&amp;","&amp;EZ26&amp;"],["&amp;FB26&amp;","&amp;FC26&amp;"],["&amp;FE26&amp;","&amp;FF26&amp;"],["&amp;FH26&amp;","&amp;FI26&amp;"],["&amp;FK26&amp;","&amp;FL26&amp;"],["&amp;FN26&amp;","&amp;FO26&amp;"],["&amp;FQ26&amp;","&amp;FR26&amp;"],["&amp;FT26&amp;","&amp;FU26&amp;"],["&amp;FW26&amp;","&amp;FX26&amp;"]]"</f>
        <v>[[8,1],[8,1],[8,1],[8,1],[8,1],[8,1],[8,1],[8,1],[8,1],[8,1],[16,2],[32,4],[48,6],[64,8],[80,10],[160,20],[320,40],[480,60],[640,80],[800,100]]</v>
      </c>
      <c r="U26" s="284">
        <v>1</v>
      </c>
      <c r="V26" s="284">
        <v>1</v>
      </c>
      <c r="W26" s="284" t="str">
        <f t="shared" ref="W26" si="253">"[["&amp;GG26&amp;","&amp;GH26&amp;"],["&amp;GJ26&amp;","&amp;GK26&amp;"],["&amp;GM26&amp;","&amp;GN26&amp;"],["&amp;GP26&amp;","&amp;GQ26&amp;"],["&amp;GS26&amp;","&amp;GT26&amp;"],["&amp;GV26&amp;","&amp;GW26&amp;"],["&amp;GY26&amp;","&amp;GZ26&amp;"],["&amp;HB26&amp;","&amp;HC26&amp;"],["&amp;HE26&amp;","&amp;HF26&amp;"],["&amp;HH26&amp;","&amp;HI26&amp;"],["&amp;HK26&amp;","&amp;HL26&amp;"],["&amp;HN26&amp;","&amp;HO26&amp;"],["&amp;HQ26&amp;","&amp;HR26&amp;"],["&amp;HT26&amp;","&amp;HU26&amp;"],["&amp;HW26&amp;","&amp;HX26&amp;"],["&amp;HZ26&amp;","&amp;IA26&amp;"],["&amp;IC26&amp;","&amp;ID26&amp;"],["&amp;IF26&amp;","&amp;IG26&amp;"],["&amp;II26&amp;","&amp;IJ26&amp;"],["&amp;IL26&amp;","&amp;IM26&amp;"]]"</f>
        <v>[[1,1],[1,1],[1,1],[1,1],[1,1],[1,1],[1,1],[1,1],[1,1],[1,1],[1,1],[1,1],[1,1],[1,1],[1,1],[1,1],[1,1],[1,1],[1,1],[1,1]]</v>
      </c>
      <c r="X26" s="63">
        <v>0</v>
      </c>
      <c r="Y26" s="305">
        <v>0</v>
      </c>
      <c r="Z26" s="303">
        <f t="shared" ref="Z26" si="254">(J26+K26)/100</f>
        <v>0</v>
      </c>
      <c r="AA26" s="303">
        <v>0.06</v>
      </c>
      <c r="AB26" s="303">
        <f t="shared" ref="AB26" si="255">CH26</f>
        <v>0.1</v>
      </c>
      <c r="AC26" s="304">
        <f t="shared" si="213"/>
        <v>0.05</v>
      </c>
      <c r="AD26" s="304">
        <f t="shared" si="213"/>
        <v>0</v>
      </c>
      <c r="AE26" s="304">
        <f t="shared" si="213"/>
        <v>0</v>
      </c>
      <c r="AF26" s="304">
        <f t="shared" si="213"/>
        <v>0</v>
      </c>
      <c r="AG26" s="63" t="str">
        <f t="shared" ref="AG26" si="256">"[["&amp;CI26&amp;","&amp;CJ26&amp;"],["&amp;CK26&amp;","&amp;CL26&amp;"],["&amp;CM26&amp;","&amp;CN26&amp;"]]"</f>
        <v>[[2,5],[3,2],[4,1]]</v>
      </c>
      <c r="AH26" s="256" t="str">
        <f t="shared" ref="AH26" si="257">"["&amp;CQ26&amp;","&amp;CS26&amp;","&amp;CU26&amp;"]"</f>
        <v>[0.133333,0.066667,0.044444]</v>
      </c>
      <c r="AI26" s="256">
        <v>0</v>
      </c>
      <c r="AJ26" s="256">
        <v>1</v>
      </c>
      <c r="AK26" s="256">
        <f t="shared" si="243"/>
        <v>1</v>
      </c>
      <c r="AL26" s="256">
        <v>0</v>
      </c>
      <c r="AM26" s="256">
        <f t="shared" si="172"/>
        <v>7.5</v>
      </c>
      <c r="AN26" s="256" t="s">
        <v>2548</v>
      </c>
      <c r="AO26" s="324">
        <v>9</v>
      </c>
      <c r="AP26" s="63">
        <v>-1</v>
      </c>
      <c r="AQ26" s="63">
        <v>0</v>
      </c>
      <c r="AR26" s="63">
        <v>1</v>
      </c>
      <c r="AS26" s="39">
        <v>3</v>
      </c>
      <c r="AT26" s="39">
        <v>1</v>
      </c>
      <c r="AU26" s="63">
        <v>1</v>
      </c>
      <c r="AV26" s="259">
        <f t="shared" ref="AV26" si="258">AU26</f>
        <v>1</v>
      </c>
      <c r="AW26" s="63">
        <v>1</v>
      </c>
      <c r="AX26" s="63">
        <v>1</v>
      </c>
      <c r="AY26" s="261" t="s">
        <v>1159</v>
      </c>
      <c r="AZ26" s="39"/>
      <c r="BA26" s="39"/>
      <c r="BB26" s="328">
        <v>0.6</v>
      </c>
      <c r="BC26" s="39">
        <v>60</v>
      </c>
      <c r="BD26" s="39">
        <v>0.18</v>
      </c>
      <c r="BE26" s="39">
        <v>1</v>
      </c>
      <c r="BF26" s="39">
        <v>1</v>
      </c>
      <c r="BG26" s="39" t="s">
        <v>1677</v>
      </c>
      <c r="BH26" s="333" t="s">
        <v>1687</v>
      </c>
      <c r="BI26" s="333" t="s">
        <v>1687</v>
      </c>
      <c r="BJ26" s="265" t="s">
        <v>1688</v>
      </c>
      <c r="BK26" s="265" t="s">
        <v>280</v>
      </c>
      <c r="BL26" s="265"/>
      <c r="BM26" s="265"/>
      <c r="BN26" s="81">
        <f t="shared" ref="BN26" si="259">IF(C26&lt;4,MIN($BR$1*$BR$3,BS26*$BR$2),BS26*0.1)</f>
        <v>18.75</v>
      </c>
      <c r="BO26" s="343">
        <f t="shared" ref="BO26" si="260">IF(BN26=0,0,$BR$1/BN26)</f>
        <v>8</v>
      </c>
      <c r="BP26" s="81" t="s">
        <v>1606</v>
      </c>
      <c r="BQ26" s="81">
        <f t="shared" ref="BQ26" si="261">ROUND(IF(AQ26=0,AU26/2/0.67,AU26),3)</f>
        <v>0.746</v>
      </c>
      <c r="BR26" s="81"/>
      <c r="BS26" s="63">
        <f t="shared" ref="BS26" si="262">(E26+J26+K26)</f>
        <v>25</v>
      </c>
      <c r="BT26" s="63">
        <f t="shared" ref="BT26" si="263">E26*(1+$CA$1)+J26+K26</f>
        <v>26.5</v>
      </c>
      <c r="BV26" s="63">
        <f t="shared" ref="BV26" si="264">IF(N26&lt;&gt;0,$BX$4/(0.96/BS26)/N26,0)</f>
        <v>0</v>
      </c>
      <c r="CG26" s="371">
        <f t="shared" ref="CG26" si="265">E26*(1+$CJ$1)</f>
        <v>27.500000000000004</v>
      </c>
      <c r="CH26" s="372">
        <f t="shared" si="214"/>
        <v>0.1</v>
      </c>
      <c r="CI26" s="373">
        <v>2</v>
      </c>
      <c r="CJ26" s="143">
        <v>5</v>
      </c>
      <c r="CK26" s="373">
        <v>3</v>
      </c>
      <c r="CL26" s="143">
        <v>2</v>
      </c>
      <c r="CM26" s="373">
        <v>4</v>
      </c>
      <c r="CN26" s="143">
        <v>1</v>
      </c>
      <c r="CO26" s="143">
        <f t="shared" ref="CO26" si="266">(CI26*CJ26+CK26*CL26+CM26*CN26)/(CJ26+CL26+CN26)</f>
        <v>2.5</v>
      </c>
      <c r="CP26" s="143">
        <f t="shared" si="175"/>
        <v>7.5</v>
      </c>
      <c r="CQ26" s="377">
        <f t="shared" ref="CQ26" si="267">ROUND(E26*CH26/CP26/CO26,6)</f>
        <v>0.13333300000000001</v>
      </c>
      <c r="CR26" s="143">
        <f t="shared" si="175"/>
        <v>15</v>
      </c>
      <c r="CS26" s="378">
        <f t="shared" ref="CS26" si="268">ROUND(E26*CH26/CR26/CO26,6)</f>
        <v>6.6667000000000004E-2</v>
      </c>
      <c r="CT26" s="143">
        <f t="shared" si="175"/>
        <v>22.5</v>
      </c>
      <c r="CU26" s="392">
        <f t="shared" ref="CU26" si="269">ROUND(E26*CH26/CT26/CO26,6)</f>
        <v>4.4443999999999997E-2</v>
      </c>
      <c r="CW26" s="241">
        <v>2E-3</v>
      </c>
      <c r="CX26" s="396">
        <f t="shared" si="215"/>
        <v>0</v>
      </c>
      <c r="CY26" s="270">
        <f t="shared" ref="CY26" si="270">E26*CX26</f>
        <v>0</v>
      </c>
      <c r="CZ26" s="394">
        <f t="shared" si="34"/>
        <v>0</v>
      </c>
      <c r="DA26" s="394">
        <f t="shared" ref="DA26" si="271">$CZ26*DA$3/DF26</f>
        <v>0</v>
      </c>
      <c r="DB26" s="395">
        <f t="shared" ref="DB26" si="272">IF(DA26&gt;$DB$3,CX26*$DB$3/DA26,$CX26)</f>
        <v>0</v>
      </c>
      <c r="DC26" s="419">
        <f t="shared" ref="DC26" si="273">$E26*DB26/$CY$2</f>
        <v>0</v>
      </c>
      <c r="DD26" s="394">
        <f t="shared" ref="DD26" si="274">$DC26*DA$3/DF26</f>
        <v>0</v>
      </c>
      <c r="DE26" s="420" t="e">
        <f t="shared" ref="DE26" si="275">1/($CX$2/($E26*(1+DB26))*DD26)</f>
        <v>#DIV/0!</v>
      </c>
      <c r="DF26" s="421">
        <f t="shared" ref="DF26" si="276">IF($DA$3&lt;$DI$2,DI26,DI26*INT($DA$3/$DI$2))</f>
        <v>8</v>
      </c>
      <c r="DG26" s="422">
        <f t="shared" ref="DG26" si="277">IF($DA$3&lt;$DI$2,DJ26,DJ26*INT($DA$3/$DI$2))</f>
        <v>1</v>
      </c>
      <c r="DH26" s="284"/>
      <c r="DI26" s="282">
        <v>8</v>
      </c>
      <c r="DJ26" s="283">
        <v>1</v>
      </c>
      <c r="DL26" s="431"/>
      <c r="DM26" s="242"/>
      <c r="DQ26" s="427"/>
      <c r="DR26" s="421">
        <v>8</v>
      </c>
      <c r="DS26" s="270">
        <v>1</v>
      </c>
      <c r="DT26" s="427">
        <f t="shared" ref="DT26" si="278">IF(DR26=0,0,DR$4*$E26/DR26*$DO$2)</f>
        <v>5.2083333333333387E-4</v>
      </c>
      <c r="DU26" s="421">
        <f t="shared" ref="DU26" si="279">DR26</f>
        <v>8</v>
      </c>
      <c r="DV26" s="270">
        <f t="shared" ref="DV26" si="280">DS26</f>
        <v>1</v>
      </c>
      <c r="DW26" s="427">
        <f t="shared" ref="DW26" si="281">IF(DU26=0,0,DU$4*$E26/DU26*$DO$2)</f>
        <v>1.0416666666666677E-3</v>
      </c>
      <c r="DX26" s="421">
        <f t="shared" ref="DX26" si="282">DU26</f>
        <v>8</v>
      </c>
      <c r="DY26" s="270">
        <f t="shared" ref="DY26" si="283">DV26</f>
        <v>1</v>
      </c>
      <c r="DZ26" s="427">
        <f t="shared" ref="DZ26" si="284">IF(DX26=0,0,DX$4*$E26/DX26*$DO$2)</f>
        <v>1.5625000000000016E-3</v>
      </c>
      <c r="EA26" s="421">
        <f t="shared" ref="EA26" si="285">DX26</f>
        <v>8</v>
      </c>
      <c r="EB26" s="270">
        <f t="shared" ref="EB26" si="286">DY26</f>
        <v>1</v>
      </c>
      <c r="EC26" s="427">
        <f t="shared" ref="EC26" si="287">IF(EA26=0,0,EA$4*$E26/EA26*$DO$2)</f>
        <v>2.0833333333333355E-3</v>
      </c>
      <c r="ED26" s="421">
        <f t="shared" ref="ED26" si="288">EA26</f>
        <v>8</v>
      </c>
      <c r="EE26" s="270">
        <f t="shared" ref="EE26" si="289">EB26</f>
        <v>1</v>
      </c>
      <c r="EF26" s="427">
        <f t="shared" ref="EF26" si="290">IF(ED26=0,0,ED$4*$E26/ED26*$DO$2)</f>
        <v>2.6041666666666696E-3</v>
      </c>
      <c r="EG26" s="421">
        <f t="shared" ref="EG26" si="291">ED26</f>
        <v>8</v>
      </c>
      <c r="EH26" s="270">
        <f t="shared" ref="EH26" si="292">EE26</f>
        <v>1</v>
      </c>
      <c r="EI26" s="427">
        <f t="shared" ref="EI26" si="293">IF(EG26=0,0,EG$4*$E26/EG26*$DO$2)</f>
        <v>5.2083333333333391E-3</v>
      </c>
      <c r="EJ26" s="421">
        <f t="shared" ref="EJ26" si="294">EG26</f>
        <v>8</v>
      </c>
      <c r="EK26" s="270">
        <f t="shared" ref="EK26" si="295">EH26</f>
        <v>1</v>
      </c>
      <c r="EL26" s="427">
        <f t="shared" ref="EL26" si="296">IF(EJ26=0,0,EJ$4*$E26/EJ26*$DO$2)</f>
        <v>1.0416666666666678E-2</v>
      </c>
      <c r="EM26" s="421">
        <f t="shared" ref="EM26" si="297">EJ26</f>
        <v>8</v>
      </c>
      <c r="EN26" s="270">
        <f t="shared" ref="EN26" si="298">EK26</f>
        <v>1</v>
      </c>
      <c r="EO26" s="427">
        <f t="shared" ref="EO26" si="299">IF(EM26=0,0,EM$4*$E26/EM26*$DO$2)</f>
        <v>1.5625000000000017E-2</v>
      </c>
      <c r="EP26" s="421">
        <f t="shared" ref="EP26" si="300">EM26</f>
        <v>8</v>
      </c>
      <c r="EQ26" s="270">
        <f t="shared" ref="EQ26" si="301">EN26</f>
        <v>1</v>
      </c>
      <c r="ER26" s="427">
        <f t="shared" ref="ER26" si="302">IF(EP26=0,0,EP$4*$E26/EP26*$DO$2)</f>
        <v>2.0833333333333356E-2</v>
      </c>
      <c r="ES26" s="421">
        <f t="shared" ref="ES26" si="303">EP26</f>
        <v>8</v>
      </c>
      <c r="ET26" s="270">
        <f t="shared" ref="ET26" si="304">EQ26</f>
        <v>1</v>
      </c>
      <c r="EU26" s="427">
        <f t="shared" ref="EU26" si="305">IF(ES26=0,0,ES$4*$E26/ES26*$DO$2)</f>
        <v>2.6041666666666696E-2</v>
      </c>
      <c r="EV26" s="421">
        <f t="shared" si="67"/>
        <v>16</v>
      </c>
      <c r="EW26" s="270">
        <f t="shared" ref="EW26" si="306">$ET26*EV$4/$ES$4</f>
        <v>2</v>
      </c>
      <c r="EX26" s="427">
        <f t="shared" ref="EX26" si="307">IF(EV26=0,0,EV$4*$E26/EV26*$DO$2)</f>
        <v>2.6041666666666696E-2</v>
      </c>
      <c r="EY26" s="421">
        <f t="shared" si="70"/>
        <v>32</v>
      </c>
      <c r="EZ26" s="270">
        <f t="shared" ref="EZ26" si="308">$ET26*EY$4/$ES$4</f>
        <v>4</v>
      </c>
      <c r="FA26" s="427">
        <f t="shared" ref="FA26" si="309">IF(EY26=0,0,EY$4*$E26/EY26*$DO$2)</f>
        <v>2.6041666666666696E-2</v>
      </c>
      <c r="FB26" s="421">
        <f t="shared" si="73"/>
        <v>48</v>
      </c>
      <c r="FC26" s="270">
        <f t="shared" ref="FC26" si="310">$ET26*FB$4/$ES$4</f>
        <v>6</v>
      </c>
      <c r="FD26" s="427">
        <f t="shared" ref="FD26" si="311">IF(FB26=0,0,FB$4*$E26/FB26*$DO$2)</f>
        <v>2.6041666666666696E-2</v>
      </c>
      <c r="FE26" s="421">
        <f t="shared" si="76"/>
        <v>64</v>
      </c>
      <c r="FF26" s="270">
        <f t="shared" ref="FF26" si="312">$ET26*FE$4/$ES$4</f>
        <v>8</v>
      </c>
      <c r="FG26" s="427">
        <f t="shared" ref="FG26" si="313">IF(FE26=0,0,FE$4*$E26/FE26*$DO$2)</f>
        <v>2.6041666666666696E-2</v>
      </c>
      <c r="FH26" s="421">
        <f t="shared" si="79"/>
        <v>80</v>
      </c>
      <c r="FI26" s="270">
        <f t="shared" ref="FI26" si="314">$ET26*FH$4/$ES$4</f>
        <v>10</v>
      </c>
      <c r="FJ26" s="427">
        <f t="shared" ref="FJ26" si="315">IF(FH26=0,0,FH$4*$E26/FH26*$DO$2)</f>
        <v>2.6041666666666696E-2</v>
      </c>
      <c r="FK26" s="421">
        <f t="shared" si="82"/>
        <v>160</v>
      </c>
      <c r="FL26" s="270">
        <f t="shared" ref="FL26" si="316">$ET26*FK$4/$ES$4</f>
        <v>20</v>
      </c>
      <c r="FM26" s="427">
        <f t="shared" ref="FM26" si="317">IF(FK26=0,0,FK$4*$E26/FK26*$DO$2)</f>
        <v>2.6041666666666696E-2</v>
      </c>
      <c r="FN26" s="421">
        <f t="shared" si="85"/>
        <v>320</v>
      </c>
      <c r="FO26" s="270">
        <f t="shared" ref="FO26" si="318">$ET26*FN$4/$ES$4</f>
        <v>40</v>
      </c>
      <c r="FP26" s="427">
        <f t="shared" ref="FP26" si="319">IF(FN26=0,0,FN$4*$E26/FN26*$DO$2)</f>
        <v>2.6041666666666696E-2</v>
      </c>
      <c r="FQ26" s="421">
        <f t="shared" si="88"/>
        <v>480</v>
      </c>
      <c r="FR26" s="270">
        <f t="shared" ref="FR26" si="320">$ET26*FQ$4/$ES$4</f>
        <v>60</v>
      </c>
      <c r="FS26" s="427">
        <f t="shared" ref="FS26" si="321">IF(FQ26=0,0,FQ$4*$E26/FQ26*$DO$2)</f>
        <v>2.6041666666666696E-2</v>
      </c>
      <c r="FT26" s="421">
        <f t="shared" si="91"/>
        <v>640</v>
      </c>
      <c r="FU26" s="270">
        <f t="shared" ref="FU26" si="322">$ET26*FT$4/$ES$4</f>
        <v>80</v>
      </c>
      <c r="FV26" s="427">
        <f t="shared" ref="FV26" si="323">IF(FT26=0,0,FT$4*$E26/FT26*$DO$2)</f>
        <v>2.6041666666666696E-2</v>
      </c>
      <c r="FW26" s="421">
        <f t="shared" si="94"/>
        <v>800</v>
      </c>
      <c r="FX26" s="270">
        <f t="shared" ref="FX26" si="324">$ET26*FW$4/$ES$4</f>
        <v>100</v>
      </c>
      <c r="FY26" s="427">
        <f t="shared" ref="FY26" si="325">IF(FW26=0,0,FW$4*$E26/FW26*$DO$2)</f>
        <v>2.6041666666666696E-2</v>
      </c>
      <c r="GA26" s="431"/>
      <c r="GB26" s="242"/>
      <c r="GF26" s="427"/>
      <c r="GG26" s="421">
        <v>1</v>
      </c>
      <c r="GH26" s="270">
        <v>1</v>
      </c>
      <c r="GI26" s="427">
        <f t="shared" ref="GI26" si="326">IF(GG26=0,0,GG$4*$E26/GG26*$GD$2)</f>
        <v>2.77777777777778E-6</v>
      </c>
      <c r="GJ26" s="421">
        <f t="shared" ref="GJ26" si="327">GG26</f>
        <v>1</v>
      </c>
      <c r="GK26" s="270">
        <f t="shared" ref="GK26" si="328">GH26</f>
        <v>1</v>
      </c>
      <c r="GL26" s="427">
        <f t="shared" ref="GL26" si="329">IF(GJ26=0,0,GJ$4*$E26/GJ26*$GD$2)</f>
        <v>5.5555555555555601E-6</v>
      </c>
      <c r="GM26" s="421">
        <f t="shared" ref="GM26" si="330">GJ26</f>
        <v>1</v>
      </c>
      <c r="GN26" s="270">
        <f t="shared" ref="GN26" si="331">GK26</f>
        <v>1</v>
      </c>
      <c r="GO26" s="427">
        <f t="shared" ref="GO26" si="332">IF(GM26=0,0,GM$4*$E26/GM26*$GD$2)</f>
        <v>8.3333333333333405E-6</v>
      </c>
      <c r="GP26" s="421">
        <f t="shared" ref="GP26" si="333">GM26</f>
        <v>1</v>
      </c>
      <c r="GQ26" s="270">
        <f t="shared" ref="GQ26" si="334">GN26</f>
        <v>1</v>
      </c>
      <c r="GR26" s="427">
        <f t="shared" ref="GR26" si="335">IF(GP26=0,0,GP$4*$E26/GP26*$GD$2)</f>
        <v>1.111111111111112E-5</v>
      </c>
      <c r="GS26" s="421">
        <f t="shared" ref="GS26" si="336">GP26</f>
        <v>1</v>
      </c>
      <c r="GT26" s="270">
        <f t="shared" ref="GT26" si="337">GQ26</f>
        <v>1</v>
      </c>
      <c r="GU26" s="427">
        <f t="shared" ref="GU26" si="338">IF(GS26=0,0,GS$4*$E26/GS26*$GD$2)</f>
        <v>1.38888888888889E-5</v>
      </c>
      <c r="GV26" s="421">
        <f t="shared" ref="GV26" si="339">GS26</f>
        <v>1</v>
      </c>
      <c r="GW26" s="270">
        <f t="shared" ref="GW26" si="340">GT26</f>
        <v>1</v>
      </c>
      <c r="GX26" s="427">
        <f t="shared" ref="GX26" si="341">IF(GV26=0,0,GV$4*$E26/GV26*$GD$2)</f>
        <v>2.7777777777777799E-5</v>
      </c>
      <c r="GY26" s="421">
        <f t="shared" ref="GY26" si="342">GV26</f>
        <v>1</v>
      </c>
      <c r="GZ26" s="270">
        <f t="shared" ref="GZ26" si="343">GW26</f>
        <v>1</v>
      </c>
      <c r="HA26" s="427">
        <f t="shared" ref="HA26" si="344">IF(GY26=0,0,GY$4*$E26/GY26*$GD$2)</f>
        <v>5.5555555555555599E-5</v>
      </c>
      <c r="HB26" s="421">
        <f t="shared" ref="HB26" si="345">GY26</f>
        <v>1</v>
      </c>
      <c r="HC26" s="270">
        <f t="shared" ref="HC26" si="346">GZ26</f>
        <v>1</v>
      </c>
      <c r="HD26" s="427">
        <f t="shared" ref="HD26" si="347">IF(HB26=0,0,HB$4*$E26/HB26*$GD$2)</f>
        <v>8.3333333333333398E-5</v>
      </c>
      <c r="HE26" s="421">
        <f t="shared" ref="HE26" si="348">HB26</f>
        <v>1</v>
      </c>
      <c r="HF26" s="270">
        <f t="shared" ref="HF26" si="349">HC26</f>
        <v>1</v>
      </c>
      <c r="HG26" s="427">
        <f t="shared" ref="HG26" si="350">IF(HE26=0,0,HE$4*$E26/HE26*$GD$2)</f>
        <v>1.111111111111112E-4</v>
      </c>
      <c r="HH26" s="421">
        <f t="shared" ref="HH26" si="351">HE26</f>
        <v>1</v>
      </c>
      <c r="HI26" s="270">
        <f t="shared" ref="HI26" si="352">HF26</f>
        <v>1</v>
      </c>
      <c r="HJ26" s="427">
        <f t="shared" ref="HJ26" si="353">IF(HH26=0,0,HH$4*$E26/HH26*$GD$2)</f>
        <v>1.38888888888889E-4</v>
      </c>
      <c r="HK26" s="421">
        <f t="shared" ref="HK26" si="354">HH26</f>
        <v>1</v>
      </c>
      <c r="HL26" s="270">
        <f t="shared" ref="HL26" si="355">HI26</f>
        <v>1</v>
      </c>
      <c r="HM26" s="427">
        <f t="shared" ref="HM26" si="356">IF(HK26=0,0,HK$4*$E26/HK26*$GD$2)</f>
        <v>2.7777777777777799E-4</v>
      </c>
      <c r="HN26" s="421">
        <f t="shared" ref="HN26" si="357">HK26</f>
        <v>1</v>
      </c>
      <c r="HO26" s="270">
        <f t="shared" ref="HO26" si="358">HL26</f>
        <v>1</v>
      </c>
      <c r="HP26" s="427">
        <f t="shared" ref="HP26" si="359">IF(HN26=0,0,HN$4*$E26/HN26*$GD$2)</f>
        <v>5.5555555555555599E-4</v>
      </c>
      <c r="HQ26" s="421">
        <f t="shared" ref="HQ26" si="360">HN26</f>
        <v>1</v>
      </c>
      <c r="HR26" s="270">
        <f t="shared" ref="HR26" si="361">HO26</f>
        <v>1</v>
      </c>
      <c r="HS26" s="427">
        <f t="shared" ref="HS26" si="362">IF(HQ26=0,0,HQ$4*$E26/HQ26*$GD$2)</f>
        <v>8.3333333333333404E-4</v>
      </c>
      <c r="HT26" s="421">
        <f t="shared" ref="HT26" si="363">HQ26</f>
        <v>1</v>
      </c>
      <c r="HU26" s="270">
        <f t="shared" ref="HU26" si="364">HR26</f>
        <v>1</v>
      </c>
      <c r="HV26" s="427">
        <f t="shared" ref="HV26" si="365">IF(HT26=0,0,HT$4*$E26/HT26*$GD$2)</f>
        <v>1.111111111111112E-3</v>
      </c>
      <c r="HW26" s="421">
        <f t="shared" ref="HW26" si="366">HT26</f>
        <v>1</v>
      </c>
      <c r="HX26" s="270">
        <f t="shared" ref="HX26" si="367">HU26</f>
        <v>1</v>
      </c>
      <c r="HY26" s="427">
        <f t="shared" ref="HY26" si="368">IF(HW26=0,0,HW$4*$E26/HW26*$GD$2)</f>
        <v>1.38888888888889E-3</v>
      </c>
      <c r="HZ26" s="421">
        <f t="shared" ref="HZ26" si="369">HW26</f>
        <v>1</v>
      </c>
      <c r="IA26" s="270">
        <f t="shared" ref="IA26" si="370">HX26</f>
        <v>1</v>
      </c>
      <c r="IB26" s="427">
        <f t="shared" ref="IB26" si="371">IF(HZ26=0,0,HZ$4*$E26/HZ26*$GD$2)</f>
        <v>2.7777777777777801E-3</v>
      </c>
      <c r="IC26" s="421">
        <f t="shared" ref="IC26" si="372">HZ26</f>
        <v>1</v>
      </c>
      <c r="ID26" s="270">
        <f t="shared" ref="ID26" si="373">IA26</f>
        <v>1</v>
      </c>
      <c r="IE26" s="427">
        <f t="shared" ref="IE26" si="374">IF(IC26=0,0,IC$4*$E26/IC26*$GD$2)</f>
        <v>5.5555555555555601E-3</v>
      </c>
      <c r="IF26" s="421">
        <f t="shared" ref="IF26" si="375">IC26</f>
        <v>1</v>
      </c>
      <c r="IG26" s="270">
        <f t="shared" ref="IG26" si="376">ID26</f>
        <v>1</v>
      </c>
      <c r="IH26" s="427">
        <f t="shared" ref="IH26" si="377">IF(IF26=0,0,IF$4*$E26/IF26*$GD$2)</f>
        <v>8.3333333333333402E-3</v>
      </c>
      <c r="II26" s="421">
        <f t="shared" ref="II26" si="378">IF26</f>
        <v>1</v>
      </c>
      <c r="IJ26" s="270">
        <f t="shared" ref="IJ26" si="379">IG26</f>
        <v>1</v>
      </c>
      <c r="IK26" s="427">
        <f t="shared" ref="IK26" si="380">IF(II26=0,0,II$4*$E26/II26*$GD$2)</f>
        <v>1.111111111111112E-2</v>
      </c>
      <c r="IL26" s="421">
        <f t="shared" ref="IL26" si="381">II26</f>
        <v>1</v>
      </c>
      <c r="IM26" s="270">
        <f t="shared" ref="IM26" si="382">IJ26</f>
        <v>1</v>
      </c>
      <c r="IN26" s="427">
        <f t="shared" ref="IN26" si="383">IF(IL26=0,0,IL$4*$E26/IL26*$GD$2)</f>
        <v>1.38888888888889E-2</v>
      </c>
      <c r="IS26" s="447">
        <f t="shared" si="245"/>
        <v>0</v>
      </c>
      <c r="IT26" s="447">
        <f t="shared" si="245"/>
        <v>0</v>
      </c>
      <c r="IU26" s="447">
        <f t="shared" si="245"/>
        <v>0</v>
      </c>
      <c r="IV26" s="447">
        <f t="shared" si="245"/>
        <v>1E-3</v>
      </c>
      <c r="IW26" s="447">
        <f t="shared" si="245"/>
        <v>1.25E-3</v>
      </c>
      <c r="IX26" s="447">
        <f t="shared" si="245"/>
        <v>2.5000000000000001E-3</v>
      </c>
      <c r="IY26" s="447">
        <f t="shared" si="245"/>
        <v>5.0000000000000001E-3</v>
      </c>
      <c r="IZ26" s="447">
        <f t="shared" si="245"/>
        <v>7.4999999999999997E-3</v>
      </c>
      <c r="JA26" s="447">
        <f t="shared" si="245"/>
        <v>0.01</v>
      </c>
      <c r="JB26" s="447">
        <f t="shared" si="245"/>
        <v>1.2500000000000001E-2</v>
      </c>
      <c r="JC26" s="447">
        <f t="shared" si="246"/>
        <v>2.5000000000000001E-2</v>
      </c>
      <c r="JD26" s="447">
        <f t="shared" si="246"/>
        <v>3.125E-2</v>
      </c>
      <c r="JE26" s="447">
        <f t="shared" si="246"/>
        <v>3.1245000000000005E-2</v>
      </c>
      <c r="JF26" s="447">
        <f t="shared" si="246"/>
        <v>3.1240000000000004E-2</v>
      </c>
      <c r="JG26" s="447">
        <f t="shared" si="246"/>
        <v>3.1237500000000001E-2</v>
      </c>
      <c r="JH26" s="447">
        <f t="shared" si="246"/>
        <v>3.1225000000000006E-2</v>
      </c>
      <c r="JI26" s="447">
        <f t="shared" si="246"/>
        <v>3.1200000000000006E-2</v>
      </c>
      <c r="JJ26" s="447">
        <f t="shared" si="246"/>
        <v>3.1200000000000006E-2</v>
      </c>
      <c r="JK26" s="447">
        <f t="shared" si="246"/>
        <v>3.1200000000000006E-2</v>
      </c>
      <c r="JL26" s="447">
        <f t="shared" si="246"/>
        <v>3.1125E-2</v>
      </c>
      <c r="JQ26" s="455" t="s">
        <v>1659</v>
      </c>
      <c r="JR26" s="456">
        <v>7</v>
      </c>
      <c r="JS26" s="456">
        <f t="shared" si="242"/>
        <v>70000000</v>
      </c>
      <c r="JU26" s="242">
        <f t="shared" si="198"/>
        <v>500000</v>
      </c>
      <c r="JV26" s="242">
        <f t="shared" si="199"/>
        <v>500000</v>
      </c>
      <c r="JW26" s="242">
        <f t="shared" si="216"/>
        <v>1</v>
      </c>
      <c r="JX26" s="242">
        <f t="shared" si="200"/>
        <v>750000</v>
      </c>
      <c r="JY26" s="241">
        <f t="shared" si="217"/>
        <v>0</v>
      </c>
      <c r="JZ26" s="241">
        <f t="shared" si="218"/>
        <v>500000</v>
      </c>
      <c r="KA26" s="241" t="str">
        <f t="shared" si="219"/>
        <v>期望符合预期</v>
      </c>
      <c r="KC26" s="242">
        <f t="shared" si="201"/>
        <v>1000000</v>
      </c>
      <c r="KD26" s="242">
        <f t="shared" si="202"/>
        <v>1000000</v>
      </c>
      <c r="KE26" s="242">
        <f t="shared" si="220"/>
        <v>1</v>
      </c>
      <c r="KF26" s="242">
        <f t="shared" si="203"/>
        <v>1500000</v>
      </c>
      <c r="KG26" s="241">
        <f t="shared" si="221"/>
        <v>0</v>
      </c>
      <c r="KH26" s="241">
        <f t="shared" si="222"/>
        <v>1000000</v>
      </c>
      <c r="KI26" s="241" t="str">
        <f t="shared" si="223"/>
        <v>期望符合预期</v>
      </c>
      <c r="KK26" s="242">
        <f t="shared" si="204"/>
        <v>1500000</v>
      </c>
      <c r="KL26" s="242">
        <f t="shared" si="205"/>
        <v>1500000</v>
      </c>
      <c r="KM26" s="242">
        <f t="shared" si="224"/>
        <v>1</v>
      </c>
      <c r="KN26" s="242">
        <f t="shared" si="206"/>
        <v>2000000</v>
      </c>
      <c r="KO26" s="241">
        <f t="shared" si="225"/>
        <v>0</v>
      </c>
      <c r="KP26" s="241">
        <f t="shared" si="226"/>
        <v>1500000</v>
      </c>
      <c r="KQ26" s="241" t="str">
        <f t="shared" si="227"/>
        <v>期望符合预期</v>
      </c>
      <c r="KS26" s="242">
        <f t="shared" si="207"/>
        <v>2000000</v>
      </c>
      <c r="KT26" s="242">
        <f t="shared" si="208"/>
        <v>2000000</v>
      </c>
      <c r="KU26" s="242">
        <f t="shared" si="228"/>
        <v>1</v>
      </c>
      <c r="KV26" s="242">
        <f t="shared" si="209"/>
        <v>3000000</v>
      </c>
      <c r="KW26" s="241">
        <f t="shared" si="229"/>
        <v>0</v>
      </c>
      <c r="KX26" s="241">
        <f t="shared" si="230"/>
        <v>2000000</v>
      </c>
      <c r="KY26" s="241" t="str">
        <f t="shared" si="231"/>
        <v>期望符合预期</v>
      </c>
      <c r="LA26" s="242">
        <f t="shared" si="210"/>
        <v>2500000</v>
      </c>
      <c r="LB26" s="242">
        <f t="shared" si="211"/>
        <v>2000000</v>
      </c>
      <c r="LC26" s="242">
        <f t="shared" si="232"/>
        <v>0.5</v>
      </c>
      <c r="LD26" s="242">
        <f t="shared" si="212"/>
        <v>3000000</v>
      </c>
      <c r="LE26" s="241">
        <f t="shared" si="233"/>
        <v>0.5</v>
      </c>
      <c r="LF26" s="241">
        <f t="shared" si="234"/>
        <v>2500000</v>
      </c>
      <c r="LG26" s="241" t="str">
        <f t="shared" si="235"/>
        <v>期望符合预期</v>
      </c>
    </row>
    <row r="27" spans="1:319" x14ac:dyDescent="0.35">
      <c r="A27" s="63">
        <v>22</v>
      </c>
      <c r="B27" s="73" t="s">
        <v>1689</v>
      </c>
      <c r="C27" s="63">
        <f>C13</f>
        <v>1</v>
      </c>
      <c r="D27" s="63">
        <f t="shared" ref="D27:BH27" si="384">D13</f>
        <v>-1</v>
      </c>
      <c r="E27" s="63">
        <f t="shared" si="384"/>
        <v>4</v>
      </c>
      <c r="F27" s="63">
        <f t="shared" si="384"/>
        <v>4</v>
      </c>
      <c r="G27" s="63">
        <f t="shared" si="167"/>
        <v>4</v>
      </c>
      <c r="H27" s="63"/>
      <c r="I27" s="265"/>
      <c r="J27" s="63">
        <f t="shared" si="384"/>
        <v>0</v>
      </c>
      <c r="K27" s="63">
        <f t="shared" si="384"/>
        <v>0</v>
      </c>
      <c r="L27" s="63">
        <f t="shared" si="384"/>
        <v>0</v>
      </c>
      <c r="M27" s="63">
        <f t="shared" si="384"/>
        <v>2.7775999999999999E-3</v>
      </c>
      <c r="N27" s="63">
        <f t="shared" si="384"/>
        <v>1</v>
      </c>
      <c r="O27" s="63">
        <f t="shared" si="384"/>
        <v>0</v>
      </c>
      <c r="P27" s="143">
        <f t="shared" si="384"/>
        <v>8.0000000000000004E-4</v>
      </c>
      <c r="Q27" s="286">
        <f t="shared" si="384"/>
        <v>0</v>
      </c>
      <c r="R27" s="63">
        <f t="shared" si="384"/>
        <v>2</v>
      </c>
      <c r="S27" s="63">
        <f t="shared" si="384"/>
        <v>1</v>
      </c>
      <c r="T27" s="63" t="str">
        <f t="shared" si="384"/>
        <v>[[2,1],[2,1],[2,1],[2,1],[2,1],[2,1],[2,1],[2,1],[2,1],[2,1],[4,2],[8,4],[12,6],[16,8],[20,10],[40,20],[80,40],[120,60],[160,80],[200,100]]</v>
      </c>
      <c r="U27" s="63">
        <f t="shared" si="384"/>
        <v>1</v>
      </c>
      <c r="V27" s="284">
        <v>1</v>
      </c>
      <c r="W27" s="284" t="str">
        <f t="shared" si="168"/>
        <v>[[1,1],[1,1],[1,1],[1,1],[1,1],[1,1],[1,1],[1,1],[1,1],[1,1],[1,1],[1,1],[1,1],[1,1],[1,1],[1,1],[1,1],[1,1],[1,1],[1,1]]</v>
      </c>
      <c r="X27" s="63">
        <v>0</v>
      </c>
      <c r="Y27" s="63">
        <f t="shared" si="384"/>
        <v>0</v>
      </c>
      <c r="Z27" s="63">
        <f t="shared" si="384"/>
        <v>0</v>
      </c>
      <c r="AA27" s="63">
        <f t="shared" si="384"/>
        <v>0.06</v>
      </c>
      <c r="AB27" s="63">
        <f t="shared" si="384"/>
        <v>0.1</v>
      </c>
      <c r="AC27" s="304">
        <f>AC25</f>
        <v>0.05</v>
      </c>
      <c r="AD27" s="304">
        <f>AD25</f>
        <v>0</v>
      </c>
      <c r="AE27" s="304">
        <f>AE25</f>
        <v>0</v>
      </c>
      <c r="AF27" s="304">
        <f>AF25</f>
        <v>0</v>
      </c>
      <c r="AG27" s="63" t="str">
        <f t="shared" si="384"/>
        <v>[[1,5],[2,2],[3,1]]</v>
      </c>
      <c r="AH27" s="63" t="str">
        <f t="shared" si="384"/>
        <v>[0.035556,0.017778,0.011852]</v>
      </c>
      <c r="AI27" s="256">
        <v>0</v>
      </c>
      <c r="AJ27" s="63">
        <f t="shared" si="384"/>
        <v>1</v>
      </c>
      <c r="AK27" s="256">
        <f t="shared" si="243"/>
        <v>1</v>
      </c>
      <c r="AL27" s="256">
        <v>0</v>
      </c>
      <c r="AM27" s="256">
        <f t="shared" si="172"/>
        <v>1.2</v>
      </c>
      <c r="AN27" s="256" t="s">
        <v>2548</v>
      </c>
      <c r="AO27" s="63">
        <f t="shared" si="384"/>
        <v>4</v>
      </c>
      <c r="AP27" s="63">
        <f t="shared" si="384"/>
        <v>-1</v>
      </c>
      <c r="AQ27" s="63">
        <f t="shared" si="384"/>
        <v>0</v>
      </c>
      <c r="AR27" s="63">
        <f t="shared" si="384"/>
        <v>0</v>
      </c>
      <c r="AS27" s="63">
        <f t="shared" si="384"/>
        <v>0</v>
      </c>
      <c r="AT27" s="63">
        <f t="shared" si="384"/>
        <v>1</v>
      </c>
      <c r="AU27" s="63">
        <f t="shared" si="384"/>
        <v>1</v>
      </c>
      <c r="AV27" s="63">
        <f t="shared" si="173"/>
        <v>1</v>
      </c>
      <c r="AW27" s="63">
        <f t="shared" si="384"/>
        <v>0.5</v>
      </c>
      <c r="AX27" s="63">
        <f t="shared" si="384"/>
        <v>1</v>
      </c>
      <c r="AY27" s="63">
        <f t="shared" si="384"/>
        <v>0</v>
      </c>
      <c r="AZ27" s="63"/>
      <c r="BA27" s="63"/>
      <c r="BB27" s="63">
        <f t="shared" si="384"/>
        <v>0.6</v>
      </c>
      <c r="BC27" s="63">
        <f t="shared" si="384"/>
        <v>10</v>
      </c>
      <c r="BD27" s="63">
        <f t="shared" si="384"/>
        <v>0.18</v>
      </c>
      <c r="BE27" s="63">
        <f t="shared" si="384"/>
        <v>0.8</v>
      </c>
      <c r="BF27" s="63">
        <f t="shared" si="384"/>
        <v>1</v>
      </c>
      <c r="BG27" s="63" t="str">
        <f t="shared" si="384"/>
        <v>0,0,1</v>
      </c>
      <c r="BH27" s="63" t="str">
        <f t="shared" si="384"/>
        <v>5,4,90,24</v>
      </c>
      <c r="BI27" s="63" t="s">
        <v>1638</v>
      </c>
      <c r="BJ27" s="63"/>
      <c r="BK27" s="265" t="str">
        <f>BK13</f>
        <v>1</v>
      </c>
      <c r="BL27" s="265"/>
      <c r="BM27" s="265"/>
      <c r="BN27" s="265">
        <f t="shared" ref="BN27:BQ27" si="385">BN13</f>
        <v>3</v>
      </c>
      <c r="BO27" s="265">
        <f t="shared" si="385"/>
        <v>50</v>
      </c>
      <c r="BP27" s="265" t="str">
        <f t="shared" si="385"/>
        <v>是</v>
      </c>
      <c r="BQ27" s="265">
        <f t="shared" si="385"/>
        <v>0.746</v>
      </c>
      <c r="BR27" s="81"/>
      <c r="BS27" s="63">
        <f t="shared" si="28"/>
        <v>4</v>
      </c>
      <c r="BT27" s="63">
        <f t="shared" si="29"/>
        <v>4.24</v>
      </c>
      <c r="BV27" s="63">
        <f t="shared" si="30"/>
        <v>0</v>
      </c>
      <c r="CG27" s="371">
        <f t="shared" si="31"/>
        <v>4.4000000000000004</v>
      </c>
      <c r="CH27" s="372">
        <f>CH25</f>
        <v>0.1</v>
      </c>
      <c r="CI27" s="373">
        <v>2</v>
      </c>
      <c r="CJ27" s="143">
        <v>5</v>
      </c>
      <c r="CK27" s="373">
        <v>3</v>
      </c>
      <c r="CL27" s="143">
        <v>2</v>
      </c>
      <c r="CM27" s="373">
        <v>4</v>
      </c>
      <c r="CN27" s="143">
        <v>1</v>
      </c>
      <c r="CO27" s="143">
        <f t="shared" si="174"/>
        <v>2.5</v>
      </c>
      <c r="CP27" s="143">
        <f t="shared" si="175"/>
        <v>7.5</v>
      </c>
      <c r="CQ27" s="377">
        <f t="shared" si="176"/>
        <v>2.1333000000000001E-2</v>
      </c>
      <c r="CR27" s="143">
        <f t="shared" si="175"/>
        <v>15</v>
      </c>
      <c r="CS27" s="378">
        <f t="shared" si="177"/>
        <v>1.0666999999999999E-2</v>
      </c>
      <c r="CT27" s="143">
        <f t="shared" si="175"/>
        <v>22.5</v>
      </c>
      <c r="CU27" s="392">
        <f t="shared" si="178"/>
        <v>7.1110000000000001E-3</v>
      </c>
      <c r="CW27" s="241">
        <v>2E-3</v>
      </c>
      <c r="CX27" s="396">
        <f>CX25</f>
        <v>0</v>
      </c>
      <c r="CY27" s="270">
        <f t="shared" si="33"/>
        <v>0</v>
      </c>
      <c r="CZ27" s="394">
        <f t="shared" si="34"/>
        <v>0</v>
      </c>
      <c r="DA27" s="394">
        <f t="shared" si="35"/>
        <v>0</v>
      </c>
      <c r="DB27" s="395">
        <f t="shared" si="179"/>
        <v>0</v>
      </c>
      <c r="DC27" s="419">
        <f t="shared" si="36"/>
        <v>0</v>
      </c>
      <c r="DD27" s="394">
        <f t="shared" si="37"/>
        <v>0</v>
      </c>
      <c r="DE27" s="420" t="e">
        <f t="shared" si="38"/>
        <v>#DIV/0!</v>
      </c>
      <c r="DF27" s="421">
        <f t="shared" si="180"/>
        <v>9</v>
      </c>
      <c r="DG27" s="422">
        <f t="shared" si="181"/>
        <v>1</v>
      </c>
      <c r="DH27" s="284"/>
      <c r="DI27" s="282">
        <v>9</v>
      </c>
      <c r="DJ27" s="283">
        <v>1</v>
      </c>
      <c r="DL27" s="431"/>
      <c r="DM27" s="242"/>
      <c r="DQ27" s="427"/>
      <c r="DR27" s="421">
        <f>DR11</f>
        <v>2</v>
      </c>
      <c r="DS27" s="270">
        <v>1</v>
      </c>
      <c r="DT27" s="427">
        <f t="shared" si="39"/>
        <v>3.333333333333337E-4</v>
      </c>
      <c r="DU27" s="421">
        <f t="shared" si="40"/>
        <v>2</v>
      </c>
      <c r="DV27" s="270">
        <f t="shared" si="182"/>
        <v>1</v>
      </c>
      <c r="DW27" s="427">
        <f t="shared" si="42"/>
        <v>6.666666666666674E-4</v>
      </c>
      <c r="DX27" s="421">
        <f t="shared" si="43"/>
        <v>2</v>
      </c>
      <c r="DY27" s="270">
        <f t="shared" si="183"/>
        <v>1</v>
      </c>
      <c r="DZ27" s="427">
        <f t="shared" si="45"/>
        <v>1.0000000000000011E-3</v>
      </c>
      <c r="EA27" s="421">
        <f t="shared" si="184"/>
        <v>2</v>
      </c>
      <c r="EB27" s="270">
        <f t="shared" si="185"/>
        <v>1</v>
      </c>
      <c r="EC27" s="427">
        <f t="shared" si="48"/>
        <v>1.3333333333333348E-3</v>
      </c>
      <c r="ED27" s="421">
        <f t="shared" si="186"/>
        <v>2</v>
      </c>
      <c r="EE27" s="270">
        <f t="shared" si="187"/>
        <v>1</v>
      </c>
      <c r="EF27" s="427">
        <f t="shared" si="51"/>
        <v>1.6666666666666685E-3</v>
      </c>
      <c r="EG27" s="421">
        <f t="shared" si="188"/>
        <v>2</v>
      </c>
      <c r="EH27" s="270">
        <f t="shared" si="189"/>
        <v>1</v>
      </c>
      <c r="EI27" s="427">
        <f t="shared" si="54"/>
        <v>3.333333333333337E-3</v>
      </c>
      <c r="EJ27" s="421">
        <f t="shared" si="190"/>
        <v>2</v>
      </c>
      <c r="EK27" s="270">
        <f t="shared" si="191"/>
        <v>1</v>
      </c>
      <c r="EL27" s="427">
        <f t="shared" si="57"/>
        <v>6.666666666666674E-3</v>
      </c>
      <c r="EM27" s="421">
        <f t="shared" si="192"/>
        <v>2</v>
      </c>
      <c r="EN27" s="270">
        <f t="shared" si="193"/>
        <v>1</v>
      </c>
      <c r="EO27" s="427">
        <f t="shared" si="60"/>
        <v>1.0000000000000011E-2</v>
      </c>
      <c r="EP27" s="421">
        <f t="shared" si="194"/>
        <v>2</v>
      </c>
      <c r="EQ27" s="270">
        <f t="shared" si="195"/>
        <v>1</v>
      </c>
      <c r="ER27" s="427">
        <f t="shared" si="63"/>
        <v>1.3333333333333348E-2</v>
      </c>
      <c r="ES27" s="421">
        <f t="shared" si="196"/>
        <v>2</v>
      </c>
      <c r="ET27" s="270">
        <f t="shared" si="197"/>
        <v>1</v>
      </c>
      <c r="EU27" s="427">
        <f t="shared" si="66"/>
        <v>1.6666666666666684E-2</v>
      </c>
      <c r="EV27" s="421">
        <f t="shared" si="67"/>
        <v>4</v>
      </c>
      <c r="EW27" s="270">
        <f t="shared" si="68"/>
        <v>2</v>
      </c>
      <c r="EX27" s="427">
        <f t="shared" si="69"/>
        <v>1.6666666666666684E-2</v>
      </c>
      <c r="EY27" s="421">
        <f t="shared" si="70"/>
        <v>8</v>
      </c>
      <c r="EZ27" s="270">
        <f t="shared" si="71"/>
        <v>4</v>
      </c>
      <c r="FA27" s="427">
        <f t="shared" si="72"/>
        <v>1.6666666666666684E-2</v>
      </c>
      <c r="FB27" s="421">
        <f t="shared" si="73"/>
        <v>12</v>
      </c>
      <c r="FC27" s="270">
        <f t="shared" si="74"/>
        <v>6</v>
      </c>
      <c r="FD27" s="427">
        <f t="shared" si="75"/>
        <v>1.6666666666666684E-2</v>
      </c>
      <c r="FE27" s="421">
        <f t="shared" si="76"/>
        <v>16</v>
      </c>
      <c r="FF27" s="270">
        <f t="shared" si="77"/>
        <v>8</v>
      </c>
      <c r="FG27" s="427">
        <f t="shared" si="78"/>
        <v>1.6666666666666684E-2</v>
      </c>
      <c r="FH27" s="421">
        <f t="shared" si="79"/>
        <v>20</v>
      </c>
      <c r="FI27" s="270">
        <f t="shared" si="80"/>
        <v>10</v>
      </c>
      <c r="FJ27" s="427">
        <f t="shared" si="81"/>
        <v>1.6666666666666684E-2</v>
      </c>
      <c r="FK27" s="421">
        <f t="shared" si="82"/>
        <v>40</v>
      </c>
      <c r="FL27" s="270">
        <f t="shared" si="83"/>
        <v>20</v>
      </c>
      <c r="FM27" s="427">
        <f t="shared" si="84"/>
        <v>1.6666666666666684E-2</v>
      </c>
      <c r="FN27" s="421">
        <f t="shared" si="85"/>
        <v>80</v>
      </c>
      <c r="FO27" s="270">
        <f t="shared" si="86"/>
        <v>40</v>
      </c>
      <c r="FP27" s="427">
        <f t="shared" si="87"/>
        <v>1.6666666666666684E-2</v>
      </c>
      <c r="FQ27" s="421">
        <f t="shared" si="88"/>
        <v>120</v>
      </c>
      <c r="FR27" s="270">
        <f t="shared" si="89"/>
        <v>60</v>
      </c>
      <c r="FS27" s="427">
        <f t="shared" si="90"/>
        <v>1.6666666666666684E-2</v>
      </c>
      <c r="FT27" s="421">
        <f t="shared" si="91"/>
        <v>160</v>
      </c>
      <c r="FU27" s="270">
        <f t="shared" si="92"/>
        <v>80</v>
      </c>
      <c r="FV27" s="427">
        <f t="shared" si="93"/>
        <v>1.6666666666666684E-2</v>
      </c>
      <c r="FW27" s="421">
        <f t="shared" si="94"/>
        <v>200</v>
      </c>
      <c r="FX27" s="270">
        <f t="shared" si="95"/>
        <v>100</v>
      </c>
      <c r="FY27" s="427">
        <f t="shared" si="96"/>
        <v>1.6666666666666684E-2</v>
      </c>
      <c r="GA27" s="431"/>
      <c r="GB27" s="242"/>
      <c r="GF27" s="427"/>
      <c r="GG27" s="421">
        <f>GG11</f>
        <v>1</v>
      </c>
      <c r="GH27" s="270">
        <v>1</v>
      </c>
      <c r="GI27" s="427">
        <f t="shared" si="97"/>
        <v>4.4444444444444481E-7</v>
      </c>
      <c r="GJ27" s="421">
        <f t="shared" si="98"/>
        <v>1</v>
      </c>
      <c r="GK27" s="270">
        <f t="shared" si="99"/>
        <v>1</v>
      </c>
      <c r="GL27" s="427">
        <f t="shared" si="100"/>
        <v>8.8888888888888961E-7</v>
      </c>
      <c r="GM27" s="421">
        <f t="shared" si="101"/>
        <v>1</v>
      </c>
      <c r="GN27" s="270">
        <f t="shared" si="102"/>
        <v>1</v>
      </c>
      <c r="GO27" s="427">
        <f t="shared" si="103"/>
        <v>1.3333333333333345E-6</v>
      </c>
      <c r="GP27" s="421">
        <f t="shared" si="104"/>
        <v>1</v>
      </c>
      <c r="GQ27" s="270">
        <f t="shared" si="105"/>
        <v>1</v>
      </c>
      <c r="GR27" s="427">
        <f t="shared" si="106"/>
        <v>1.7777777777777792E-6</v>
      </c>
      <c r="GS27" s="421">
        <f t="shared" si="107"/>
        <v>1</v>
      </c>
      <c r="GT27" s="270">
        <f t="shared" si="108"/>
        <v>1</v>
      </c>
      <c r="GU27" s="427">
        <f t="shared" si="109"/>
        <v>2.2222222222222242E-6</v>
      </c>
      <c r="GV27" s="421">
        <f t="shared" si="110"/>
        <v>1</v>
      </c>
      <c r="GW27" s="270">
        <f t="shared" si="111"/>
        <v>1</v>
      </c>
      <c r="GX27" s="427">
        <f t="shared" si="112"/>
        <v>4.4444444444444484E-6</v>
      </c>
      <c r="GY27" s="421">
        <f t="shared" si="113"/>
        <v>1</v>
      </c>
      <c r="GZ27" s="270">
        <f t="shared" si="114"/>
        <v>1</v>
      </c>
      <c r="HA27" s="427">
        <f t="shared" si="115"/>
        <v>8.8888888888888968E-6</v>
      </c>
      <c r="HB27" s="421">
        <f t="shared" si="116"/>
        <v>1</v>
      </c>
      <c r="HC27" s="270">
        <f t="shared" si="117"/>
        <v>1</v>
      </c>
      <c r="HD27" s="427">
        <f t="shared" si="118"/>
        <v>1.3333333333333343E-5</v>
      </c>
      <c r="HE27" s="421">
        <f t="shared" si="119"/>
        <v>1</v>
      </c>
      <c r="HF27" s="270">
        <f t="shared" si="120"/>
        <v>1</v>
      </c>
      <c r="HG27" s="427">
        <f t="shared" si="121"/>
        <v>1.7777777777777794E-5</v>
      </c>
      <c r="HH27" s="421">
        <f t="shared" si="122"/>
        <v>1</v>
      </c>
      <c r="HI27" s="270">
        <f t="shared" si="123"/>
        <v>1</v>
      </c>
      <c r="HJ27" s="427">
        <f t="shared" si="124"/>
        <v>2.222222222222224E-5</v>
      </c>
      <c r="HK27" s="421">
        <f t="shared" si="125"/>
        <v>1</v>
      </c>
      <c r="HL27" s="270">
        <f t="shared" si="125"/>
        <v>1</v>
      </c>
      <c r="HM27" s="427">
        <f t="shared" si="126"/>
        <v>4.444444444444448E-5</v>
      </c>
      <c r="HN27" s="421">
        <f t="shared" si="127"/>
        <v>1</v>
      </c>
      <c r="HO27" s="270">
        <f t="shared" si="127"/>
        <v>1</v>
      </c>
      <c r="HP27" s="427">
        <f t="shared" si="128"/>
        <v>8.8888888888888961E-5</v>
      </c>
      <c r="HQ27" s="421">
        <f t="shared" si="129"/>
        <v>1</v>
      </c>
      <c r="HR27" s="270">
        <f t="shared" si="129"/>
        <v>1</v>
      </c>
      <c r="HS27" s="427">
        <f t="shared" si="130"/>
        <v>1.3333333333333345E-4</v>
      </c>
      <c r="HT27" s="421">
        <f t="shared" si="131"/>
        <v>1</v>
      </c>
      <c r="HU27" s="270">
        <f t="shared" si="131"/>
        <v>1</v>
      </c>
      <c r="HV27" s="427">
        <f t="shared" si="132"/>
        <v>1.7777777777777792E-4</v>
      </c>
      <c r="HW27" s="421">
        <f t="shared" si="133"/>
        <v>1</v>
      </c>
      <c r="HX27" s="270">
        <f t="shared" si="133"/>
        <v>1</v>
      </c>
      <c r="HY27" s="427">
        <f t="shared" si="134"/>
        <v>2.222222222222224E-4</v>
      </c>
      <c r="HZ27" s="421">
        <f t="shared" si="135"/>
        <v>1</v>
      </c>
      <c r="IA27" s="270">
        <f t="shared" si="135"/>
        <v>1</v>
      </c>
      <c r="IB27" s="427">
        <f t="shared" si="136"/>
        <v>4.4444444444444479E-4</v>
      </c>
      <c r="IC27" s="421">
        <f t="shared" si="137"/>
        <v>1</v>
      </c>
      <c r="ID27" s="270">
        <f t="shared" si="137"/>
        <v>1</v>
      </c>
      <c r="IE27" s="427">
        <f t="shared" si="138"/>
        <v>8.8888888888888958E-4</v>
      </c>
      <c r="IF27" s="421">
        <f t="shared" si="139"/>
        <v>1</v>
      </c>
      <c r="IG27" s="270">
        <f t="shared" si="139"/>
        <v>1</v>
      </c>
      <c r="IH27" s="427">
        <f t="shared" si="140"/>
        <v>1.3333333333333344E-3</v>
      </c>
      <c r="II27" s="421">
        <f t="shared" si="141"/>
        <v>1</v>
      </c>
      <c r="IJ27" s="270">
        <f t="shared" si="141"/>
        <v>1</v>
      </c>
      <c r="IK27" s="427">
        <f t="shared" si="142"/>
        <v>1.7777777777777792E-3</v>
      </c>
      <c r="IL27" s="421">
        <f t="shared" si="143"/>
        <v>1</v>
      </c>
      <c r="IM27" s="270">
        <f t="shared" si="143"/>
        <v>1</v>
      </c>
      <c r="IN27" s="427">
        <f t="shared" si="144"/>
        <v>2.222222222222224E-3</v>
      </c>
      <c r="IS27" s="447">
        <f t="shared" si="245"/>
        <v>0</v>
      </c>
      <c r="IT27" s="447">
        <f t="shared" si="245"/>
        <v>0</v>
      </c>
      <c r="IU27" s="447">
        <f t="shared" si="245"/>
        <v>0</v>
      </c>
      <c r="IV27" s="447">
        <f t="shared" si="245"/>
        <v>1.6000000000000001E-4</v>
      </c>
      <c r="IW27" s="447">
        <f t="shared" si="245"/>
        <v>2.0000000000000001E-4</v>
      </c>
      <c r="IX27" s="447">
        <f t="shared" si="245"/>
        <v>4.0000000000000002E-4</v>
      </c>
      <c r="IY27" s="447">
        <f t="shared" si="245"/>
        <v>8.0000000000000004E-4</v>
      </c>
      <c r="IZ27" s="447">
        <f t="shared" si="245"/>
        <v>1.1999999999999999E-3</v>
      </c>
      <c r="JA27" s="447">
        <f t="shared" si="245"/>
        <v>1.6000000000000001E-3</v>
      </c>
      <c r="JB27" s="447">
        <f t="shared" si="245"/>
        <v>2E-3</v>
      </c>
      <c r="JC27" s="447">
        <f t="shared" si="246"/>
        <v>4.0000000000000001E-3</v>
      </c>
      <c r="JD27" s="447">
        <f t="shared" si="246"/>
        <v>5.0000000000000001E-3</v>
      </c>
      <c r="JE27" s="447">
        <f t="shared" si="246"/>
        <v>4.9992000000000005E-3</v>
      </c>
      <c r="JF27" s="447">
        <f t="shared" si="246"/>
        <v>4.9984000000000009E-3</v>
      </c>
      <c r="JG27" s="447">
        <f t="shared" si="246"/>
        <v>4.9979999999999998E-3</v>
      </c>
      <c r="JH27" s="447">
        <f t="shared" si="246"/>
        <v>4.9960000000000004E-3</v>
      </c>
      <c r="JI27" s="447">
        <f t="shared" si="246"/>
        <v>4.9920000000000008E-3</v>
      </c>
      <c r="JJ27" s="447">
        <f t="shared" si="246"/>
        <v>4.9920000000000008E-3</v>
      </c>
      <c r="JK27" s="447">
        <f t="shared" si="246"/>
        <v>4.9920000000000008E-3</v>
      </c>
      <c r="JL27" s="447">
        <f t="shared" si="246"/>
        <v>4.9800000000000001E-3</v>
      </c>
      <c r="JQ27" s="455" t="s">
        <v>1659</v>
      </c>
      <c r="JR27" s="456">
        <v>8</v>
      </c>
      <c r="JS27" s="456">
        <f t="shared" si="242"/>
        <v>80000000</v>
      </c>
      <c r="JU27" s="242">
        <f t="shared" si="198"/>
        <v>80000</v>
      </c>
      <c r="JV27" s="242">
        <f t="shared" si="199"/>
        <v>50000</v>
      </c>
      <c r="JW27" s="242">
        <f t="shared" si="216"/>
        <v>0.4</v>
      </c>
      <c r="JX27" s="242">
        <f t="shared" si="200"/>
        <v>100000</v>
      </c>
      <c r="JY27" s="241">
        <f t="shared" si="217"/>
        <v>0.6</v>
      </c>
      <c r="JZ27" s="241">
        <f t="shared" si="218"/>
        <v>80000</v>
      </c>
      <c r="KA27" s="241" t="str">
        <f t="shared" si="219"/>
        <v>期望符合预期</v>
      </c>
      <c r="KC27" s="242">
        <f t="shared" si="201"/>
        <v>160000</v>
      </c>
      <c r="KD27" s="242">
        <f t="shared" si="202"/>
        <v>150000</v>
      </c>
      <c r="KE27" s="242">
        <f t="shared" si="220"/>
        <v>0.8</v>
      </c>
      <c r="KF27" s="242">
        <f t="shared" si="203"/>
        <v>200000</v>
      </c>
      <c r="KG27" s="241">
        <f t="shared" si="221"/>
        <v>0.2</v>
      </c>
      <c r="KH27" s="241">
        <f t="shared" si="222"/>
        <v>160000</v>
      </c>
      <c r="KI27" s="241" t="str">
        <f t="shared" si="223"/>
        <v>期望符合预期</v>
      </c>
      <c r="KK27" s="242">
        <f t="shared" si="204"/>
        <v>240000</v>
      </c>
      <c r="KL27" s="242">
        <f t="shared" si="205"/>
        <v>200000</v>
      </c>
      <c r="KM27" s="242">
        <f t="shared" si="224"/>
        <v>0.2</v>
      </c>
      <c r="KN27" s="242">
        <f t="shared" si="206"/>
        <v>250000</v>
      </c>
      <c r="KO27" s="241">
        <f t="shared" si="225"/>
        <v>0.8</v>
      </c>
      <c r="KP27" s="241">
        <f t="shared" si="226"/>
        <v>240000</v>
      </c>
      <c r="KQ27" s="241" t="str">
        <f t="shared" si="227"/>
        <v>期望符合预期</v>
      </c>
      <c r="KS27" s="242">
        <f t="shared" si="207"/>
        <v>320000</v>
      </c>
      <c r="KT27" s="242">
        <f t="shared" si="208"/>
        <v>300000</v>
      </c>
      <c r="KU27" s="242">
        <f t="shared" si="228"/>
        <v>0.9</v>
      </c>
      <c r="KV27" s="242">
        <f t="shared" si="209"/>
        <v>500000</v>
      </c>
      <c r="KW27" s="241">
        <f t="shared" si="229"/>
        <v>0.1</v>
      </c>
      <c r="KX27" s="241">
        <f t="shared" si="230"/>
        <v>320000</v>
      </c>
      <c r="KY27" s="241" t="str">
        <f t="shared" si="231"/>
        <v>期望符合预期</v>
      </c>
      <c r="LA27" s="242">
        <f t="shared" si="210"/>
        <v>400000</v>
      </c>
      <c r="LB27" s="242">
        <f t="shared" si="211"/>
        <v>300000</v>
      </c>
      <c r="LC27" s="242">
        <f t="shared" si="232"/>
        <v>0.5</v>
      </c>
      <c r="LD27" s="242">
        <f t="shared" si="212"/>
        <v>500000</v>
      </c>
      <c r="LE27" s="241">
        <f t="shared" si="233"/>
        <v>0.5</v>
      </c>
      <c r="LF27" s="241">
        <f t="shared" si="234"/>
        <v>400000</v>
      </c>
      <c r="LG27" s="241" t="str">
        <f t="shared" si="235"/>
        <v>期望符合预期</v>
      </c>
    </row>
    <row r="28" spans="1:319" ht="16.2" x14ac:dyDescent="0.4">
      <c r="A28" s="63">
        <v>23</v>
      </c>
      <c r="B28" s="254" t="s">
        <v>1690</v>
      </c>
      <c r="C28" s="63">
        <v>3</v>
      </c>
      <c r="D28" s="63">
        <v>-1</v>
      </c>
      <c r="E28" s="63">
        <v>30</v>
      </c>
      <c r="F28" s="63" t="s">
        <v>1691</v>
      </c>
      <c r="G28" s="63">
        <f t="shared" si="167"/>
        <v>30</v>
      </c>
      <c r="H28" s="63"/>
      <c r="I28" s="265" t="s">
        <v>1692</v>
      </c>
      <c r="J28" s="63">
        <f t="shared" si="238"/>
        <v>0</v>
      </c>
      <c r="K28" s="63">
        <f t="shared" si="18"/>
        <v>0</v>
      </c>
      <c r="L28" s="63">
        <v>0</v>
      </c>
      <c r="M28" s="266">
        <f>ROUND($BX$7/('全局参数|GlobalPar'!$B$19/10000/E28),6)*(7/5)</f>
        <v>2.0833399999999998E-2</v>
      </c>
      <c r="N28" s="267">
        <v>2</v>
      </c>
      <c r="O28" s="268">
        <f>ROUND(IF(N28&lt;&gt;0,$BX$4/('全局参数|GlobalPar'!$B$19/10000/E28)/N28,0),6)</f>
        <v>0</v>
      </c>
      <c r="P28" s="270">
        <f t="shared" ref="P28:P64" si="386">IF(A28=47,1,ROUND(E28*AA28/$CA$2,6))</f>
        <v>6.0000000000000001E-3</v>
      </c>
      <c r="Q28" s="285">
        <f t="shared" si="20"/>
        <v>0</v>
      </c>
      <c r="R28" s="282">
        <v>9</v>
      </c>
      <c r="S28" s="283">
        <v>1</v>
      </c>
      <c r="T28" s="284" t="str">
        <f t="shared" si="21"/>
        <v>[[9,1],[9,1],[9,1],[9,1],[9,1],[9,1],[9,1],[9,1],[9,1],[9,1],[18,2],[36,4],[54,6],[72,8],[90,10],[180,20],[360,40],[540,60],[720,80],[900,100]]</v>
      </c>
      <c r="U28" s="284">
        <v>1</v>
      </c>
      <c r="V28" s="284">
        <v>1</v>
      </c>
      <c r="W28" s="284" t="str">
        <f t="shared" si="168"/>
        <v>[[1,1],[1,1],[1,1],[1,1],[1,1],[1,1],[1,1],[1,1],[1,1],[1,1],[1,1],[1,1],[1,1],[1,1],[1,1],[1,1],[1,1],[1,1],[1,1],[1,1]]</v>
      </c>
      <c r="X28" s="63">
        <v>0</v>
      </c>
      <c r="Y28" s="305">
        <v>0</v>
      </c>
      <c r="Z28" s="303">
        <f t="shared" si="22"/>
        <v>0</v>
      </c>
      <c r="AA28" s="303">
        <v>0.06</v>
      </c>
      <c r="AB28" s="303">
        <f t="shared" si="169"/>
        <v>0.1</v>
      </c>
      <c r="AC28" s="304">
        <f t="shared" si="213"/>
        <v>0.05</v>
      </c>
      <c r="AD28" s="304">
        <f t="shared" si="213"/>
        <v>0</v>
      </c>
      <c r="AE28" s="304">
        <f t="shared" si="213"/>
        <v>0</v>
      </c>
      <c r="AF28" s="304">
        <f t="shared" si="213"/>
        <v>0</v>
      </c>
      <c r="AG28" s="63" t="str">
        <f t="shared" si="170"/>
        <v>[[2,5],[3,2],[4,1]]</v>
      </c>
      <c r="AH28" s="256" t="str">
        <f t="shared" si="171"/>
        <v>[0.16,0.08,0.053333]</v>
      </c>
      <c r="AI28" s="256">
        <v>0</v>
      </c>
      <c r="AJ28" s="256">
        <v>1</v>
      </c>
      <c r="AK28" s="256">
        <f t="shared" si="243"/>
        <v>1</v>
      </c>
      <c r="AL28" s="256">
        <v>0</v>
      </c>
      <c r="AM28" s="256">
        <f t="shared" si="172"/>
        <v>9</v>
      </c>
      <c r="AN28" s="256" t="s">
        <v>2548</v>
      </c>
      <c r="AO28" s="324">
        <v>10</v>
      </c>
      <c r="AP28" s="63">
        <v>13</v>
      </c>
      <c r="AQ28" s="63">
        <v>0</v>
      </c>
      <c r="AR28" s="63">
        <v>1</v>
      </c>
      <c r="AS28" s="39">
        <v>3</v>
      </c>
      <c r="AT28" s="39">
        <v>1</v>
      </c>
      <c r="AU28" s="63">
        <v>1</v>
      </c>
      <c r="AV28" s="63">
        <f t="shared" si="173"/>
        <v>1</v>
      </c>
      <c r="AW28" s="63">
        <v>1</v>
      </c>
      <c r="AX28" s="63">
        <v>1</v>
      </c>
      <c r="AY28" s="63" t="s">
        <v>1693</v>
      </c>
      <c r="AZ28" s="39"/>
      <c r="BA28" s="39"/>
      <c r="BB28" s="328">
        <v>0.6</v>
      </c>
      <c r="BC28" s="39">
        <v>65</v>
      </c>
      <c r="BD28" s="39">
        <v>0.18</v>
      </c>
      <c r="BE28" s="39">
        <v>1</v>
      </c>
      <c r="BF28" s="39">
        <v>1</v>
      </c>
      <c r="BG28" s="39" t="s">
        <v>1677</v>
      </c>
      <c r="BH28" s="331" t="s">
        <v>1694</v>
      </c>
      <c r="BI28" s="331" t="s">
        <v>1694</v>
      </c>
      <c r="BJ28" s="265" t="s">
        <v>846</v>
      </c>
      <c r="BK28" s="265" t="s">
        <v>280</v>
      </c>
      <c r="BL28" s="265"/>
      <c r="BM28" s="265"/>
      <c r="BN28" s="81">
        <f t="shared" ref="BN28:BN64" si="387">IF(C28&lt;4,MIN($BR$1*$BR$3,BS28*$BR$2),BS28*0.1)</f>
        <v>22.5</v>
      </c>
      <c r="BO28" s="343">
        <f t="shared" si="26"/>
        <v>6.666666666666667</v>
      </c>
      <c r="BP28" s="81" t="s">
        <v>1606</v>
      </c>
      <c r="BQ28" s="81">
        <f t="shared" ref="BQ28:BQ64" si="388">ROUND(IF(AQ28=0,AU28/2/0.67,AU28),3)</f>
        <v>0.746</v>
      </c>
      <c r="BR28" s="81"/>
      <c r="BS28" s="63">
        <f t="shared" si="28"/>
        <v>30</v>
      </c>
      <c r="BT28" s="63">
        <f t="shared" si="29"/>
        <v>31.8</v>
      </c>
      <c r="BV28" s="63">
        <f t="shared" si="30"/>
        <v>0</v>
      </c>
      <c r="BY28" s="359"/>
      <c r="CG28" s="371">
        <f t="shared" si="31"/>
        <v>33</v>
      </c>
      <c r="CH28" s="372">
        <f t="shared" si="214"/>
        <v>0.1</v>
      </c>
      <c r="CI28" s="373">
        <v>2</v>
      </c>
      <c r="CJ28" s="143">
        <v>5</v>
      </c>
      <c r="CK28" s="373">
        <v>3</v>
      </c>
      <c r="CL28" s="143">
        <v>2</v>
      </c>
      <c r="CM28" s="373">
        <v>4</v>
      </c>
      <c r="CN28" s="143">
        <v>1</v>
      </c>
      <c r="CO28" s="143">
        <f t="shared" si="174"/>
        <v>2.5</v>
      </c>
      <c r="CP28" s="143">
        <f t="shared" si="175"/>
        <v>7.5</v>
      </c>
      <c r="CQ28" s="377">
        <f t="shared" si="176"/>
        <v>0.16</v>
      </c>
      <c r="CR28" s="143">
        <f t="shared" si="175"/>
        <v>15</v>
      </c>
      <c r="CS28" s="378">
        <f t="shared" si="177"/>
        <v>0.08</v>
      </c>
      <c r="CT28" s="143">
        <f t="shared" si="175"/>
        <v>22.5</v>
      </c>
      <c r="CU28" s="392">
        <f t="shared" si="178"/>
        <v>5.3332999999999998E-2</v>
      </c>
      <c r="CW28" s="241">
        <v>2E-3</v>
      </c>
      <c r="CX28" s="396">
        <f t="shared" si="215"/>
        <v>0</v>
      </c>
      <c r="CY28" s="270">
        <f t="shared" si="33"/>
        <v>0</v>
      </c>
      <c r="CZ28" s="394">
        <f t="shared" si="34"/>
        <v>0</v>
      </c>
      <c r="DA28" s="394">
        <f t="shared" si="35"/>
        <v>0</v>
      </c>
      <c r="DB28" s="395">
        <f t="shared" si="179"/>
        <v>0</v>
      </c>
      <c r="DC28" s="419">
        <f t="shared" si="36"/>
        <v>0</v>
      </c>
      <c r="DD28" s="394">
        <f t="shared" si="37"/>
        <v>0</v>
      </c>
      <c r="DE28" s="420" t="e">
        <f t="shared" si="38"/>
        <v>#DIV/0!</v>
      </c>
      <c r="DF28" s="421">
        <f t="shared" si="180"/>
        <v>9</v>
      </c>
      <c r="DG28" s="422">
        <f t="shared" si="181"/>
        <v>1</v>
      </c>
      <c r="DH28" s="284"/>
      <c r="DI28" s="282">
        <v>9</v>
      </c>
      <c r="DJ28" s="283">
        <v>1</v>
      </c>
      <c r="DL28" s="431"/>
      <c r="DM28" s="242"/>
      <c r="DQ28" s="427"/>
      <c r="DR28" s="421">
        <v>9</v>
      </c>
      <c r="DS28" s="270">
        <v>1</v>
      </c>
      <c r="DT28" s="427">
        <f t="shared" si="39"/>
        <v>5.5555555555555621E-4</v>
      </c>
      <c r="DU28" s="421">
        <f t="shared" si="40"/>
        <v>9</v>
      </c>
      <c r="DV28" s="270">
        <f t="shared" si="182"/>
        <v>1</v>
      </c>
      <c r="DW28" s="427">
        <f t="shared" si="42"/>
        <v>1.1111111111111124E-3</v>
      </c>
      <c r="DX28" s="421">
        <f t="shared" si="43"/>
        <v>9</v>
      </c>
      <c r="DY28" s="270">
        <f t="shared" si="183"/>
        <v>1</v>
      </c>
      <c r="DZ28" s="427">
        <f t="shared" si="45"/>
        <v>1.6666666666666685E-3</v>
      </c>
      <c r="EA28" s="421">
        <f t="shared" si="184"/>
        <v>9</v>
      </c>
      <c r="EB28" s="270">
        <f t="shared" si="185"/>
        <v>1</v>
      </c>
      <c r="EC28" s="427">
        <f t="shared" si="48"/>
        <v>2.2222222222222248E-3</v>
      </c>
      <c r="ED28" s="421">
        <f t="shared" si="186"/>
        <v>9</v>
      </c>
      <c r="EE28" s="270">
        <f t="shared" si="187"/>
        <v>1</v>
      </c>
      <c r="EF28" s="427">
        <f t="shared" si="51"/>
        <v>2.7777777777777805E-3</v>
      </c>
      <c r="EG28" s="421">
        <f t="shared" si="188"/>
        <v>9</v>
      </c>
      <c r="EH28" s="270">
        <f t="shared" si="189"/>
        <v>1</v>
      </c>
      <c r="EI28" s="427">
        <f t="shared" si="54"/>
        <v>5.555555555555561E-3</v>
      </c>
      <c r="EJ28" s="421">
        <f t="shared" si="190"/>
        <v>9</v>
      </c>
      <c r="EK28" s="270">
        <f t="shared" si="191"/>
        <v>1</v>
      </c>
      <c r="EL28" s="427">
        <f t="shared" si="57"/>
        <v>1.1111111111111122E-2</v>
      </c>
      <c r="EM28" s="421">
        <f t="shared" si="192"/>
        <v>9</v>
      </c>
      <c r="EN28" s="270">
        <f t="shared" si="193"/>
        <v>1</v>
      </c>
      <c r="EO28" s="427">
        <f t="shared" si="60"/>
        <v>1.6666666666666684E-2</v>
      </c>
      <c r="EP28" s="421">
        <f t="shared" si="194"/>
        <v>9</v>
      </c>
      <c r="EQ28" s="270">
        <f t="shared" si="195"/>
        <v>1</v>
      </c>
      <c r="ER28" s="427">
        <f t="shared" si="63"/>
        <v>2.2222222222222244E-2</v>
      </c>
      <c r="ES28" s="421">
        <f t="shared" si="196"/>
        <v>9</v>
      </c>
      <c r="ET28" s="270">
        <f t="shared" si="197"/>
        <v>1</v>
      </c>
      <c r="EU28" s="427">
        <f t="shared" si="66"/>
        <v>2.7777777777777807E-2</v>
      </c>
      <c r="EV28" s="421">
        <f t="shared" si="67"/>
        <v>18</v>
      </c>
      <c r="EW28" s="270">
        <f t="shared" si="68"/>
        <v>2</v>
      </c>
      <c r="EX28" s="427">
        <f t="shared" si="69"/>
        <v>2.7777777777777807E-2</v>
      </c>
      <c r="EY28" s="421">
        <f t="shared" si="70"/>
        <v>36</v>
      </c>
      <c r="EZ28" s="270">
        <f t="shared" si="71"/>
        <v>4</v>
      </c>
      <c r="FA28" s="427">
        <f t="shared" si="72"/>
        <v>2.7777777777777807E-2</v>
      </c>
      <c r="FB28" s="421">
        <f t="shared" si="73"/>
        <v>54</v>
      </c>
      <c r="FC28" s="270">
        <f t="shared" si="74"/>
        <v>6</v>
      </c>
      <c r="FD28" s="427">
        <f t="shared" si="75"/>
        <v>2.7777777777777807E-2</v>
      </c>
      <c r="FE28" s="421">
        <f t="shared" si="76"/>
        <v>72</v>
      </c>
      <c r="FF28" s="270">
        <f t="shared" si="77"/>
        <v>8</v>
      </c>
      <c r="FG28" s="427">
        <f t="shared" si="78"/>
        <v>2.7777777777777807E-2</v>
      </c>
      <c r="FH28" s="421">
        <f t="shared" si="79"/>
        <v>90</v>
      </c>
      <c r="FI28" s="270">
        <f t="shared" si="80"/>
        <v>10</v>
      </c>
      <c r="FJ28" s="427">
        <f t="shared" si="81"/>
        <v>2.7777777777777807E-2</v>
      </c>
      <c r="FK28" s="421">
        <f t="shared" si="82"/>
        <v>180</v>
      </c>
      <c r="FL28" s="270">
        <f t="shared" si="83"/>
        <v>20</v>
      </c>
      <c r="FM28" s="427">
        <f t="shared" si="84"/>
        <v>2.7777777777777807E-2</v>
      </c>
      <c r="FN28" s="421">
        <f t="shared" si="85"/>
        <v>360</v>
      </c>
      <c r="FO28" s="270">
        <f t="shared" si="86"/>
        <v>40</v>
      </c>
      <c r="FP28" s="427">
        <f t="shared" si="87"/>
        <v>2.7777777777777807E-2</v>
      </c>
      <c r="FQ28" s="421">
        <f t="shared" si="88"/>
        <v>540</v>
      </c>
      <c r="FR28" s="270">
        <f t="shared" si="89"/>
        <v>60</v>
      </c>
      <c r="FS28" s="427">
        <f t="shared" si="90"/>
        <v>2.7777777777777807E-2</v>
      </c>
      <c r="FT28" s="421">
        <f t="shared" si="91"/>
        <v>720</v>
      </c>
      <c r="FU28" s="270">
        <f t="shared" si="92"/>
        <v>80</v>
      </c>
      <c r="FV28" s="427">
        <f t="shared" si="93"/>
        <v>2.7777777777777807E-2</v>
      </c>
      <c r="FW28" s="421">
        <f t="shared" si="94"/>
        <v>900</v>
      </c>
      <c r="FX28" s="270">
        <f t="shared" si="95"/>
        <v>100</v>
      </c>
      <c r="FY28" s="427">
        <f t="shared" si="96"/>
        <v>2.7777777777777807E-2</v>
      </c>
      <c r="GA28" s="431"/>
      <c r="GB28" s="242"/>
      <c r="GF28" s="427"/>
      <c r="GG28" s="421">
        <v>1</v>
      </c>
      <c r="GH28" s="270">
        <v>1</v>
      </c>
      <c r="GI28" s="427">
        <f t="shared" si="97"/>
        <v>3.3333333333333359E-6</v>
      </c>
      <c r="GJ28" s="421">
        <f t="shared" si="98"/>
        <v>1</v>
      </c>
      <c r="GK28" s="270">
        <f t="shared" si="99"/>
        <v>1</v>
      </c>
      <c r="GL28" s="427">
        <f t="shared" si="100"/>
        <v>6.6666666666666717E-6</v>
      </c>
      <c r="GM28" s="421">
        <f t="shared" si="101"/>
        <v>1</v>
      </c>
      <c r="GN28" s="270">
        <f t="shared" si="102"/>
        <v>1</v>
      </c>
      <c r="GO28" s="427">
        <f t="shared" si="103"/>
        <v>1.0000000000000008E-5</v>
      </c>
      <c r="GP28" s="421">
        <f t="shared" si="104"/>
        <v>1</v>
      </c>
      <c r="GQ28" s="270">
        <f t="shared" si="105"/>
        <v>1</v>
      </c>
      <c r="GR28" s="427">
        <f t="shared" si="106"/>
        <v>1.3333333333333343E-5</v>
      </c>
      <c r="GS28" s="421">
        <f t="shared" si="107"/>
        <v>1</v>
      </c>
      <c r="GT28" s="270">
        <f t="shared" si="108"/>
        <v>1</v>
      </c>
      <c r="GU28" s="427">
        <f t="shared" si="109"/>
        <v>1.6666666666666681E-5</v>
      </c>
      <c r="GV28" s="421">
        <f t="shared" si="110"/>
        <v>1</v>
      </c>
      <c r="GW28" s="270">
        <f t="shared" si="111"/>
        <v>1</v>
      </c>
      <c r="GX28" s="427">
        <f t="shared" si="112"/>
        <v>3.3333333333333362E-5</v>
      </c>
      <c r="GY28" s="421">
        <f t="shared" si="113"/>
        <v>1</v>
      </c>
      <c r="GZ28" s="270">
        <f t="shared" si="114"/>
        <v>1</v>
      </c>
      <c r="HA28" s="427">
        <f t="shared" si="115"/>
        <v>6.6666666666666724E-5</v>
      </c>
      <c r="HB28" s="421">
        <f t="shared" si="116"/>
        <v>1</v>
      </c>
      <c r="HC28" s="270">
        <f t="shared" si="117"/>
        <v>1</v>
      </c>
      <c r="HD28" s="427">
        <f t="shared" si="118"/>
        <v>1.0000000000000009E-4</v>
      </c>
      <c r="HE28" s="421">
        <f t="shared" si="119"/>
        <v>1</v>
      </c>
      <c r="HF28" s="270">
        <f t="shared" si="120"/>
        <v>1</v>
      </c>
      <c r="HG28" s="427">
        <f t="shared" si="121"/>
        <v>1.3333333333333345E-4</v>
      </c>
      <c r="HH28" s="421">
        <f t="shared" si="122"/>
        <v>1</v>
      </c>
      <c r="HI28" s="270">
        <f t="shared" si="123"/>
        <v>1</v>
      </c>
      <c r="HJ28" s="427">
        <f t="shared" si="124"/>
        <v>1.666666666666668E-4</v>
      </c>
      <c r="HK28" s="421">
        <f t="shared" si="125"/>
        <v>1</v>
      </c>
      <c r="HL28" s="270">
        <f t="shared" si="125"/>
        <v>1</v>
      </c>
      <c r="HM28" s="427">
        <f t="shared" si="126"/>
        <v>3.3333333333333359E-4</v>
      </c>
      <c r="HN28" s="421">
        <f t="shared" si="127"/>
        <v>1</v>
      </c>
      <c r="HO28" s="270">
        <f t="shared" si="127"/>
        <v>1</v>
      </c>
      <c r="HP28" s="427">
        <f t="shared" si="128"/>
        <v>6.6666666666666719E-4</v>
      </c>
      <c r="HQ28" s="421">
        <f t="shared" si="129"/>
        <v>1</v>
      </c>
      <c r="HR28" s="270">
        <f t="shared" si="129"/>
        <v>1</v>
      </c>
      <c r="HS28" s="427">
        <f t="shared" si="130"/>
        <v>1.0000000000000009E-3</v>
      </c>
      <c r="HT28" s="421">
        <f t="shared" si="131"/>
        <v>1</v>
      </c>
      <c r="HU28" s="270">
        <f t="shared" si="131"/>
        <v>1</v>
      </c>
      <c r="HV28" s="427">
        <f t="shared" si="132"/>
        <v>1.3333333333333344E-3</v>
      </c>
      <c r="HW28" s="421">
        <f t="shared" si="133"/>
        <v>1</v>
      </c>
      <c r="HX28" s="270">
        <f t="shared" si="133"/>
        <v>1</v>
      </c>
      <c r="HY28" s="427">
        <f t="shared" si="134"/>
        <v>1.6666666666666681E-3</v>
      </c>
      <c r="HZ28" s="421">
        <f t="shared" si="135"/>
        <v>1</v>
      </c>
      <c r="IA28" s="270">
        <f t="shared" si="135"/>
        <v>1</v>
      </c>
      <c r="IB28" s="427">
        <f t="shared" si="136"/>
        <v>3.3333333333333361E-3</v>
      </c>
      <c r="IC28" s="421">
        <f t="shared" si="137"/>
        <v>1</v>
      </c>
      <c r="ID28" s="270">
        <f t="shared" si="137"/>
        <v>1</v>
      </c>
      <c r="IE28" s="427">
        <f t="shared" si="138"/>
        <v>6.6666666666666723E-3</v>
      </c>
      <c r="IF28" s="421">
        <f t="shared" si="139"/>
        <v>1</v>
      </c>
      <c r="IG28" s="270">
        <f t="shared" si="139"/>
        <v>1</v>
      </c>
      <c r="IH28" s="427">
        <f t="shared" si="140"/>
        <v>1.0000000000000009E-2</v>
      </c>
      <c r="II28" s="421">
        <f t="shared" si="141"/>
        <v>1</v>
      </c>
      <c r="IJ28" s="270">
        <f t="shared" si="141"/>
        <v>1</v>
      </c>
      <c r="IK28" s="427">
        <f t="shared" si="142"/>
        <v>1.3333333333333345E-2</v>
      </c>
      <c r="IL28" s="421">
        <f t="shared" si="143"/>
        <v>1</v>
      </c>
      <c r="IM28" s="270">
        <f t="shared" si="143"/>
        <v>1</v>
      </c>
      <c r="IN28" s="427">
        <f t="shared" si="144"/>
        <v>1.666666666666668E-2</v>
      </c>
      <c r="IS28" s="447">
        <f t="shared" si="245"/>
        <v>0</v>
      </c>
      <c r="IT28" s="447">
        <f t="shared" si="245"/>
        <v>0</v>
      </c>
      <c r="IU28" s="447">
        <f t="shared" si="245"/>
        <v>0</v>
      </c>
      <c r="IV28" s="447">
        <f t="shared" si="245"/>
        <v>1.1999999999999999E-3</v>
      </c>
      <c r="IW28" s="447">
        <f t="shared" si="245"/>
        <v>1.5E-3</v>
      </c>
      <c r="IX28" s="447">
        <f t="shared" si="245"/>
        <v>3.0000000000000001E-3</v>
      </c>
      <c r="IY28" s="447">
        <f t="shared" si="245"/>
        <v>6.0000000000000001E-3</v>
      </c>
      <c r="IZ28" s="447">
        <f t="shared" si="245"/>
        <v>8.9999999999999993E-3</v>
      </c>
      <c r="JA28" s="447">
        <f t="shared" si="245"/>
        <v>1.2E-2</v>
      </c>
      <c r="JB28" s="447">
        <f t="shared" si="245"/>
        <v>1.4999999999999999E-2</v>
      </c>
      <c r="JC28" s="447">
        <f t="shared" si="246"/>
        <v>0.03</v>
      </c>
      <c r="JD28" s="447">
        <f t="shared" si="246"/>
        <v>3.7499999999999999E-2</v>
      </c>
      <c r="JE28" s="447">
        <f t="shared" si="246"/>
        <v>3.7494E-2</v>
      </c>
      <c r="JF28" s="447">
        <f t="shared" si="246"/>
        <v>3.7488000000000007E-2</v>
      </c>
      <c r="JG28" s="447">
        <f t="shared" si="246"/>
        <v>3.7484999999999997E-2</v>
      </c>
      <c r="JH28" s="447">
        <f t="shared" si="246"/>
        <v>3.7470000000000003E-2</v>
      </c>
      <c r="JI28" s="447">
        <f t="shared" si="246"/>
        <v>3.7440000000000008E-2</v>
      </c>
      <c r="JJ28" s="447">
        <f t="shared" si="246"/>
        <v>3.7440000000000008E-2</v>
      </c>
      <c r="JK28" s="447">
        <f t="shared" si="246"/>
        <v>3.7440000000000008E-2</v>
      </c>
      <c r="JL28" s="447">
        <f t="shared" si="246"/>
        <v>3.7350000000000001E-2</v>
      </c>
      <c r="JQ28" s="455" t="s">
        <v>1659</v>
      </c>
      <c r="JR28" s="456">
        <v>9</v>
      </c>
      <c r="JS28" s="456">
        <f t="shared" si="242"/>
        <v>90000000</v>
      </c>
      <c r="JU28" s="242">
        <f t="shared" si="198"/>
        <v>600000</v>
      </c>
      <c r="JV28" s="242">
        <f t="shared" si="199"/>
        <v>500000</v>
      </c>
      <c r="JW28" s="242">
        <f t="shared" si="216"/>
        <v>0.6</v>
      </c>
      <c r="JX28" s="242">
        <f t="shared" si="200"/>
        <v>750000</v>
      </c>
      <c r="JY28" s="241">
        <f t="shared" si="217"/>
        <v>0.4</v>
      </c>
      <c r="JZ28" s="241">
        <f t="shared" si="218"/>
        <v>600000</v>
      </c>
      <c r="KA28" s="241" t="str">
        <f t="shared" si="219"/>
        <v>期望符合预期</v>
      </c>
      <c r="KC28" s="242">
        <f t="shared" si="201"/>
        <v>1200000</v>
      </c>
      <c r="KD28" s="242">
        <f t="shared" si="202"/>
        <v>1000000</v>
      </c>
      <c r="KE28" s="242">
        <f t="shared" si="220"/>
        <v>0.6</v>
      </c>
      <c r="KF28" s="242">
        <f t="shared" si="203"/>
        <v>1500000</v>
      </c>
      <c r="KG28" s="241">
        <f t="shared" si="221"/>
        <v>0.4</v>
      </c>
      <c r="KH28" s="241">
        <f t="shared" si="222"/>
        <v>1200000</v>
      </c>
      <c r="KI28" s="241" t="str">
        <f t="shared" si="223"/>
        <v>期望符合预期</v>
      </c>
      <c r="KK28" s="242">
        <f t="shared" si="204"/>
        <v>1800000</v>
      </c>
      <c r="KL28" s="242">
        <f t="shared" si="205"/>
        <v>1500000</v>
      </c>
      <c r="KM28" s="242">
        <f t="shared" si="224"/>
        <v>0.4</v>
      </c>
      <c r="KN28" s="242">
        <f t="shared" si="206"/>
        <v>2000000</v>
      </c>
      <c r="KO28" s="241">
        <f t="shared" si="225"/>
        <v>0.6</v>
      </c>
      <c r="KP28" s="241">
        <f t="shared" si="226"/>
        <v>1800000</v>
      </c>
      <c r="KQ28" s="241" t="str">
        <f t="shared" si="227"/>
        <v>期望符合预期</v>
      </c>
      <c r="KS28" s="242">
        <f t="shared" si="207"/>
        <v>2400000</v>
      </c>
      <c r="KT28" s="242">
        <f t="shared" si="208"/>
        <v>2000000</v>
      </c>
      <c r="KU28" s="242">
        <f t="shared" si="228"/>
        <v>0.6</v>
      </c>
      <c r="KV28" s="242">
        <f t="shared" si="209"/>
        <v>3000000</v>
      </c>
      <c r="KW28" s="241">
        <f t="shared" si="229"/>
        <v>0.4</v>
      </c>
      <c r="KX28" s="241">
        <f t="shared" si="230"/>
        <v>2400000</v>
      </c>
      <c r="KY28" s="241" t="str">
        <f t="shared" si="231"/>
        <v>期望符合预期</v>
      </c>
      <c r="LA28" s="242">
        <f t="shared" si="210"/>
        <v>3000000</v>
      </c>
      <c r="LB28" s="242">
        <f t="shared" si="211"/>
        <v>3000000</v>
      </c>
      <c r="LC28" s="242">
        <f t="shared" si="232"/>
        <v>1</v>
      </c>
      <c r="LD28" s="242">
        <f t="shared" si="212"/>
        <v>4000000</v>
      </c>
      <c r="LE28" s="241">
        <f t="shared" si="233"/>
        <v>0</v>
      </c>
      <c r="LF28" s="241">
        <f t="shared" si="234"/>
        <v>3000000</v>
      </c>
      <c r="LG28" s="241" t="str">
        <f t="shared" si="235"/>
        <v>期望符合预期</v>
      </c>
    </row>
    <row r="29" spans="1:319" ht="16.2" x14ac:dyDescent="0.4">
      <c r="A29" s="255">
        <v>60</v>
      </c>
      <c r="B29" s="254" t="s">
        <v>1695</v>
      </c>
      <c r="C29" s="63">
        <v>3</v>
      </c>
      <c r="D29" s="63">
        <v>-1</v>
      </c>
      <c r="E29" s="63">
        <v>35</v>
      </c>
      <c r="F29" s="63" t="s">
        <v>1696</v>
      </c>
      <c r="G29" s="63">
        <f t="shared" ref="G29" si="389">E29</f>
        <v>35</v>
      </c>
      <c r="H29" s="63"/>
      <c r="I29" s="265" t="s">
        <v>1697</v>
      </c>
      <c r="J29" s="63">
        <f t="shared" ref="J29" si="390">ROUND(IF(C29=4,E29*10%,0),0)</f>
        <v>0</v>
      </c>
      <c r="K29" s="63">
        <f t="shared" ref="K29" si="391">ROUND(IF(C29=4,E29*2%,0),0)</f>
        <v>0</v>
      </c>
      <c r="L29" s="63">
        <v>0</v>
      </c>
      <c r="M29" s="266">
        <f>ROUND($BX$7/('全局参数|GlobalPar'!$B$19/10000/E29),6)*(7/5)</f>
        <v>2.4305400000000001E-2</v>
      </c>
      <c r="N29" s="267">
        <v>2</v>
      </c>
      <c r="O29" s="268">
        <f>ROUND(IF(N29&lt;&gt;0,$BX$4/('全局参数|GlobalPar'!$B$19/10000/E29)/N29,0),6)</f>
        <v>0</v>
      </c>
      <c r="P29" s="270">
        <f t="shared" ref="P29" si="392">IF(A29=47,1,ROUND(E29*AA29/$CA$2,6))</f>
        <v>7.0000000000000001E-3</v>
      </c>
      <c r="Q29" s="285">
        <f t="shared" ref="Q29" si="393">CX29</f>
        <v>0</v>
      </c>
      <c r="R29" s="282">
        <v>9</v>
      </c>
      <c r="S29" s="283">
        <v>1</v>
      </c>
      <c r="T29" s="284" t="str">
        <f t="shared" ref="T29" si="394">"[["&amp;DR29&amp;","&amp;DS29&amp;"],["&amp;DU29&amp;","&amp;DV29&amp;"],["&amp;DX29&amp;","&amp;DY29&amp;"],["&amp;EA29&amp;","&amp;EB29&amp;"],["&amp;ED29&amp;","&amp;EE29&amp;"],["&amp;EG29&amp;","&amp;EH29&amp;"],["&amp;EJ29&amp;","&amp;EK29&amp;"],["&amp;EM29&amp;","&amp;EN29&amp;"],["&amp;EP29&amp;","&amp;EQ29&amp;"],["&amp;ES29&amp;","&amp;ET29&amp;"],["&amp;EV29&amp;","&amp;EW29&amp;"],["&amp;EY29&amp;","&amp;EZ29&amp;"],["&amp;FB29&amp;","&amp;FC29&amp;"],["&amp;FE29&amp;","&amp;FF29&amp;"],["&amp;FH29&amp;","&amp;FI29&amp;"],["&amp;FK29&amp;","&amp;FL29&amp;"],["&amp;FN29&amp;","&amp;FO29&amp;"],["&amp;FQ29&amp;","&amp;FR29&amp;"],["&amp;FT29&amp;","&amp;FU29&amp;"],["&amp;FW29&amp;","&amp;FX29&amp;"]]"</f>
        <v>[[9,1],[9,1],[9,1],[9,1],[9,1],[9,1],[9,1],[9,1],[9,1],[9,1],[18,2],[36,4],[54,6],[72,8],[90,10],[180,20],[360,40],[540,60],[720,80],[900,100]]</v>
      </c>
      <c r="U29" s="284">
        <v>1</v>
      </c>
      <c r="V29" s="284">
        <v>1</v>
      </c>
      <c r="W29" s="284" t="str">
        <f t="shared" ref="W29" si="395">"[["&amp;GG29&amp;","&amp;GH29&amp;"],["&amp;GJ29&amp;","&amp;GK29&amp;"],["&amp;GM29&amp;","&amp;GN29&amp;"],["&amp;GP29&amp;","&amp;GQ29&amp;"],["&amp;GS29&amp;","&amp;GT29&amp;"],["&amp;GV29&amp;","&amp;GW29&amp;"],["&amp;GY29&amp;","&amp;GZ29&amp;"],["&amp;HB29&amp;","&amp;HC29&amp;"],["&amp;HE29&amp;","&amp;HF29&amp;"],["&amp;HH29&amp;","&amp;HI29&amp;"],["&amp;HK29&amp;","&amp;HL29&amp;"],["&amp;HN29&amp;","&amp;HO29&amp;"],["&amp;HQ29&amp;","&amp;HR29&amp;"],["&amp;HT29&amp;","&amp;HU29&amp;"],["&amp;HW29&amp;","&amp;HX29&amp;"],["&amp;HZ29&amp;","&amp;IA29&amp;"],["&amp;IC29&amp;","&amp;ID29&amp;"],["&amp;IF29&amp;","&amp;IG29&amp;"],["&amp;II29&amp;","&amp;IJ29&amp;"],["&amp;IL29&amp;","&amp;IM29&amp;"]]"</f>
        <v>[[1,1],[1,1],[1,1],[1,1],[1,1],[1,1],[1,1],[1,1],[1,1],[1,1],[1,1],[1,1],[1,1],[1,1],[1,1],[1,1],[1,1],[1,1],[1,1],[1,1]]</v>
      </c>
      <c r="X29" s="63">
        <v>0</v>
      </c>
      <c r="Y29" s="305">
        <v>0</v>
      </c>
      <c r="Z29" s="303">
        <f t="shared" ref="Z29" si="396">(J29+K29)/100</f>
        <v>0</v>
      </c>
      <c r="AA29" s="303">
        <v>0.06</v>
      </c>
      <c r="AB29" s="303">
        <f t="shared" ref="AB29" si="397">CH29</f>
        <v>0.1</v>
      </c>
      <c r="AC29" s="304">
        <f t="shared" si="213"/>
        <v>0.05</v>
      </c>
      <c r="AD29" s="304">
        <f t="shared" si="213"/>
        <v>0</v>
      </c>
      <c r="AE29" s="304">
        <f t="shared" si="213"/>
        <v>0</v>
      </c>
      <c r="AF29" s="304">
        <f t="shared" si="213"/>
        <v>0</v>
      </c>
      <c r="AG29" s="63" t="str">
        <f t="shared" ref="AG29" si="398">"[["&amp;CI29&amp;","&amp;CJ29&amp;"],["&amp;CK29&amp;","&amp;CL29&amp;"],["&amp;CM29&amp;","&amp;CN29&amp;"]]"</f>
        <v>[[2,5],[3,2],[4,1]]</v>
      </c>
      <c r="AH29" s="256" t="str">
        <f t="shared" ref="AH29" si="399">"["&amp;CQ29&amp;","&amp;CS29&amp;","&amp;CU29&amp;"]"</f>
        <v>[0.186667,0.093333,0.062222]</v>
      </c>
      <c r="AI29" s="256">
        <v>0</v>
      </c>
      <c r="AJ29" s="256">
        <v>1</v>
      </c>
      <c r="AK29" s="256">
        <f t="shared" si="243"/>
        <v>1</v>
      </c>
      <c r="AL29" s="256">
        <v>0</v>
      </c>
      <c r="AM29" s="256">
        <f t="shared" si="172"/>
        <v>10.5</v>
      </c>
      <c r="AN29" s="256" t="s">
        <v>2548</v>
      </c>
      <c r="AO29" s="324">
        <v>10</v>
      </c>
      <c r="AP29" s="63">
        <v>13</v>
      </c>
      <c r="AQ29" s="63">
        <v>0</v>
      </c>
      <c r="AR29" s="63">
        <v>1</v>
      </c>
      <c r="AS29" s="39">
        <v>3</v>
      </c>
      <c r="AT29" s="39">
        <v>1</v>
      </c>
      <c r="AU29" s="63">
        <v>1</v>
      </c>
      <c r="AV29" s="259">
        <f t="shared" ref="AV29" si="400">AU29</f>
        <v>1</v>
      </c>
      <c r="AW29" s="63">
        <v>1</v>
      </c>
      <c r="AX29" s="63">
        <v>1</v>
      </c>
      <c r="AY29" s="63" t="s">
        <v>1693</v>
      </c>
      <c r="AZ29" s="39"/>
      <c r="BA29" s="39"/>
      <c r="BB29" s="328">
        <v>0.6</v>
      </c>
      <c r="BC29" s="39">
        <v>65</v>
      </c>
      <c r="BD29" s="39">
        <v>0.18</v>
      </c>
      <c r="BE29" s="39">
        <v>1</v>
      </c>
      <c r="BF29" s="39">
        <v>1</v>
      </c>
      <c r="BG29" s="39" t="s">
        <v>1677</v>
      </c>
      <c r="BH29" s="333" t="s">
        <v>1698</v>
      </c>
      <c r="BI29" s="333" t="s">
        <v>1698</v>
      </c>
      <c r="BJ29" s="265" t="s">
        <v>1699</v>
      </c>
      <c r="BK29" s="265" t="s">
        <v>280</v>
      </c>
      <c r="BL29" s="265"/>
      <c r="BM29" s="265"/>
      <c r="BN29" s="81">
        <f t="shared" ref="BN29" si="401">IF(C29&lt;4,MIN($BR$1*$BR$3,BS29*$BR$2),BS29*0.1)</f>
        <v>26.25</v>
      </c>
      <c r="BO29" s="343">
        <f t="shared" ref="BO29" si="402">IF(BN29=0,0,$BR$1/BN29)</f>
        <v>5.7142857142857144</v>
      </c>
      <c r="BP29" s="81" t="s">
        <v>1606</v>
      </c>
      <c r="BQ29" s="81">
        <f t="shared" ref="BQ29" si="403">ROUND(IF(AQ29=0,AU29/2/0.67,AU29),3)</f>
        <v>0.746</v>
      </c>
      <c r="BR29" s="81"/>
      <c r="BS29" s="63">
        <f t="shared" ref="BS29" si="404">(E29+J29+K29)</f>
        <v>35</v>
      </c>
      <c r="BT29" s="63">
        <f t="shared" ref="BT29" si="405">E29*(1+$CA$1)+J29+K29</f>
        <v>37.1</v>
      </c>
      <c r="BV29" s="63">
        <f t="shared" ref="BV29" si="406">IF(N29&lt;&gt;0,$BX$4/(0.96/BS29)/N29,0)</f>
        <v>0</v>
      </c>
      <c r="BY29" s="359" t="s">
        <v>1700</v>
      </c>
      <c r="CG29" s="371">
        <f t="shared" ref="CG29" si="407">E29*(1+$CJ$1)</f>
        <v>38.5</v>
      </c>
      <c r="CH29" s="372">
        <f t="shared" si="214"/>
        <v>0.1</v>
      </c>
      <c r="CI29" s="373">
        <v>2</v>
      </c>
      <c r="CJ29" s="143">
        <v>5</v>
      </c>
      <c r="CK29" s="373">
        <v>3</v>
      </c>
      <c r="CL29" s="143">
        <v>2</v>
      </c>
      <c r="CM29" s="373">
        <v>4</v>
      </c>
      <c r="CN29" s="143">
        <v>1</v>
      </c>
      <c r="CO29" s="143">
        <f t="shared" ref="CO29" si="408">(CI29*CJ29+CK29*CL29+CM29*CN29)/(CJ29+CL29+CN29)</f>
        <v>2.5</v>
      </c>
      <c r="CP29" s="143">
        <f t="shared" si="175"/>
        <v>7.5</v>
      </c>
      <c r="CQ29" s="377">
        <f t="shared" ref="CQ29" si="409">ROUND(E29*CH29/CP29/CO29,6)</f>
        <v>0.186667</v>
      </c>
      <c r="CR29" s="143">
        <f t="shared" si="175"/>
        <v>15</v>
      </c>
      <c r="CS29" s="378">
        <f t="shared" ref="CS29" si="410">ROUND(E29*CH29/CR29/CO29,6)</f>
        <v>9.3332999999999999E-2</v>
      </c>
      <c r="CT29" s="143">
        <f t="shared" si="175"/>
        <v>22.5</v>
      </c>
      <c r="CU29" s="392">
        <f t="shared" ref="CU29" si="411">ROUND(E29*CH29/CT29/CO29,6)</f>
        <v>6.2222E-2</v>
      </c>
      <c r="CW29" s="241">
        <v>2E-3</v>
      </c>
      <c r="CX29" s="396">
        <f t="shared" si="215"/>
        <v>0</v>
      </c>
      <c r="CY29" s="270">
        <f t="shared" ref="CY29" si="412">E29*CX29</f>
        <v>0</v>
      </c>
      <c r="CZ29" s="394">
        <f t="shared" si="34"/>
        <v>0</v>
      </c>
      <c r="DA29" s="394">
        <f t="shared" ref="DA29" si="413">$CZ29*DA$3/DF29</f>
        <v>0</v>
      </c>
      <c r="DB29" s="395">
        <f t="shared" ref="DB29" si="414">IF(DA29&gt;$DB$3,CX29*$DB$3/DA29,$CX29)</f>
        <v>0</v>
      </c>
      <c r="DC29" s="419">
        <f t="shared" ref="DC29" si="415">$E29*DB29/$CY$2</f>
        <v>0</v>
      </c>
      <c r="DD29" s="394">
        <f t="shared" ref="DD29" si="416">$DC29*DA$3/DF29</f>
        <v>0</v>
      </c>
      <c r="DE29" s="420" t="e">
        <f t="shared" ref="DE29" si="417">1/($CX$2/($E29*(1+DB29))*DD29)</f>
        <v>#DIV/0!</v>
      </c>
      <c r="DF29" s="421">
        <f t="shared" ref="DF29" si="418">IF($DA$3&lt;$DI$2,DI29,DI29*INT($DA$3/$DI$2))</f>
        <v>9</v>
      </c>
      <c r="DG29" s="422">
        <f t="shared" ref="DG29" si="419">IF($DA$3&lt;$DI$2,DJ29,DJ29*INT($DA$3/$DI$2))</f>
        <v>1</v>
      </c>
      <c r="DH29" s="284"/>
      <c r="DI29" s="282">
        <v>9</v>
      </c>
      <c r="DJ29" s="283">
        <v>1</v>
      </c>
      <c r="DL29" s="431"/>
      <c r="DM29" s="242"/>
      <c r="DQ29" s="427"/>
      <c r="DR29" s="421">
        <v>9</v>
      </c>
      <c r="DS29" s="270">
        <v>1</v>
      </c>
      <c r="DT29" s="427">
        <f t="shared" ref="DT29" si="420">IF(DR29=0,0,DR$4*$E29/DR29*$DO$2)</f>
        <v>6.4814814814814878E-4</v>
      </c>
      <c r="DU29" s="421">
        <f t="shared" ref="DU29" si="421">DR29</f>
        <v>9</v>
      </c>
      <c r="DV29" s="270">
        <f t="shared" ref="DV29" si="422">DS29</f>
        <v>1</v>
      </c>
      <c r="DW29" s="427">
        <f t="shared" ref="DW29" si="423">IF(DU29=0,0,DU$4*$E29/DU29*$DO$2)</f>
        <v>1.2962962962962976E-3</v>
      </c>
      <c r="DX29" s="421">
        <f t="shared" ref="DX29" si="424">DU29</f>
        <v>9</v>
      </c>
      <c r="DY29" s="270">
        <f t="shared" ref="DY29" si="425">DV29</f>
        <v>1</v>
      </c>
      <c r="DZ29" s="427">
        <f t="shared" ref="DZ29" si="426">IF(DX29=0,0,DX$4*$E29/DX29*$DO$2)</f>
        <v>1.9444444444444466E-3</v>
      </c>
      <c r="EA29" s="421">
        <f t="shared" ref="EA29" si="427">DX29</f>
        <v>9</v>
      </c>
      <c r="EB29" s="270">
        <f t="shared" ref="EB29" si="428">DY29</f>
        <v>1</v>
      </c>
      <c r="EC29" s="427">
        <f t="shared" ref="EC29" si="429">IF(EA29=0,0,EA$4*$E29/EA29*$DO$2)</f>
        <v>2.5925925925925951E-3</v>
      </c>
      <c r="ED29" s="421">
        <f t="shared" ref="ED29" si="430">EA29</f>
        <v>9</v>
      </c>
      <c r="EE29" s="270">
        <f t="shared" ref="EE29" si="431">EB29</f>
        <v>1</v>
      </c>
      <c r="EF29" s="427">
        <f t="shared" ref="EF29" si="432">IF(ED29=0,0,ED$4*$E29/ED29*$DO$2)</f>
        <v>3.2407407407407446E-3</v>
      </c>
      <c r="EG29" s="421">
        <f t="shared" ref="EG29" si="433">ED29</f>
        <v>9</v>
      </c>
      <c r="EH29" s="270">
        <f t="shared" ref="EH29" si="434">EE29</f>
        <v>1</v>
      </c>
      <c r="EI29" s="427">
        <f t="shared" ref="EI29" si="435">IF(EG29=0,0,EG$4*$E29/EG29*$DO$2)</f>
        <v>6.4814814814814891E-3</v>
      </c>
      <c r="EJ29" s="421">
        <f t="shared" ref="EJ29" si="436">EG29</f>
        <v>9</v>
      </c>
      <c r="EK29" s="270">
        <f t="shared" ref="EK29" si="437">EH29</f>
        <v>1</v>
      </c>
      <c r="EL29" s="427">
        <f t="shared" ref="EL29" si="438">IF(EJ29=0,0,EJ$4*$E29/EJ29*$DO$2)</f>
        <v>1.2962962962962978E-2</v>
      </c>
      <c r="EM29" s="421">
        <f t="shared" ref="EM29" si="439">EJ29</f>
        <v>9</v>
      </c>
      <c r="EN29" s="270">
        <f t="shared" ref="EN29" si="440">EK29</f>
        <v>1</v>
      </c>
      <c r="EO29" s="427">
        <f t="shared" ref="EO29" si="441">IF(EM29=0,0,EM$4*$E29/EM29*$DO$2)</f>
        <v>1.9444444444444466E-2</v>
      </c>
      <c r="EP29" s="421">
        <f t="shared" ref="EP29" si="442">EM29</f>
        <v>9</v>
      </c>
      <c r="EQ29" s="270">
        <f t="shared" ref="EQ29" si="443">EN29</f>
        <v>1</v>
      </c>
      <c r="ER29" s="427">
        <f t="shared" ref="ER29" si="444">IF(EP29=0,0,EP$4*$E29/EP29*$DO$2)</f>
        <v>2.5925925925925956E-2</v>
      </c>
      <c r="ES29" s="421">
        <f t="shared" ref="ES29" si="445">EP29</f>
        <v>9</v>
      </c>
      <c r="ET29" s="270">
        <f t="shared" ref="ET29" si="446">EQ29</f>
        <v>1</v>
      </c>
      <c r="EU29" s="427">
        <f t="shared" ref="EU29" si="447">IF(ES29=0,0,ES$4*$E29/ES29*$DO$2)</f>
        <v>3.240740740740744E-2</v>
      </c>
      <c r="EV29" s="421">
        <f t="shared" si="67"/>
        <v>18</v>
      </c>
      <c r="EW29" s="270">
        <f t="shared" ref="EW29" si="448">$ET29*EV$4/$ES$4</f>
        <v>2</v>
      </c>
      <c r="EX29" s="427">
        <f t="shared" ref="EX29" si="449">IF(EV29=0,0,EV$4*$E29/EV29*$DO$2)</f>
        <v>3.240740740740744E-2</v>
      </c>
      <c r="EY29" s="421">
        <f t="shared" si="70"/>
        <v>36</v>
      </c>
      <c r="EZ29" s="270">
        <f t="shared" ref="EZ29" si="450">$ET29*EY$4/$ES$4</f>
        <v>4</v>
      </c>
      <c r="FA29" s="427">
        <f t="shared" ref="FA29" si="451">IF(EY29=0,0,EY$4*$E29/EY29*$DO$2)</f>
        <v>3.240740740740744E-2</v>
      </c>
      <c r="FB29" s="421">
        <f t="shared" si="73"/>
        <v>54</v>
      </c>
      <c r="FC29" s="270">
        <f t="shared" ref="FC29" si="452">$ET29*FB$4/$ES$4</f>
        <v>6</v>
      </c>
      <c r="FD29" s="427">
        <f t="shared" ref="FD29" si="453">IF(FB29=0,0,FB$4*$E29/FB29*$DO$2)</f>
        <v>3.240740740740744E-2</v>
      </c>
      <c r="FE29" s="421">
        <f t="shared" si="76"/>
        <v>72</v>
      </c>
      <c r="FF29" s="270">
        <f t="shared" ref="FF29" si="454">$ET29*FE$4/$ES$4</f>
        <v>8</v>
      </c>
      <c r="FG29" s="427">
        <f t="shared" ref="FG29" si="455">IF(FE29=0,0,FE$4*$E29/FE29*$DO$2)</f>
        <v>3.240740740740744E-2</v>
      </c>
      <c r="FH29" s="421">
        <f t="shared" si="79"/>
        <v>90</v>
      </c>
      <c r="FI29" s="270">
        <f t="shared" ref="FI29" si="456">$ET29*FH$4/$ES$4</f>
        <v>10</v>
      </c>
      <c r="FJ29" s="427">
        <f t="shared" ref="FJ29" si="457">IF(FH29=0,0,FH$4*$E29/FH29*$DO$2)</f>
        <v>3.240740740740744E-2</v>
      </c>
      <c r="FK29" s="421">
        <f t="shared" si="82"/>
        <v>180</v>
      </c>
      <c r="FL29" s="270">
        <f t="shared" ref="FL29" si="458">$ET29*FK$4/$ES$4</f>
        <v>20</v>
      </c>
      <c r="FM29" s="427">
        <f t="shared" ref="FM29" si="459">IF(FK29=0,0,FK$4*$E29/FK29*$DO$2)</f>
        <v>3.240740740740744E-2</v>
      </c>
      <c r="FN29" s="421">
        <f t="shared" si="85"/>
        <v>360</v>
      </c>
      <c r="FO29" s="270">
        <f t="shared" ref="FO29" si="460">$ET29*FN$4/$ES$4</f>
        <v>40</v>
      </c>
      <c r="FP29" s="427">
        <f t="shared" ref="FP29" si="461">IF(FN29=0,0,FN$4*$E29/FN29*$DO$2)</f>
        <v>3.240740740740744E-2</v>
      </c>
      <c r="FQ29" s="421">
        <f t="shared" si="88"/>
        <v>540</v>
      </c>
      <c r="FR29" s="270">
        <f t="shared" ref="FR29" si="462">$ET29*FQ$4/$ES$4</f>
        <v>60</v>
      </c>
      <c r="FS29" s="427">
        <f t="shared" ref="FS29" si="463">IF(FQ29=0,0,FQ$4*$E29/FQ29*$DO$2)</f>
        <v>3.240740740740744E-2</v>
      </c>
      <c r="FT29" s="421">
        <f t="shared" si="91"/>
        <v>720</v>
      </c>
      <c r="FU29" s="270">
        <f t="shared" ref="FU29" si="464">$ET29*FT$4/$ES$4</f>
        <v>80</v>
      </c>
      <c r="FV29" s="427">
        <f t="shared" ref="FV29" si="465">IF(FT29=0,0,FT$4*$E29/FT29*$DO$2)</f>
        <v>3.240740740740744E-2</v>
      </c>
      <c r="FW29" s="421">
        <f t="shared" si="94"/>
        <v>900</v>
      </c>
      <c r="FX29" s="270">
        <f t="shared" ref="FX29" si="466">$ET29*FW$4/$ES$4</f>
        <v>100</v>
      </c>
      <c r="FY29" s="427">
        <f t="shared" ref="FY29" si="467">IF(FW29=0,0,FW$4*$E29/FW29*$DO$2)</f>
        <v>3.240740740740744E-2</v>
      </c>
      <c r="GA29" s="431"/>
      <c r="GB29" s="242"/>
      <c r="GF29" s="427"/>
      <c r="GG29" s="421">
        <v>1</v>
      </c>
      <c r="GH29" s="270">
        <v>1</v>
      </c>
      <c r="GI29" s="427">
        <f t="shared" ref="GI29" si="468">IF(GG29=0,0,GG$4*$E29/GG29*$GD$2)</f>
        <v>3.8888888888888921E-6</v>
      </c>
      <c r="GJ29" s="421">
        <f t="shared" ref="GJ29" si="469">GG29</f>
        <v>1</v>
      </c>
      <c r="GK29" s="270">
        <f t="shared" ref="GK29" si="470">GH29</f>
        <v>1</v>
      </c>
      <c r="GL29" s="427">
        <f t="shared" ref="GL29" si="471">IF(GJ29=0,0,GJ$4*$E29/GJ29*$GD$2)</f>
        <v>7.7777777777777842E-6</v>
      </c>
      <c r="GM29" s="421">
        <f t="shared" ref="GM29" si="472">GJ29</f>
        <v>1</v>
      </c>
      <c r="GN29" s="270">
        <f t="shared" ref="GN29" si="473">GK29</f>
        <v>1</v>
      </c>
      <c r="GO29" s="427">
        <f t="shared" ref="GO29" si="474">IF(GM29=0,0,GM$4*$E29/GM29*$GD$2)</f>
        <v>1.1666666666666676E-5</v>
      </c>
      <c r="GP29" s="421">
        <f t="shared" ref="GP29" si="475">GM29</f>
        <v>1</v>
      </c>
      <c r="GQ29" s="270">
        <f t="shared" ref="GQ29" si="476">GN29</f>
        <v>1</v>
      </c>
      <c r="GR29" s="427">
        <f t="shared" ref="GR29" si="477">IF(GP29=0,0,GP$4*$E29/GP29*$GD$2)</f>
        <v>1.5555555555555568E-5</v>
      </c>
      <c r="GS29" s="421">
        <f t="shared" ref="GS29" si="478">GP29</f>
        <v>1</v>
      </c>
      <c r="GT29" s="270">
        <f t="shared" ref="GT29" si="479">GQ29</f>
        <v>1</v>
      </c>
      <c r="GU29" s="427">
        <f t="shared" ref="GU29" si="480">IF(GS29=0,0,GS$4*$E29/GS29*$GD$2)</f>
        <v>1.9444444444444459E-5</v>
      </c>
      <c r="GV29" s="421">
        <f t="shared" ref="GV29" si="481">GS29</f>
        <v>1</v>
      </c>
      <c r="GW29" s="270">
        <f t="shared" ref="GW29" si="482">GT29</f>
        <v>1</v>
      </c>
      <c r="GX29" s="427">
        <f t="shared" ref="GX29" si="483">IF(GV29=0,0,GV$4*$E29/GV29*$GD$2)</f>
        <v>3.8888888888888918E-5</v>
      </c>
      <c r="GY29" s="421">
        <f t="shared" ref="GY29" si="484">GV29</f>
        <v>1</v>
      </c>
      <c r="GZ29" s="270">
        <f t="shared" ref="GZ29" si="485">GW29</f>
        <v>1</v>
      </c>
      <c r="HA29" s="427">
        <f t="shared" ref="HA29" si="486">IF(GY29=0,0,GY$4*$E29/GY29*$GD$2)</f>
        <v>7.7777777777777836E-5</v>
      </c>
      <c r="HB29" s="421">
        <f t="shared" ref="HB29" si="487">GY29</f>
        <v>1</v>
      </c>
      <c r="HC29" s="270">
        <f t="shared" ref="HC29" si="488">GZ29</f>
        <v>1</v>
      </c>
      <c r="HD29" s="427">
        <f t="shared" ref="HD29" si="489">IF(HB29=0,0,HB$4*$E29/HB29*$GD$2)</f>
        <v>1.1666666666666676E-4</v>
      </c>
      <c r="HE29" s="421">
        <f t="shared" ref="HE29" si="490">HB29</f>
        <v>1</v>
      </c>
      <c r="HF29" s="270">
        <f t="shared" ref="HF29" si="491">HC29</f>
        <v>1</v>
      </c>
      <c r="HG29" s="427">
        <f t="shared" ref="HG29" si="492">IF(HE29=0,0,HE$4*$E29/HE29*$GD$2)</f>
        <v>1.5555555555555567E-4</v>
      </c>
      <c r="HH29" s="421">
        <f t="shared" ref="HH29" si="493">HE29</f>
        <v>1</v>
      </c>
      <c r="HI29" s="270">
        <f t="shared" ref="HI29" si="494">HF29</f>
        <v>1</v>
      </c>
      <c r="HJ29" s="427">
        <f t="shared" ref="HJ29" si="495">IF(HH29=0,0,HH$4*$E29/HH29*$GD$2)</f>
        <v>1.944444444444446E-4</v>
      </c>
      <c r="HK29" s="421">
        <f t="shared" ref="HK29" si="496">HH29</f>
        <v>1</v>
      </c>
      <c r="HL29" s="270">
        <f t="shared" ref="HL29" si="497">HI29</f>
        <v>1</v>
      </c>
      <c r="HM29" s="427">
        <f t="shared" ref="HM29" si="498">IF(HK29=0,0,HK$4*$E29/HK29*$GD$2)</f>
        <v>3.8888888888888919E-4</v>
      </c>
      <c r="HN29" s="421">
        <f t="shared" ref="HN29" si="499">HK29</f>
        <v>1</v>
      </c>
      <c r="HO29" s="270">
        <f t="shared" ref="HO29" si="500">HL29</f>
        <v>1</v>
      </c>
      <c r="HP29" s="427">
        <f t="shared" ref="HP29" si="501">IF(HN29=0,0,HN$4*$E29/HN29*$GD$2)</f>
        <v>7.7777777777777838E-4</v>
      </c>
      <c r="HQ29" s="421">
        <f t="shared" ref="HQ29" si="502">HN29</f>
        <v>1</v>
      </c>
      <c r="HR29" s="270">
        <f t="shared" ref="HR29" si="503">HO29</f>
        <v>1</v>
      </c>
      <c r="HS29" s="427">
        <f t="shared" ref="HS29" si="504">IF(HQ29=0,0,HQ$4*$E29/HQ29*$GD$2)</f>
        <v>1.1666666666666676E-3</v>
      </c>
      <c r="HT29" s="421">
        <f t="shared" ref="HT29" si="505">HQ29</f>
        <v>1</v>
      </c>
      <c r="HU29" s="270">
        <f t="shared" ref="HU29" si="506">HR29</f>
        <v>1</v>
      </c>
      <c r="HV29" s="427">
        <f t="shared" ref="HV29" si="507">IF(HT29=0,0,HT$4*$E29/HT29*$GD$2)</f>
        <v>1.5555555555555568E-3</v>
      </c>
      <c r="HW29" s="421">
        <f t="shared" ref="HW29" si="508">HT29</f>
        <v>1</v>
      </c>
      <c r="HX29" s="270">
        <f t="shared" ref="HX29" si="509">HU29</f>
        <v>1</v>
      </c>
      <c r="HY29" s="427">
        <f t="shared" ref="HY29" si="510">IF(HW29=0,0,HW$4*$E29/HW29*$GD$2)</f>
        <v>1.9444444444444461E-3</v>
      </c>
      <c r="HZ29" s="421">
        <f t="shared" ref="HZ29" si="511">HW29</f>
        <v>1</v>
      </c>
      <c r="IA29" s="270">
        <f t="shared" ref="IA29" si="512">HX29</f>
        <v>1</v>
      </c>
      <c r="IB29" s="427">
        <f t="shared" ref="IB29" si="513">IF(HZ29=0,0,HZ$4*$E29/HZ29*$GD$2)</f>
        <v>3.8888888888888922E-3</v>
      </c>
      <c r="IC29" s="421">
        <f t="shared" ref="IC29" si="514">HZ29</f>
        <v>1</v>
      </c>
      <c r="ID29" s="270">
        <f t="shared" ref="ID29" si="515">IA29</f>
        <v>1</v>
      </c>
      <c r="IE29" s="427">
        <f t="shared" ref="IE29" si="516">IF(IC29=0,0,IC$4*$E29/IC29*$GD$2)</f>
        <v>7.7777777777777845E-3</v>
      </c>
      <c r="IF29" s="421">
        <f t="shared" ref="IF29" si="517">IC29</f>
        <v>1</v>
      </c>
      <c r="IG29" s="270">
        <f t="shared" ref="IG29" si="518">ID29</f>
        <v>1</v>
      </c>
      <c r="IH29" s="427">
        <f t="shared" ref="IH29" si="519">IF(IF29=0,0,IF$4*$E29/IF29*$GD$2)</f>
        <v>1.1666666666666676E-2</v>
      </c>
      <c r="II29" s="421">
        <f t="shared" ref="II29" si="520">IF29</f>
        <v>1</v>
      </c>
      <c r="IJ29" s="270">
        <f t="shared" ref="IJ29" si="521">IG29</f>
        <v>1</v>
      </c>
      <c r="IK29" s="427">
        <f t="shared" ref="IK29" si="522">IF(II29=0,0,II$4*$E29/II29*$GD$2)</f>
        <v>1.5555555555555569E-2</v>
      </c>
      <c r="IL29" s="421">
        <f t="shared" ref="IL29" si="523">II29</f>
        <v>1</v>
      </c>
      <c r="IM29" s="270">
        <f t="shared" ref="IM29" si="524">IJ29</f>
        <v>1</v>
      </c>
      <c r="IN29" s="427">
        <f t="shared" ref="IN29" si="525">IF(IL29=0,0,IL$4*$E29/IL29*$GD$2)</f>
        <v>1.9444444444444459E-2</v>
      </c>
      <c r="IS29" s="447">
        <f t="shared" si="245"/>
        <v>0</v>
      </c>
      <c r="IT29" s="447">
        <f t="shared" si="245"/>
        <v>0</v>
      </c>
      <c r="IU29" s="447">
        <f t="shared" si="245"/>
        <v>0</v>
      </c>
      <c r="IV29" s="447">
        <f t="shared" si="245"/>
        <v>1.4E-3</v>
      </c>
      <c r="IW29" s="447">
        <f t="shared" si="245"/>
        <v>1.75E-3</v>
      </c>
      <c r="IX29" s="447">
        <f t="shared" si="245"/>
        <v>3.5000000000000001E-3</v>
      </c>
      <c r="IY29" s="447">
        <f t="shared" si="245"/>
        <v>7.0000000000000001E-3</v>
      </c>
      <c r="IZ29" s="447">
        <f t="shared" si="245"/>
        <v>1.0500000000000001E-2</v>
      </c>
      <c r="JA29" s="447">
        <f t="shared" si="245"/>
        <v>1.4E-2</v>
      </c>
      <c r="JB29" s="447">
        <f t="shared" si="245"/>
        <v>1.7500000000000002E-2</v>
      </c>
      <c r="JC29" s="447">
        <f t="shared" si="246"/>
        <v>3.5000000000000003E-2</v>
      </c>
      <c r="JD29" s="447">
        <f t="shared" si="246"/>
        <v>4.3749999999999997E-2</v>
      </c>
      <c r="JE29" s="447">
        <f t="shared" si="246"/>
        <v>4.3743000000000004E-2</v>
      </c>
      <c r="JF29" s="447">
        <f t="shared" si="246"/>
        <v>4.3736000000000004E-2</v>
      </c>
      <c r="JG29" s="447">
        <f t="shared" si="246"/>
        <v>4.3732500000000001E-2</v>
      </c>
      <c r="JH29" s="447">
        <f t="shared" si="246"/>
        <v>4.3714999999999997E-2</v>
      </c>
      <c r="JI29" s="447">
        <f t="shared" si="246"/>
        <v>4.368000000000001E-2</v>
      </c>
      <c r="JJ29" s="447">
        <f t="shared" si="246"/>
        <v>4.3679999999999997E-2</v>
      </c>
      <c r="JK29" s="447">
        <f t="shared" si="246"/>
        <v>4.368000000000001E-2</v>
      </c>
      <c r="JL29" s="447">
        <f t="shared" si="246"/>
        <v>4.3575000000000003E-2</v>
      </c>
      <c r="JQ29" s="455" t="s">
        <v>1659</v>
      </c>
      <c r="JR29" s="456">
        <v>10</v>
      </c>
      <c r="JS29" s="456">
        <f t="shared" si="242"/>
        <v>100000000</v>
      </c>
      <c r="JU29" s="242">
        <f t="shared" si="198"/>
        <v>700000</v>
      </c>
      <c r="JV29" s="242">
        <f t="shared" si="199"/>
        <v>500000</v>
      </c>
      <c r="JW29" s="242">
        <f t="shared" si="216"/>
        <v>0.2</v>
      </c>
      <c r="JX29" s="242">
        <f t="shared" si="200"/>
        <v>750000</v>
      </c>
      <c r="JY29" s="241">
        <f t="shared" si="217"/>
        <v>0.8</v>
      </c>
      <c r="JZ29" s="241">
        <f t="shared" si="218"/>
        <v>700000</v>
      </c>
      <c r="KA29" s="241" t="str">
        <f t="shared" si="219"/>
        <v>期望符合预期</v>
      </c>
      <c r="KC29" s="242">
        <f t="shared" si="201"/>
        <v>1400000</v>
      </c>
      <c r="KD29" s="242">
        <f t="shared" si="202"/>
        <v>1000000</v>
      </c>
      <c r="KE29" s="242">
        <f t="shared" si="220"/>
        <v>0.2</v>
      </c>
      <c r="KF29" s="242">
        <f t="shared" si="203"/>
        <v>1500000</v>
      </c>
      <c r="KG29" s="241">
        <f t="shared" si="221"/>
        <v>0.8</v>
      </c>
      <c r="KH29" s="241">
        <f t="shared" si="222"/>
        <v>1400000</v>
      </c>
      <c r="KI29" s="241" t="str">
        <f t="shared" si="223"/>
        <v>期望符合预期</v>
      </c>
      <c r="KK29" s="242">
        <f t="shared" si="204"/>
        <v>2100000</v>
      </c>
      <c r="KL29" s="242">
        <f t="shared" si="205"/>
        <v>2000000</v>
      </c>
      <c r="KM29" s="242">
        <f t="shared" si="224"/>
        <v>0.9</v>
      </c>
      <c r="KN29" s="242">
        <f t="shared" si="206"/>
        <v>3000000</v>
      </c>
      <c r="KO29" s="241">
        <f t="shared" si="225"/>
        <v>0.1</v>
      </c>
      <c r="KP29" s="241">
        <f t="shared" si="226"/>
        <v>2100000</v>
      </c>
      <c r="KQ29" s="241" t="str">
        <f t="shared" si="227"/>
        <v>期望符合预期</v>
      </c>
      <c r="KS29" s="242">
        <f t="shared" si="207"/>
        <v>2800000</v>
      </c>
      <c r="KT29" s="242">
        <f t="shared" si="208"/>
        <v>2000000</v>
      </c>
      <c r="KU29" s="242">
        <f t="shared" si="228"/>
        <v>0.2</v>
      </c>
      <c r="KV29" s="242">
        <f t="shared" si="209"/>
        <v>3000000</v>
      </c>
      <c r="KW29" s="241">
        <f t="shared" si="229"/>
        <v>0.8</v>
      </c>
      <c r="KX29" s="241">
        <f t="shared" si="230"/>
        <v>2800000</v>
      </c>
      <c r="KY29" s="241" t="str">
        <f t="shared" si="231"/>
        <v>期望符合预期</v>
      </c>
      <c r="LA29" s="242">
        <f t="shared" si="210"/>
        <v>3500000</v>
      </c>
      <c r="LB29" s="242">
        <f t="shared" si="211"/>
        <v>3000000</v>
      </c>
      <c r="LC29" s="242">
        <f t="shared" si="232"/>
        <v>0.5</v>
      </c>
      <c r="LD29" s="242">
        <f t="shared" si="212"/>
        <v>4000000</v>
      </c>
      <c r="LE29" s="241">
        <f t="shared" si="233"/>
        <v>0.5</v>
      </c>
      <c r="LF29" s="241">
        <f t="shared" si="234"/>
        <v>3500000</v>
      </c>
      <c r="LG29" s="241" t="str">
        <f t="shared" si="235"/>
        <v>期望符合预期</v>
      </c>
    </row>
    <row r="30" spans="1:319" ht="16.2" x14ac:dyDescent="0.4">
      <c r="A30" s="63">
        <v>24</v>
      </c>
      <c r="B30" s="254" t="s">
        <v>1701</v>
      </c>
      <c r="C30" s="63">
        <v>3</v>
      </c>
      <c r="D30" s="63">
        <v>-1</v>
      </c>
      <c r="E30" s="63">
        <v>35</v>
      </c>
      <c r="F30" s="63" t="s">
        <v>1696</v>
      </c>
      <c r="G30" s="63">
        <f t="shared" si="167"/>
        <v>35</v>
      </c>
      <c r="H30" s="63"/>
      <c r="I30" s="265" t="s">
        <v>1697</v>
      </c>
      <c r="J30" s="63">
        <f t="shared" si="238"/>
        <v>0</v>
      </c>
      <c r="K30" s="63">
        <f t="shared" si="18"/>
        <v>0</v>
      </c>
      <c r="L30" s="63">
        <v>0</v>
      </c>
      <c r="M30" s="266">
        <f>ROUND($BX$7/('全局参数|GlobalPar'!$B$19/10000/E30),6)*(7/5)</f>
        <v>2.4305400000000001E-2</v>
      </c>
      <c r="N30" s="267">
        <v>2</v>
      </c>
      <c r="O30" s="268">
        <f>ROUND(IF(N30&lt;&gt;0,$BX$4/('全局参数|GlobalPar'!$B$19/10000/E30)/N30,0),6)</f>
        <v>0</v>
      </c>
      <c r="P30" s="270">
        <f t="shared" si="386"/>
        <v>7.0000000000000001E-3</v>
      </c>
      <c r="Q30" s="285">
        <f t="shared" si="20"/>
        <v>0</v>
      </c>
      <c r="R30" s="282">
        <v>10</v>
      </c>
      <c r="S30" s="283">
        <v>1</v>
      </c>
      <c r="T30" s="284" t="str">
        <f t="shared" si="21"/>
        <v>[[10,1],[10,1],[10,1],[10,1],[10,1],[10,1],[10,1],[10,1],[10,1],[10,1],[20,2],[40,4],[60,6],[80,8],[100,10],[200,20],[400,40],[600,60],[800,80],[1000,100]]</v>
      </c>
      <c r="U30" s="284">
        <v>1</v>
      </c>
      <c r="V30" s="284">
        <v>1</v>
      </c>
      <c r="W30" s="284" t="str">
        <f t="shared" si="168"/>
        <v>[[1,1],[1,1],[1,1],[1,1],[1,1],[1,1],[1,1],[1,1],[1,1],[1,1],[1,1],[1,1],[1,1],[1,1],[1,1],[1,1],[1,1],[1,1],[1,1],[1,1]]</v>
      </c>
      <c r="X30" s="63">
        <v>0</v>
      </c>
      <c r="Y30" s="305">
        <v>0</v>
      </c>
      <c r="Z30" s="303">
        <f t="shared" si="22"/>
        <v>0</v>
      </c>
      <c r="AA30" s="303">
        <v>0.06</v>
      </c>
      <c r="AB30" s="303">
        <f t="shared" si="169"/>
        <v>0.1</v>
      </c>
      <c r="AC30" s="304">
        <f>AC28</f>
        <v>0.05</v>
      </c>
      <c r="AD30" s="304">
        <f>AD28</f>
        <v>0</v>
      </c>
      <c r="AE30" s="304">
        <f>AE28</f>
        <v>0</v>
      </c>
      <c r="AF30" s="304">
        <f>AF28</f>
        <v>0</v>
      </c>
      <c r="AG30" s="63" t="str">
        <f t="shared" si="170"/>
        <v>[[2,5],[3,2],[4,1]]</v>
      </c>
      <c r="AH30" s="256" t="str">
        <f t="shared" si="171"/>
        <v>[0.186667,0.093333,0.062222]</v>
      </c>
      <c r="AI30" s="256">
        <v>0</v>
      </c>
      <c r="AJ30" s="256">
        <v>1</v>
      </c>
      <c r="AK30" s="256">
        <f t="shared" si="243"/>
        <v>1</v>
      </c>
      <c r="AL30" s="256">
        <v>0</v>
      </c>
      <c r="AM30" s="256">
        <f t="shared" si="172"/>
        <v>10.5</v>
      </c>
      <c r="AN30" s="256" t="s">
        <v>2548</v>
      </c>
      <c r="AO30" s="324">
        <v>10</v>
      </c>
      <c r="AP30" s="63">
        <v>13</v>
      </c>
      <c r="AQ30" s="63">
        <v>0</v>
      </c>
      <c r="AR30" s="39">
        <v>1</v>
      </c>
      <c r="AS30" s="39">
        <v>3</v>
      </c>
      <c r="AT30" s="39">
        <v>0</v>
      </c>
      <c r="AU30" s="63">
        <v>1</v>
      </c>
      <c r="AV30" s="63">
        <f t="shared" si="173"/>
        <v>1</v>
      </c>
      <c r="AW30" s="63">
        <v>1</v>
      </c>
      <c r="AX30" s="63">
        <v>1</v>
      </c>
      <c r="AY30" s="63" t="s">
        <v>1693</v>
      </c>
      <c r="AZ30" s="39"/>
      <c r="BA30" s="39"/>
      <c r="BB30" s="328">
        <v>0.6</v>
      </c>
      <c r="BC30" s="39">
        <v>70</v>
      </c>
      <c r="BD30" s="39">
        <v>0.18</v>
      </c>
      <c r="BE30" s="39">
        <v>0.8</v>
      </c>
      <c r="BF30" s="39">
        <v>1</v>
      </c>
      <c r="BG30" s="39" t="s">
        <v>1677</v>
      </c>
      <c r="BH30" s="332" t="s">
        <v>1702</v>
      </c>
      <c r="BI30" s="332" t="s">
        <v>1702</v>
      </c>
      <c r="BJ30" s="265" t="s">
        <v>1703</v>
      </c>
      <c r="BK30" s="265" t="s">
        <v>280</v>
      </c>
      <c r="BL30" s="265"/>
      <c r="BM30" s="265"/>
      <c r="BN30" s="81">
        <f t="shared" si="387"/>
        <v>26.25</v>
      </c>
      <c r="BO30" s="343">
        <f t="shared" si="26"/>
        <v>5.7142857142857144</v>
      </c>
      <c r="BP30" s="81" t="s">
        <v>1606</v>
      </c>
      <c r="BQ30" s="81">
        <f t="shared" si="388"/>
        <v>0.746</v>
      </c>
      <c r="BR30" s="81"/>
      <c r="BS30" s="63">
        <f t="shared" si="28"/>
        <v>35</v>
      </c>
      <c r="BT30" s="63">
        <f t="shared" si="29"/>
        <v>37.1</v>
      </c>
      <c r="BV30" s="63">
        <f t="shared" si="30"/>
        <v>0</v>
      </c>
      <c r="BX30" s="772" t="s">
        <v>1704</v>
      </c>
      <c r="BY30" s="773"/>
      <c r="BZ30" s="774" t="s">
        <v>1705</v>
      </c>
      <c r="CA30" s="774"/>
      <c r="CB30" s="775" t="s">
        <v>1706</v>
      </c>
      <c r="CC30" s="775"/>
      <c r="CG30" s="371">
        <f t="shared" si="31"/>
        <v>38.5</v>
      </c>
      <c r="CH30" s="372">
        <f>CH28</f>
        <v>0.1</v>
      </c>
      <c r="CI30" s="373">
        <v>2</v>
      </c>
      <c r="CJ30" s="143">
        <v>5</v>
      </c>
      <c r="CK30" s="373">
        <v>3</v>
      </c>
      <c r="CL30" s="143">
        <v>2</v>
      </c>
      <c r="CM30" s="373">
        <v>4</v>
      </c>
      <c r="CN30" s="143">
        <v>1</v>
      </c>
      <c r="CO30" s="143">
        <f t="shared" si="174"/>
        <v>2.5</v>
      </c>
      <c r="CP30" s="143">
        <f t="shared" si="175"/>
        <v>7.5</v>
      </c>
      <c r="CQ30" s="377">
        <f t="shared" si="176"/>
        <v>0.186667</v>
      </c>
      <c r="CR30" s="143">
        <f t="shared" si="175"/>
        <v>15</v>
      </c>
      <c r="CS30" s="378">
        <f t="shared" si="177"/>
        <v>9.3332999999999999E-2</v>
      </c>
      <c r="CT30" s="143">
        <f t="shared" si="175"/>
        <v>22.5</v>
      </c>
      <c r="CU30" s="392">
        <f t="shared" si="178"/>
        <v>6.2222E-2</v>
      </c>
      <c r="CW30" s="241">
        <v>2E-3</v>
      </c>
      <c r="CX30" s="396">
        <f>CX28</f>
        <v>0</v>
      </c>
      <c r="CY30" s="270">
        <f t="shared" si="33"/>
        <v>0</v>
      </c>
      <c r="CZ30" s="394">
        <f t="shared" si="34"/>
        <v>0</v>
      </c>
      <c r="DA30" s="394">
        <f t="shared" si="35"/>
        <v>0</v>
      </c>
      <c r="DB30" s="395">
        <f t="shared" si="179"/>
        <v>0</v>
      </c>
      <c r="DC30" s="419">
        <f t="shared" si="36"/>
        <v>0</v>
      </c>
      <c r="DD30" s="394">
        <f t="shared" si="37"/>
        <v>0</v>
      </c>
      <c r="DE30" s="420" t="e">
        <f t="shared" si="38"/>
        <v>#DIV/0!</v>
      </c>
      <c r="DF30" s="421">
        <f t="shared" si="180"/>
        <v>10</v>
      </c>
      <c r="DG30" s="422">
        <f t="shared" si="181"/>
        <v>1</v>
      </c>
      <c r="DH30" s="284"/>
      <c r="DI30" s="282">
        <v>10</v>
      </c>
      <c r="DJ30" s="283">
        <v>1</v>
      </c>
      <c r="DL30" s="431"/>
      <c r="DM30" s="242"/>
      <c r="DQ30" s="427"/>
      <c r="DR30" s="421">
        <v>10</v>
      </c>
      <c r="DS30" s="270">
        <v>1</v>
      </c>
      <c r="DT30" s="427">
        <f t="shared" si="39"/>
        <v>5.8333333333333392E-4</v>
      </c>
      <c r="DU30" s="421">
        <f t="shared" si="40"/>
        <v>10</v>
      </c>
      <c r="DV30" s="270">
        <f t="shared" si="182"/>
        <v>1</v>
      </c>
      <c r="DW30" s="427">
        <f t="shared" si="42"/>
        <v>1.1666666666666678E-3</v>
      </c>
      <c r="DX30" s="421">
        <f t="shared" si="43"/>
        <v>10</v>
      </c>
      <c r="DY30" s="270">
        <f t="shared" si="183"/>
        <v>1</v>
      </c>
      <c r="DZ30" s="427">
        <f t="shared" si="45"/>
        <v>1.7500000000000018E-3</v>
      </c>
      <c r="EA30" s="421">
        <f t="shared" si="184"/>
        <v>10</v>
      </c>
      <c r="EB30" s="270">
        <f t="shared" si="185"/>
        <v>1</v>
      </c>
      <c r="EC30" s="427">
        <f t="shared" si="48"/>
        <v>2.3333333333333357E-3</v>
      </c>
      <c r="ED30" s="421">
        <f t="shared" si="186"/>
        <v>10</v>
      </c>
      <c r="EE30" s="270">
        <f t="shared" si="187"/>
        <v>1</v>
      </c>
      <c r="EF30" s="427">
        <f t="shared" si="51"/>
        <v>2.9166666666666698E-3</v>
      </c>
      <c r="EG30" s="421">
        <f t="shared" si="188"/>
        <v>10</v>
      </c>
      <c r="EH30" s="270">
        <f t="shared" si="189"/>
        <v>1</v>
      </c>
      <c r="EI30" s="427">
        <f t="shared" si="54"/>
        <v>5.8333333333333397E-3</v>
      </c>
      <c r="EJ30" s="421">
        <f t="shared" si="190"/>
        <v>10</v>
      </c>
      <c r="EK30" s="270">
        <f t="shared" si="191"/>
        <v>1</v>
      </c>
      <c r="EL30" s="427">
        <f t="shared" si="57"/>
        <v>1.1666666666666679E-2</v>
      </c>
      <c r="EM30" s="421">
        <f t="shared" si="192"/>
        <v>10</v>
      </c>
      <c r="EN30" s="270">
        <f t="shared" si="193"/>
        <v>1</v>
      </c>
      <c r="EO30" s="427">
        <f t="shared" si="60"/>
        <v>1.7500000000000019E-2</v>
      </c>
      <c r="EP30" s="421">
        <f t="shared" si="194"/>
        <v>10</v>
      </c>
      <c r="EQ30" s="270">
        <f t="shared" si="195"/>
        <v>1</v>
      </c>
      <c r="ER30" s="427">
        <f t="shared" si="63"/>
        <v>2.3333333333333359E-2</v>
      </c>
      <c r="ES30" s="421">
        <f t="shared" si="196"/>
        <v>10</v>
      </c>
      <c r="ET30" s="270">
        <f t="shared" si="197"/>
        <v>1</v>
      </c>
      <c r="EU30" s="427">
        <f t="shared" si="66"/>
        <v>2.9166666666666698E-2</v>
      </c>
      <c r="EV30" s="421">
        <f t="shared" si="67"/>
        <v>20</v>
      </c>
      <c r="EW30" s="270">
        <f t="shared" si="68"/>
        <v>2</v>
      </c>
      <c r="EX30" s="427">
        <f t="shared" si="69"/>
        <v>2.9166666666666698E-2</v>
      </c>
      <c r="EY30" s="421">
        <f t="shared" si="70"/>
        <v>40</v>
      </c>
      <c r="EZ30" s="270">
        <f t="shared" si="71"/>
        <v>4</v>
      </c>
      <c r="FA30" s="427">
        <f t="shared" si="72"/>
        <v>2.9166666666666698E-2</v>
      </c>
      <c r="FB30" s="421">
        <f t="shared" si="73"/>
        <v>60</v>
      </c>
      <c r="FC30" s="270">
        <f t="shared" si="74"/>
        <v>6</v>
      </c>
      <c r="FD30" s="427">
        <f t="shared" si="75"/>
        <v>2.9166666666666698E-2</v>
      </c>
      <c r="FE30" s="421">
        <f t="shared" si="76"/>
        <v>80</v>
      </c>
      <c r="FF30" s="270">
        <f t="shared" si="77"/>
        <v>8</v>
      </c>
      <c r="FG30" s="427">
        <f t="shared" si="78"/>
        <v>2.9166666666666698E-2</v>
      </c>
      <c r="FH30" s="421">
        <f t="shared" si="79"/>
        <v>100</v>
      </c>
      <c r="FI30" s="270">
        <f t="shared" si="80"/>
        <v>10</v>
      </c>
      <c r="FJ30" s="427">
        <f t="shared" si="81"/>
        <v>2.9166666666666698E-2</v>
      </c>
      <c r="FK30" s="421">
        <f t="shared" si="82"/>
        <v>200</v>
      </c>
      <c r="FL30" s="270">
        <f t="shared" si="83"/>
        <v>20</v>
      </c>
      <c r="FM30" s="427">
        <f t="shared" si="84"/>
        <v>2.9166666666666698E-2</v>
      </c>
      <c r="FN30" s="421">
        <f t="shared" si="85"/>
        <v>400</v>
      </c>
      <c r="FO30" s="270">
        <f t="shared" si="86"/>
        <v>40</v>
      </c>
      <c r="FP30" s="427">
        <f t="shared" si="87"/>
        <v>2.9166666666666698E-2</v>
      </c>
      <c r="FQ30" s="421">
        <f t="shared" si="88"/>
        <v>600</v>
      </c>
      <c r="FR30" s="270">
        <f t="shared" si="89"/>
        <v>60</v>
      </c>
      <c r="FS30" s="427">
        <f t="shared" si="90"/>
        <v>2.9166666666666698E-2</v>
      </c>
      <c r="FT30" s="421">
        <f t="shared" si="91"/>
        <v>800</v>
      </c>
      <c r="FU30" s="270">
        <f t="shared" si="92"/>
        <v>80</v>
      </c>
      <c r="FV30" s="427">
        <f t="shared" si="93"/>
        <v>2.9166666666666698E-2</v>
      </c>
      <c r="FW30" s="421">
        <f t="shared" si="94"/>
        <v>1000</v>
      </c>
      <c r="FX30" s="270">
        <f t="shared" si="95"/>
        <v>100</v>
      </c>
      <c r="FY30" s="427">
        <f t="shared" si="96"/>
        <v>2.9166666666666698E-2</v>
      </c>
      <c r="GA30" s="431"/>
      <c r="GB30" s="242"/>
      <c r="GF30" s="427"/>
      <c r="GG30" s="421">
        <v>1</v>
      </c>
      <c r="GH30" s="270">
        <v>1</v>
      </c>
      <c r="GI30" s="427">
        <f t="shared" si="97"/>
        <v>3.8888888888888921E-6</v>
      </c>
      <c r="GJ30" s="421">
        <f t="shared" si="98"/>
        <v>1</v>
      </c>
      <c r="GK30" s="270">
        <f t="shared" si="99"/>
        <v>1</v>
      </c>
      <c r="GL30" s="427">
        <f t="shared" si="100"/>
        <v>7.7777777777777842E-6</v>
      </c>
      <c r="GM30" s="421">
        <f t="shared" si="101"/>
        <v>1</v>
      </c>
      <c r="GN30" s="270">
        <f t="shared" si="102"/>
        <v>1</v>
      </c>
      <c r="GO30" s="427">
        <f t="shared" si="103"/>
        <v>1.1666666666666676E-5</v>
      </c>
      <c r="GP30" s="421">
        <f t="shared" si="104"/>
        <v>1</v>
      </c>
      <c r="GQ30" s="270">
        <f t="shared" si="105"/>
        <v>1</v>
      </c>
      <c r="GR30" s="427">
        <f t="shared" si="106"/>
        <v>1.5555555555555568E-5</v>
      </c>
      <c r="GS30" s="421">
        <f t="shared" si="107"/>
        <v>1</v>
      </c>
      <c r="GT30" s="270">
        <f t="shared" si="108"/>
        <v>1</v>
      </c>
      <c r="GU30" s="427">
        <f t="shared" si="109"/>
        <v>1.9444444444444459E-5</v>
      </c>
      <c r="GV30" s="421">
        <f t="shared" si="110"/>
        <v>1</v>
      </c>
      <c r="GW30" s="270">
        <f t="shared" si="111"/>
        <v>1</v>
      </c>
      <c r="GX30" s="427">
        <f t="shared" si="112"/>
        <v>3.8888888888888918E-5</v>
      </c>
      <c r="GY30" s="421">
        <f t="shared" si="113"/>
        <v>1</v>
      </c>
      <c r="GZ30" s="270">
        <f t="shared" si="114"/>
        <v>1</v>
      </c>
      <c r="HA30" s="427">
        <f t="shared" si="115"/>
        <v>7.7777777777777836E-5</v>
      </c>
      <c r="HB30" s="421">
        <f t="shared" si="116"/>
        <v>1</v>
      </c>
      <c r="HC30" s="270">
        <f t="shared" si="117"/>
        <v>1</v>
      </c>
      <c r="HD30" s="427">
        <f t="shared" si="118"/>
        <v>1.1666666666666676E-4</v>
      </c>
      <c r="HE30" s="421">
        <f t="shared" si="119"/>
        <v>1</v>
      </c>
      <c r="HF30" s="270">
        <f t="shared" si="120"/>
        <v>1</v>
      </c>
      <c r="HG30" s="427">
        <f t="shared" si="121"/>
        <v>1.5555555555555567E-4</v>
      </c>
      <c r="HH30" s="421">
        <f t="shared" si="122"/>
        <v>1</v>
      </c>
      <c r="HI30" s="270">
        <f t="shared" si="123"/>
        <v>1</v>
      </c>
      <c r="HJ30" s="427">
        <f t="shared" si="124"/>
        <v>1.944444444444446E-4</v>
      </c>
      <c r="HK30" s="421">
        <f t="shared" si="125"/>
        <v>1</v>
      </c>
      <c r="HL30" s="270">
        <f t="shared" si="125"/>
        <v>1</v>
      </c>
      <c r="HM30" s="427">
        <f t="shared" si="126"/>
        <v>3.8888888888888919E-4</v>
      </c>
      <c r="HN30" s="421">
        <f t="shared" si="127"/>
        <v>1</v>
      </c>
      <c r="HO30" s="270">
        <f t="shared" si="127"/>
        <v>1</v>
      </c>
      <c r="HP30" s="427">
        <f t="shared" si="128"/>
        <v>7.7777777777777838E-4</v>
      </c>
      <c r="HQ30" s="421">
        <f t="shared" si="129"/>
        <v>1</v>
      </c>
      <c r="HR30" s="270">
        <f t="shared" si="129"/>
        <v>1</v>
      </c>
      <c r="HS30" s="427">
        <f t="shared" si="130"/>
        <v>1.1666666666666676E-3</v>
      </c>
      <c r="HT30" s="421">
        <f t="shared" si="131"/>
        <v>1</v>
      </c>
      <c r="HU30" s="270">
        <f t="shared" si="131"/>
        <v>1</v>
      </c>
      <c r="HV30" s="427">
        <f t="shared" si="132"/>
        <v>1.5555555555555568E-3</v>
      </c>
      <c r="HW30" s="421">
        <f t="shared" si="133"/>
        <v>1</v>
      </c>
      <c r="HX30" s="270">
        <f t="shared" si="133"/>
        <v>1</v>
      </c>
      <c r="HY30" s="427">
        <f t="shared" si="134"/>
        <v>1.9444444444444461E-3</v>
      </c>
      <c r="HZ30" s="421">
        <f t="shared" si="135"/>
        <v>1</v>
      </c>
      <c r="IA30" s="270">
        <f t="shared" si="135"/>
        <v>1</v>
      </c>
      <c r="IB30" s="427">
        <f t="shared" si="136"/>
        <v>3.8888888888888922E-3</v>
      </c>
      <c r="IC30" s="421">
        <f t="shared" si="137"/>
        <v>1</v>
      </c>
      <c r="ID30" s="270">
        <f t="shared" si="137"/>
        <v>1</v>
      </c>
      <c r="IE30" s="427">
        <f t="shared" si="138"/>
        <v>7.7777777777777845E-3</v>
      </c>
      <c r="IF30" s="421">
        <f t="shared" si="139"/>
        <v>1</v>
      </c>
      <c r="IG30" s="270">
        <f t="shared" si="139"/>
        <v>1</v>
      </c>
      <c r="IH30" s="427">
        <f t="shared" si="140"/>
        <v>1.1666666666666676E-2</v>
      </c>
      <c r="II30" s="421">
        <f t="shared" si="141"/>
        <v>1</v>
      </c>
      <c r="IJ30" s="270">
        <f t="shared" si="141"/>
        <v>1</v>
      </c>
      <c r="IK30" s="427">
        <f t="shared" si="142"/>
        <v>1.5555555555555569E-2</v>
      </c>
      <c r="IL30" s="421">
        <f t="shared" si="143"/>
        <v>1</v>
      </c>
      <c r="IM30" s="270">
        <f t="shared" si="143"/>
        <v>1</v>
      </c>
      <c r="IN30" s="427">
        <f t="shared" si="144"/>
        <v>1.9444444444444459E-2</v>
      </c>
      <c r="IS30" s="447">
        <f t="shared" si="245"/>
        <v>0</v>
      </c>
      <c r="IT30" s="447">
        <f t="shared" si="245"/>
        <v>0</v>
      </c>
      <c r="IU30" s="447">
        <f t="shared" si="245"/>
        <v>0</v>
      </c>
      <c r="IV30" s="447">
        <f t="shared" si="245"/>
        <v>1.4E-3</v>
      </c>
      <c r="IW30" s="447">
        <f t="shared" si="245"/>
        <v>1.75E-3</v>
      </c>
      <c r="IX30" s="447">
        <f t="shared" si="245"/>
        <v>3.5000000000000001E-3</v>
      </c>
      <c r="IY30" s="447">
        <f t="shared" si="245"/>
        <v>7.0000000000000001E-3</v>
      </c>
      <c r="IZ30" s="447">
        <f t="shared" si="245"/>
        <v>1.0500000000000001E-2</v>
      </c>
      <c r="JA30" s="447">
        <f t="shared" si="245"/>
        <v>1.4E-2</v>
      </c>
      <c r="JB30" s="447">
        <f t="shared" si="245"/>
        <v>1.7500000000000002E-2</v>
      </c>
      <c r="JC30" s="447">
        <f t="shared" si="246"/>
        <v>3.5000000000000003E-2</v>
      </c>
      <c r="JD30" s="447">
        <f t="shared" si="246"/>
        <v>4.3749999999999997E-2</v>
      </c>
      <c r="JE30" s="447">
        <f t="shared" si="246"/>
        <v>4.3743000000000004E-2</v>
      </c>
      <c r="JF30" s="447">
        <f t="shared" si="246"/>
        <v>4.3736000000000004E-2</v>
      </c>
      <c r="JG30" s="447">
        <f t="shared" si="246"/>
        <v>4.3732500000000001E-2</v>
      </c>
      <c r="JH30" s="447">
        <f t="shared" si="246"/>
        <v>4.3714999999999997E-2</v>
      </c>
      <c r="JI30" s="447">
        <f t="shared" si="246"/>
        <v>4.368000000000001E-2</v>
      </c>
      <c r="JJ30" s="447">
        <f t="shared" si="246"/>
        <v>4.3679999999999997E-2</v>
      </c>
      <c r="JK30" s="447">
        <f t="shared" si="246"/>
        <v>4.368000000000001E-2</v>
      </c>
      <c r="JL30" s="447">
        <f t="shared" si="246"/>
        <v>4.3575000000000003E-2</v>
      </c>
      <c r="JQ30" s="455" t="s">
        <v>1659</v>
      </c>
      <c r="JR30" s="456">
        <v>11</v>
      </c>
      <c r="JS30" s="456">
        <f t="shared" si="242"/>
        <v>110000000</v>
      </c>
      <c r="JU30" s="242">
        <f t="shared" si="198"/>
        <v>700000</v>
      </c>
      <c r="JV30" s="242">
        <f t="shared" si="199"/>
        <v>500000</v>
      </c>
      <c r="JW30" s="242">
        <f t="shared" si="216"/>
        <v>0.2</v>
      </c>
      <c r="JX30" s="242">
        <f t="shared" si="200"/>
        <v>750000</v>
      </c>
      <c r="JY30" s="241">
        <f t="shared" si="217"/>
        <v>0.8</v>
      </c>
      <c r="JZ30" s="241">
        <f t="shared" si="218"/>
        <v>700000</v>
      </c>
      <c r="KA30" s="241" t="str">
        <f t="shared" si="219"/>
        <v>期望符合预期</v>
      </c>
      <c r="KC30" s="242">
        <f t="shared" si="201"/>
        <v>1400000</v>
      </c>
      <c r="KD30" s="242">
        <f t="shared" si="202"/>
        <v>1000000</v>
      </c>
      <c r="KE30" s="242">
        <f t="shared" si="220"/>
        <v>0.2</v>
      </c>
      <c r="KF30" s="242">
        <f t="shared" si="203"/>
        <v>1500000</v>
      </c>
      <c r="KG30" s="241">
        <f t="shared" si="221"/>
        <v>0.8</v>
      </c>
      <c r="KH30" s="241">
        <f t="shared" si="222"/>
        <v>1400000</v>
      </c>
      <c r="KI30" s="241" t="str">
        <f t="shared" si="223"/>
        <v>期望符合预期</v>
      </c>
      <c r="KK30" s="242">
        <f t="shared" si="204"/>
        <v>2100000</v>
      </c>
      <c r="KL30" s="242">
        <f t="shared" si="205"/>
        <v>2000000</v>
      </c>
      <c r="KM30" s="242">
        <f t="shared" si="224"/>
        <v>0.9</v>
      </c>
      <c r="KN30" s="242">
        <f t="shared" si="206"/>
        <v>3000000</v>
      </c>
      <c r="KO30" s="241">
        <f t="shared" si="225"/>
        <v>0.1</v>
      </c>
      <c r="KP30" s="241">
        <f t="shared" si="226"/>
        <v>2100000</v>
      </c>
      <c r="KQ30" s="241" t="str">
        <f t="shared" si="227"/>
        <v>期望符合预期</v>
      </c>
      <c r="KS30" s="242">
        <f t="shared" si="207"/>
        <v>2800000</v>
      </c>
      <c r="KT30" s="242">
        <f t="shared" si="208"/>
        <v>2000000</v>
      </c>
      <c r="KU30" s="242">
        <f t="shared" si="228"/>
        <v>0.2</v>
      </c>
      <c r="KV30" s="242">
        <f t="shared" si="209"/>
        <v>3000000</v>
      </c>
      <c r="KW30" s="241">
        <f t="shared" si="229"/>
        <v>0.8</v>
      </c>
      <c r="KX30" s="241">
        <f t="shared" si="230"/>
        <v>2800000</v>
      </c>
      <c r="KY30" s="241" t="str">
        <f t="shared" si="231"/>
        <v>期望符合预期</v>
      </c>
      <c r="LA30" s="242">
        <f t="shared" si="210"/>
        <v>3500000</v>
      </c>
      <c r="LB30" s="242">
        <f t="shared" si="211"/>
        <v>3000000</v>
      </c>
      <c r="LC30" s="242">
        <f t="shared" si="232"/>
        <v>0.5</v>
      </c>
      <c r="LD30" s="242">
        <f t="shared" si="212"/>
        <v>4000000</v>
      </c>
      <c r="LE30" s="241">
        <f t="shared" si="233"/>
        <v>0.5</v>
      </c>
      <c r="LF30" s="241">
        <f t="shared" si="234"/>
        <v>3500000</v>
      </c>
      <c r="LG30" s="241" t="str">
        <f t="shared" si="235"/>
        <v>期望符合预期</v>
      </c>
    </row>
    <row r="31" spans="1:319" ht="16.2" x14ac:dyDescent="0.4">
      <c r="A31" s="63">
        <v>25</v>
      </c>
      <c r="B31" s="254" t="s">
        <v>1707</v>
      </c>
      <c r="C31" s="63">
        <v>3</v>
      </c>
      <c r="D31" s="63">
        <v>-1</v>
      </c>
      <c r="E31" s="63">
        <v>45</v>
      </c>
      <c r="F31" s="63" t="s">
        <v>1708</v>
      </c>
      <c r="G31" s="63">
        <f t="shared" si="167"/>
        <v>45</v>
      </c>
      <c r="H31" s="63"/>
      <c r="I31" s="265" t="s">
        <v>1709</v>
      </c>
      <c r="J31" s="63">
        <f t="shared" si="238"/>
        <v>0</v>
      </c>
      <c r="K31" s="63">
        <f t="shared" si="18"/>
        <v>0</v>
      </c>
      <c r="L31" s="63">
        <v>0</v>
      </c>
      <c r="M31" s="266">
        <f>ROUND($BX$7/('全局参数|GlobalPar'!$B$19/10000/E31),6)*(7/5)</f>
        <v>3.12494E-2</v>
      </c>
      <c r="N31" s="267">
        <v>2</v>
      </c>
      <c r="O31" s="268">
        <f>ROUND(IF(N31&lt;&gt;0,$BX$4/('全局参数|GlobalPar'!$B$19/10000/E31)/N31,0),6)</f>
        <v>0</v>
      </c>
      <c r="P31" s="270">
        <f t="shared" si="386"/>
        <v>8.9999999999999993E-3</v>
      </c>
      <c r="Q31" s="285">
        <f t="shared" si="20"/>
        <v>0</v>
      </c>
      <c r="R31" s="282">
        <v>11</v>
      </c>
      <c r="S31" s="283">
        <v>1</v>
      </c>
      <c r="T31" s="284" t="str">
        <f t="shared" si="21"/>
        <v>[[11,1],[11,1],[11,1],[11,1],[11,1],[11,1],[11,1],[11,1],[11,1],[11,1],[22,2],[44,4],[66,6],[88,8],[110,10],[220,20],[440,40],[660,60],[880,80],[1100,100]]</v>
      </c>
      <c r="U31" s="284">
        <v>1</v>
      </c>
      <c r="V31" s="284">
        <v>1</v>
      </c>
      <c r="W31" s="284" t="str">
        <f t="shared" si="168"/>
        <v>[[1,1],[1,1],[1,1],[1,1],[1,1],[1,1],[1,1],[1,1],[1,1],[1,1],[1,1],[1,1],[1,1],[1,1],[1,1],[1,1],[1,1],[1,1],[1,1],[1,1]]</v>
      </c>
      <c r="X31" s="63">
        <v>0</v>
      </c>
      <c r="Y31" s="305">
        <v>0</v>
      </c>
      <c r="Z31" s="303">
        <f t="shared" si="22"/>
        <v>0</v>
      </c>
      <c r="AA31" s="303">
        <v>0.06</v>
      </c>
      <c r="AB31" s="303">
        <f t="shared" si="169"/>
        <v>0.1</v>
      </c>
      <c r="AC31" s="304">
        <f t="shared" si="213"/>
        <v>0.05</v>
      </c>
      <c r="AD31" s="304">
        <f t="shared" si="213"/>
        <v>0</v>
      </c>
      <c r="AE31" s="304">
        <f t="shared" si="213"/>
        <v>0</v>
      </c>
      <c r="AF31" s="304">
        <f t="shared" si="213"/>
        <v>0</v>
      </c>
      <c r="AG31" s="63" t="str">
        <f t="shared" si="170"/>
        <v>[[2,5],[3,2],[4,1]]</v>
      </c>
      <c r="AH31" s="256" t="str">
        <f t="shared" si="171"/>
        <v>[0.24,0.12,0.08]</v>
      </c>
      <c r="AI31" s="256">
        <v>0</v>
      </c>
      <c r="AJ31" s="256">
        <v>1</v>
      </c>
      <c r="AK31" s="256">
        <f t="shared" si="243"/>
        <v>1</v>
      </c>
      <c r="AL31" s="256">
        <v>0</v>
      </c>
      <c r="AM31" s="256">
        <f t="shared" si="172"/>
        <v>13.5</v>
      </c>
      <c r="AN31" s="256" t="s">
        <v>2548</v>
      </c>
      <c r="AO31" s="324">
        <v>10</v>
      </c>
      <c r="AP31" s="63">
        <v>13</v>
      </c>
      <c r="AQ31" s="63">
        <v>0</v>
      </c>
      <c r="AR31" s="63">
        <v>1</v>
      </c>
      <c r="AS31" s="39">
        <v>3</v>
      </c>
      <c r="AT31" s="39">
        <v>0</v>
      </c>
      <c r="AU31" s="63">
        <v>1</v>
      </c>
      <c r="AV31" s="63">
        <f t="shared" ref="AV31" si="526">AU31/0.67</f>
        <v>1.4925373134328357</v>
      </c>
      <c r="AW31" s="63">
        <v>1</v>
      </c>
      <c r="AX31" s="63">
        <v>1</v>
      </c>
      <c r="AY31" s="63" t="s">
        <v>1693</v>
      </c>
      <c r="AZ31" s="39"/>
      <c r="BA31" s="39"/>
      <c r="BB31" s="328">
        <v>0.6</v>
      </c>
      <c r="BC31" s="39">
        <v>80</v>
      </c>
      <c r="BD31" s="39">
        <v>0.18</v>
      </c>
      <c r="BE31" s="39">
        <v>0.8</v>
      </c>
      <c r="BF31" s="39">
        <v>1</v>
      </c>
      <c r="BG31" s="39" t="s">
        <v>1677</v>
      </c>
      <c r="BH31" s="331" t="s">
        <v>1710</v>
      </c>
      <c r="BI31" s="331" t="s">
        <v>1711</v>
      </c>
      <c r="BJ31" s="265" t="s">
        <v>1712</v>
      </c>
      <c r="BK31" s="265" t="s">
        <v>280</v>
      </c>
      <c r="BL31" s="265"/>
      <c r="BM31" s="265"/>
      <c r="BN31" s="81">
        <f t="shared" si="387"/>
        <v>33.75</v>
      </c>
      <c r="BO31" s="343">
        <f t="shared" si="26"/>
        <v>4.4444444444444446</v>
      </c>
      <c r="BP31" s="81" t="s">
        <v>1606</v>
      </c>
      <c r="BQ31" s="81">
        <f t="shared" si="388"/>
        <v>0.746</v>
      </c>
      <c r="BR31" s="81"/>
      <c r="BS31" s="63">
        <f t="shared" si="28"/>
        <v>45</v>
      </c>
      <c r="BT31" s="63">
        <f t="shared" si="29"/>
        <v>47.7</v>
      </c>
      <c r="BV31" s="63">
        <f t="shared" si="30"/>
        <v>0</v>
      </c>
      <c r="BX31" s="360" t="s">
        <v>1713</v>
      </c>
      <c r="BY31" s="39" t="s">
        <v>1714</v>
      </c>
      <c r="BZ31" s="360" t="s">
        <v>1715</v>
      </c>
      <c r="CA31" s="39" t="s">
        <v>1714</v>
      </c>
      <c r="CB31" s="360" t="s">
        <v>1716</v>
      </c>
      <c r="CC31" s="39" t="s">
        <v>1714</v>
      </c>
      <c r="CD31" s="39" t="s">
        <v>1108</v>
      </c>
      <c r="CG31" s="371">
        <f t="shared" si="31"/>
        <v>49.500000000000007</v>
      </c>
      <c r="CH31" s="372">
        <f t="shared" si="214"/>
        <v>0.1</v>
      </c>
      <c r="CI31" s="373">
        <v>2</v>
      </c>
      <c r="CJ31" s="143">
        <v>5</v>
      </c>
      <c r="CK31" s="373">
        <v>3</v>
      </c>
      <c r="CL31" s="143">
        <v>2</v>
      </c>
      <c r="CM31" s="373">
        <v>4</v>
      </c>
      <c r="CN31" s="143">
        <v>1</v>
      </c>
      <c r="CO31" s="143">
        <f t="shared" si="174"/>
        <v>2.5</v>
      </c>
      <c r="CP31" s="143">
        <f t="shared" si="175"/>
        <v>7.5</v>
      </c>
      <c r="CQ31" s="377">
        <f t="shared" si="176"/>
        <v>0.24</v>
      </c>
      <c r="CR31" s="143">
        <f t="shared" si="175"/>
        <v>15</v>
      </c>
      <c r="CS31" s="378">
        <f t="shared" si="177"/>
        <v>0.12</v>
      </c>
      <c r="CT31" s="143">
        <f t="shared" si="175"/>
        <v>22.5</v>
      </c>
      <c r="CU31" s="392">
        <f t="shared" si="178"/>
        <v>0.08</v>
      </c>
      <c r="CW31" s="241">
        <v>2E-3</v>
      </c>
      <c r="CX31" s="396">
        <f t="shared" si="215"/>
        <v>0</v>
      </c>
      <c r="CY31" s="270">
        <f t="shared" si="33"/>
        <v>0</v>
      </c>
      <c r="CZ31" s="394">
        <f t="shared" si="34"/>
        <v>0</v>
      </c>
      <c r="DA31" s="394">
        <f t="shared" si="35"/>
        <v>0</v>
      </c>
      <c r="DB31" s="395">
        <f t="shared" si="179"/>
        <v>0</v>
      </c>
      <c r="DC31" s="419">
        <f t="shared" si="36"/>
        <v>0</v>
      </c>
      <c r="DD31" s="394">
        <f t="shared" si="37"/>
        <v>0</v>
      </c>
      <c r="DE31" s="420" t="e">
        <f t="shared" si="38"/>
        <v>#DIV/0!</v>
      </c>
      <c r="DF31" s="421">
        <f t="shared" si="180"/>
        <v>11</v>
      </c>
      <c r="DG31" s="422">
        <f t="shared" si="181"/>
        <v>1</v>
      </c>
      <c r="DH31" s="284"/>
      <c r="DI31" s="282">
        <v>11</v>
      </c>
      <c r="DJ31" s="283">
        <v>1</v>
      </c>
      <c r="DL31" s="431"/>
      <c r="DM31" s="242"/>
      <c r="DQ31" s="427"/>
      <c r="DR31" s="421">
        <v>11</v>
      </c>
      <c r="DS31" s="270">
        <v>1</v>
      </c>
      <c r="DT31" s="427">
        <f t="shared" si="39"/>
        <v>6.8181818181818252E-4</v>
      </c>
      <c r="DU31" s="421">
        <f t="shared" si="40"/>
        <v>11</v>
      </c>
      <c r="DV31" s="270">
        <f t="shared" si="182"/>
        <v>1</v>
      </c>
      <c r="DW31" s="427">
        <f t="shared" si="42"/>
        <v>1.363636363636365E-3</v>
      </c>
      <c r="DX31" s="421">
        <f t="shared" si="43"/>
        <v>11</v>
      </c>
      <c r="DY31" s="270">
        <f t="shared" si="183"/>
        <v>1</v>
      </c>
      <c r="DZ31" s="427">
        <f t="shared" si="45"/>
        <v>2.0454545454545478E-3</v>
      </c>
      <c r="EA31" s="421">
        <f t="shared" si="184"/>
        <v>11</v>
      </c>
      <c r="EB31" s="270">
        <f t="shared" si="185"/>
        <v>1</v>
      </c>
      <c r="EC31" s="427">
        <f t="shared" si="48"/>
        <v>2.7272727272727301E-3</v>
      </c>
      <c r="ED31" s="421">
        <f t="shared" si="186"/>
        <v>11</v>
      </c>
      <c r="EE31" s="270">
        <f t="shared" si="187"/>
        <v>1</v>
      </c>
      <c r="EF31" s="427">
        <f t="shared" si="51"/>
        <v>3.4090909090909124E-3</v>
      </c>
      <c r="EG31" s="421">
        <f t="shared" si="188"/>
        <v>11</v>
      </c>
      <c r="EH31" s="270">
        <f t="shared" si="189"/>
        <v>1</v>
      </c>
      <c r="EI31" s="427">
        <f t="shared" si="54"/>
        <v>6.8181818181818248E-3</v>
      </c>
      <c r="EJ31" s="421">
        <f t="shared" si="190"/>
        <v>11</v>
      </c>
      <c r="EK31" s="270">
        <f t="shared" si="191"/>
        <v>1</v>
      </c>
      <c r="EL31" s="427">
        <f t="shared" si="57"/>
        <v>1.363636363636365E-2</v>
      </c>
      <c r="EM31" s="421">
        <f t="shared" si="192"/>
        <v>11</v>
      </c>
      <c r="EN31" s="270">
        <f t="shared" si="193"/>
        <v>1</v>
      </c>
      <c r="EO31" s="427">
        <f t="shared" si="60"/>
        <v>2.0454545454545475E-2</v>
      </c>
      <c r="EP31" s="421">
        <f t="shared" si="194"/>
        <v>11</v>
      </c>
      <c r="EQ31" s="270">
        <f t="shared" si="195"/>
        <v>1</v>
      </c>
      <c r="ER31" s="427">
        <f t="shared" si="63"/>
        <v>2.7272727272727299E-2</v>
      </c>
      <c r="ES31" s="421">
        <f t="shared" si="196"/>
        <v>11</v>
      </c>
      <c r="ET31" s="270">
        <f t="shared" si="197"/>
        <v>1</v>
      </c>
      <c r="EU31" s="427">
        <f t="shared" si="66"/>
        <v>3.409090909090913E-2</v>
      </c>
      <c r="EV31" s="421">
        <f t="shared" si="67"/>
        <v>22</v>
      </c>
      <c r="EW31" s="270">
        <f t="shared" si="68"/>
        <v>2</v>
      </c>
      <c r="EX31" s="427">
        <f t="shared" si="69"/>
        <v>3.409090909090913E-2</v>
      </c>
      <c r="EY31" s="421">
        <f t="shared" si="70"/>
        <v>44</v>
      </c>
      <c r="EZ31" s="270">
        <f t="shared" si="71"/>
        <v>4</v>
      </c>
      <c r="FA31" s="427">
        <f t="shared" si="72"/>
        <v>3.409090909090913E-2</v>
      </c>
      <c r="FB31" s="421">
        <f t="shared" si="73"/>
        <v>66</v>
      </c>
      <c r="FC31" s="270">
        <f t="shared" si="74"/>
        <v>6</v>
      </c>
      <c r="FD31" s="427">
        <f t="shared" si="75"/>
        <v>3.409090909090913E-2</v>
      </c>
      <c r="FE31" s="421">
        <f t="shared" si="76"/>
        <v>88</v>
      </c>
      <c r="FF31" s="270">
        <f t="shared" si="77"/>
        <v>8</v>
      </c>
      <c r="FG31" s="427">
        <f t="shared" si="78"/>
        <v>3.409090909090913E-2</v>
      </c>
      <c r="FH31" s="421">
        <f t="shared" si="79"/>
        <v>110</v>
      </c>
      <c r="FI31" s="270">
        <f t="shared" si="80"/>
        <v>10</v>
      </c>
      <c r="FJ31" s="427">
        <f t="shared" si="81"/>
        <v>3.409090909090913E-2</v>
      </c>
      <c r="FK31" s="421">
        <f t="shared" si="82"/>
        <v>220</v>
      </c>
      <c r="FL31" s="270">
        <f t="shared" si="83"/>
        <v>20</v>
      </c>
      <c r="FM31" s="427">
        <f t="shared" si="84"/>
        <v>3.409090909090913E-2</v>
      </c>
      <c r="FN31" s="421">
        <f t="shared" si="85"/>
        <v>440</v>
      </c>
      <c r="FO31" s="270">
        <f t="shared" si="86"/>
        <v>40</v>
      </c>
      <c r="FP31" s="427">
        <f t="shared" si="87"/>
        <v>3.409090909090913E-2</v>
      </c>
      <c r="FQ31" s="421">
        <f t="shared" si="88"/>
        <v>660</v>
      </c>
      <c r="FR31" s="270">
        <f t="shared" si="89"/>
        <v>60</v>
      </c>
      <c r="FS31" s="427">
        <f t="shared" si="90"/>
        <v>3.409090909090913E-2</v>
      </c>
      <c r="FT31" s="421">
        <f t="shared" si="91"/>
        <v>880</v>
      </c>
      <c r="FU31" s="270">
        <f t="shared" si="92"/>
        <v>80</v>
      </c>
      <c r="FV31" s="427">
        <f t="shared" si="93"/>
        <v>3.409090909090913E-2</v>
      </c>
      <c r="FW31" s="421">
        <f t="shared" si="94"/>
        <v>1100</v>
      </c>
      <c r="FX31" s="270">
        <f t="shared" si="95"/>
        <v>100</v>
      </c>
      <c r="FY31" s="427">
        <f t="shared" si="96"/>
        <v>3.409090909090913E-2</v>
      </c>
      <c r="GA31" s="431"/>
      <c r="GB31" s="242"/>
      <c r="GF31" s="427"/>
      <c r="GG31" s="421">
        <v>1</v>
      </c>
      <c r="GH31" s="270">
        <v>1</v>
      </c>
      <c r="GI31" s="427">
        <f t="shared" si="97"/>
        <v>5.0000000000000038E-6</v>
      </c>
      <c r="GJ31" s="421">
        <f t="shared" si="98"/>
        <v>1</v>
      </c>
      <c r="GK31" s="270">
        <f t="shared" si="99"/>
        <v>1</v>
      </c>
      <c r="GL31" s="427">
        <f t="shared" si="100"/>
        <v>1.0000000000000008E-5</v>
      </c>
      <c r="GM31" s="421">
        <f t="shared" si="101"/>
        <v>1</v>
      </c>
      <c r="GN31" s="270">
        <f t="shared" si="102"/>
        <v>1</v>
      </c>
      <c r="GO31" s="427">
        <f t="shared" si="103"/>
        <v>1.5000000000000012E-5</v>
      </c>
      <c r="GP31" s="421">
        <f t="shared" si="104"/>
        <v>1</v>
      </c>
      <c r="GQ31" s="270">
        <f t="shared" si="105"/>
        <v>1</v>
      </c>
      <c r="GR31" s="427">
        <f t="shared" si="106"/>
        <v>2.0000000000000015E-5</v>
      </c>
      <c r="GS31" s="421">
        <f t="shared" si="107"/>
        <v>1</v>
      </c>
      <c r="GT31" s="270">
        <f t="shared" si="108"/>
        <v>1</v>
      </c>
      <c r="GU31" s="427">
        <f t="shared" si="109"/>
        <v>2.5000000000000022E-5</v>
      </c>
      <c r="GV31" s="421">
        <f t="shared" si="110"/>
        <v>1</v>
      </c>
      <c r="GW31" s="270">
        <f t="shared" si="111"/>
        <v>1</v>
      </c>
      <c r="GX31" s="427">
        <f t="shared" si="112"/>
        <v>5.0000000000000043E-5</v>
      </c>
      <c r="GY31" s="421">
        <f t="shared" si="113"/>
        <v>1</v>
      </c>
      <c r="GZ31" s="270">
        <f t="shared" si="114"/>
        <v>1</v>
      </c>
      <c r="HA31" s="427">
        <f t="shared" si="115"/>
        <v>1.0000000000000009E-4</v>
      </c>
      <c r="HB31" s="421">
        <f t="shared" si="116"/>
        <v>1</v>
      </c>
      <c r="HC31" s="270">
        <f t="shared" si="117"/>
        <v>1</v>
      </c>
      <c r="HD31" s="427">
        <f t="shared" si="118"/>
        <v>1.5000000000000012E-4</v>
      </c>
      <c r="HE31" s="421">
        <f t="shared" si="119"/>
        <v>1</v>
      </c>
      <c r="HF31" s="270">
        <f t="shared" si="120"/>
        <v>1</v>
      </c>
      <c r="HG31" s="427">
        <f t="shared" si="121"/>
        <v>2.0000000000000017E-4</v>
      </c>
      <c r="HH31" s="421">
        <f t="shared" si="122"/>
        <v>1</v>
      </c>
      <c r="HI31" s="270">
        <f t="shared" si="123"/>
        <v>1</v>
      </c>
      <c r="HJ31" s="427">
        <f t="shared" si="124"/>
        <v>2.5000000000000022E-4</v>
      </c>
      <c r="HK31" s="421">
        <f t="shared" si="125"/>
        <v>1</v>
      </c>
      <c r="HL31" s="270">
        <f t="shared" si="125"/>
        <v>1</v>
      </c>
      <c r="HM31" s="427">
        <f t="shared" si="126"/>
        <v>5.0000000000000044E-4</v>
      </c>
      <c r="HN31" s="421">
        <f t="shared" si="127"/>
        <v>1</v>
      </c>
      <c r="HO31" s="270">
        <f t="shared" si="127"/>
        <v>1</v>
      </c>
      <c r="HP31" s="427">
        <f t="shared" si="128"/>
        <v>1.0000000000000009E-3</v>
      </c>
      <c r="HQ31" s="421">
        <f t="shared" si="129"/>
        <v>1</v>
      </c>
      <c r="HR31" s="270">
        <f t="shared" si="129"/>
        <v>1</v>
      </c>
      <c r="HS31" s="427">
        <f t="shared" si="130"/>
        <v>1.5000000000000011E-3</v>
      </c>
      <c r="HT31" s="421">
        <f t="shared" si="131"/>
        <v>1</v>
      </c>
      <c r="HU31" s="270">
        <f t="shared" si="131"/>
        <v>1</v>
      </c>
      <c r="HV31" s="427">
        <f t="shared" si="132"/>
        <v>2.0000000000000018E-3</v>
      </c>
      <c r="HW31" s="421">
        <f t="shared" si="133"/>
        <v>1</v>
      </c>
      <c r="HX31" s="270">
        <f t="shared" si="133"/>
        <v>1</v>
      </c>
      <c r="HY31" s="427">
        <f t="shared" si="134"/>
        <v>2.5000000000000022E-3</v>
      </c>
      <c r="HZ31" s="421">
        <f t="shared" si="135"/>
        <v>1</v>
      </c>
      <c r="IA31" s="270">
        <f t="shared" si="135"/>
        <v>1</v>
      </c>
      <c r="IB31" s="427">
        <f t="shared" si="136"/>
        <v>5.0000000000000044E-3</v>
      </c>
      <c r="IC31" s="421">
        <f t="shared" si="137"/>
        <v>1</v>
      </c>
      <c r="ID31" s="270">
        <f t="shared" si="137"/>
        <v>1</v>
      </c>
      <c r="IE31" s="427">
        <f t="shared" si="138"/>
        <v>1.0000000000000009E-2</v>
      </c>
      <c r="IF31" s="421">
        <f t="shared" si="139"/>
        <v>1</v>
      </c>
      <c r="IG31" s="270">
        <f t="shared" si="139"/>
        <v>1</v>
      </c>
      <c r="IH31" s="427">
        <f t="shared" si="140"/>
        <v>1.5000000000000012E-2</v>
      </c>
      <c r="II31" s="421">
        <f t="shared" si="141"/>
        <v>1</v>
      </c>
      <c r="IJ31" s="270">
        <f t="shared" si="141"/>
        <v>1</v>
      </c>
      <c r="IK31" s="427">
        <f t="shared" si="142"/>
        <v>2.0000000000000018E-2</v>
      </c>
      <c r="IL31" s="421">
        <f t="shared" si="143"/>
        <v>1</v>
      </c>
      <c r="IM31" s="270">
        <f t="shared" si="143"/>
        <v>1</v>
      </c>
      <c r="IN31" s="427">
        <f t="shared" si="144"/>
        <v>2.5000000000000019E-2</v>
      </c>
      <c r="IS31" s="447">
        <f t="shared" si="245"/>
        <v>0</v>
      </c>
      <c r="IT31" s="447">
        <f t="shared" si="245"/>
        <v>0</v>
      </c>
      <c r="IU31" s="447">
        <f t="shared" si="245"/>
        <v>0</v>
      </c>
      <c r="IV31" s="447">
        <f t="shared" si="245"/>
        <v>1.8E-3</v>
      </c>
      <c r="IW31" s="447">
        <f t="shared" si="245"/>
        <v>2.2499999999999998E-3</v>
      </c>
      <c r="IX31" s="447">
        <f t="shared" si="245"/>
        <v>4.4999999999999997E-3</v>
      </c>
      <c r="IY31" s="447">
        <f t="shared" si="245"/>
        <v>8.9999999999999993E-3</v>
      </c>
      <c r="IZ31" s="447">
        <f t="shared" si="245"/>
        <v>1.35E-2</v>
      </c>
      <c r="JA31" s="447">
        <f t="shared" si="245"/>
        <v>1.7999999999999999E-2</v>
      </c>
      <c r="JB31" s="447">
        <f t="shared" si="245"/>
        <v>2.2499999999999999E-2</v>
      </c>
      <c r="JC31" s="447">
        <f t="shared" si="246"/>
        <v>4.4999999999999998E-2</v>
      </c>
      <c r="JD31" s="447">
        <f t="shared" si="246"/>
        <v>5.6250000000000001E-2</v>
      </c>
      <c r="JE31" s="447">
        <f t="shared" si="246"/>
        <v>5.6241000000000006E-2</v>
      </c>
      <c r="JF31" s="447">
        <f t="shared" si="246"/>
        <v>5.6232000000000004E-2</v>
      </c>
      <c r="JG31" s="447">
        <f t="shared" si="246"/>
        <v>5.6227500000000007E-2</v>
      </c>
      <c r="JH31" s="447">
        <f t="shared" si="246"/>
        <v>5.6205000000000012E-2</v>
      </c>
      <c r="JI31" s="447">
        <f t="shared" si="246"/>
        <v>5.6160000000000009E-2</v>
      </c>
      <c r="JJ31" s="447">
        <f t="shared" si="246"/>
        <v>5.6160000000000009E-2</v>
      </c>
      <c r="JK31" s="447">
        <f t="shared" si="246"/>
        <v>5.6160000000000009E-2</v>
      </c>
      <c r="JL31" s="447">
        <f t="shared" si="246"/>
        <v>5.6024999999999998E-2</v>
      </c>
      <c r="JU31" s="242">
        <f t="shared" si="198"/>
        <v>900000</v>
      </c>
      <c r="JV31" s="242">
        <f t="shared" si="199"/>
        <v>750000</v>
      </c>
      <c r="JW31" s="242">
        <f t="shared" si="216"/>
        <v>0.4</v>
      </c>
      <c r="JX31" s="242">
        <f t="shared" si="200"/>
        <v>1000000</v>
      </c>
      <c r="JY31" s="241">
        <f t="shared" si="217"/>
        <v>0.6</v>
      </c>
      <c r="JZ31" s="241">
        <f t="shared" si="218"/>
        <v>900000</v>
      </c>
      <c r="KA31" s="241" t="str">
        <f t="shared" si="219"/>
        <v>期望符合预期</v>
      </c>
      <c r="KC31" s="242">
        <f t="shared" si="201"/>
        <v>1800000</v>
      </c>
      <c r="KD31" s="242">
        <f t="shared" si="202"/>
        <v>1500000</v>
      </c>
      <c r="KE31" s="242">
        <f t="shared" si="220"/>
        <v>0.4</v>
      </c>
      <c r="KF31" s="242">
        <f t="shared" si="203"/>
        <v>2000000</v>
      </c>
      <c r="KG31" s="241">
        <f t="shared" si="221"/>
        <v>0.6</v>
      </c>
      <c r="KH31" s="241">
        <f t="shared" si="222"/>
        <v>1800000</v>
      </c>
      <c r="KI31" s="241" t="str">
        <f t="shared" si="223"/>
        <v>期望符合预期</v>
      </c>
      <c r="KK31" s="242">
        <f t="shared" si="204"/>
        <v>2700000</v>
      </c>
      <c r="KL31" s="242">
        <f t="shared" si="205"/>
        <v>2000000</v>
      </c>
      <c r="KM31" s="242">
        <f t="shared" si="224"/>
        <v>0.3</v>
      </c>
      <c r="KN31" s="242">
        <f t="shared" si="206"/>
        <v>3000000</v>
      </c>
      <c r="KO31" s="241">
        <f t="shared" si="225"/>
        <v>0.7</v>
      </c>
      <c r="KP31" s="241">
        <f t="shared" si="226"/>
        <v>2700000</v>
      </c>
      <c r="KQ31" s="241" t="str">
        <f t="shared" si="227"/>
        <v>期望符合预期</v>
      </c>
      <c r="KS31" s="242">
        <f t="shared" si="207"/>
        <v>3600000</v>
      </c>
      <c r="KT31" s="242">
        <f t="shared" si="208"/>
        <v>3000000</v>
      </c>
      <c r="KU31" s="242">
        <f t="shared" si="228"/>
        <v>0.4</v>
      </c>
      <c r="KV31" s="242">
        <f t="shared" si="209"/>
        <v>4000000</v>
      </c>
      <c r="KW31" s="241">
        <f t="shared" si="229"/>
        <v>0.6</v>
      </c>
      <c r="KX31" s="241">
        <f t="shared" si="230"/>
        <v>3600000</v>
      </c>
      <c r="KY31" s="241" t="str">
        <f t="shared" si="231"/>
        <v>期望符合预期</v>
      </c>
      <c r="LA31" s="242">
        <f t="shared" si="210"/>
        <v>4500000</v>
      </c>
      <c r="LB31" s="242">
        <f t="shared" si="211"/>
        <v>4000000</v>
      </c>
      <c r="LC31" s="242">
        <f t="shared" si="232"/>
        <v>0.5</v>
      </c>
      <c r="LD31" s="242">
        <f t="shared" si="212"/>
        <v>5000000</v>
      </c>
      <c r="LE31" s="241">
        <f t="shared" si="233"/>
        <v>0.5</v>
      </c>
      <c r="LF31" s="241">
        <f t="shared" si="234"/>
        <v>4500000</v>
      </c>
      <c r="LG31" s="241" t="str">
        <f t="shared" si="235"/>
        <v>期望符合预期</v>
      </c>
    </row>
    <row r="32" spans="1:319" ht="16.2" x14ac:dyDescent="0.4">
      <c r="A32" s="63">
        <v>26</v>
      </c>
      <c r="B32" s="254" t="s">
        <v>1717</v>
      </c>
      <c r="C32" s="63">
        <v>4</v>
      </c>
      <c r="D32" s="63">
        <v>-1</v>
      </c>
      <c r="E32" s="39">
        <f t="shared" ref="E32:E40" si="527">CD32</f>
        <v>70</v>
      </c>
      <c r="F32" s="63" t="str">
        <f>BX32&amp;"~"&amp;CB32</f>
        <v>60~80</v>
      </c>
      <c r="G32" s="63">
        <f t="shared" si="167"/>
        <v>70</v>
      </c>
      <c r="H32" s="256" t="str">
        <f>"[["&amp;BX32&amp;","&amp;BY32&amp;"],["&amp;BZ32&amp;","&amp;CA32&amp;"],["&amp;CB32&amp;","&amp;CC32&amp;"]]"</f>
        <v>[[60,1],[70,1],[80,1]]</v>
      </c>
      <c r="I32" s="265"/>
      <c r="J32" s="63">
        <v>5</v>
      </c>
      <c r="K32" s="63">
        <v>1</v>
      </c>
      <c r="L32" s="63">
        <v>0</v>
      </c>
      <c r="M32" s="266">
        <f>ROUND($BX$7/('全局参数|GlobalPar'!$B$19/10000/E32),6)*(7/5)</f>
        <v>4.8610800000000003E-2</v>
      </c>
      <c r="N32" s="267">
        <v>2</v>
      </c>
      <c r="O32" s="268">
        <f>ROUND(IF(N32&lt;&gt;0,$BX$4/('全局参数|GlobalPar'!$B$19/10000/E32)/N32,0),6)</f>
        <v>0</v>
      </c>
      <c r="P32" s="270">
        <f t="shared" si="386"/>
        <v>1.4E-2</v>
      </c>
      <c r="Q32" s="285">
        <f t="shared" si="20"/>
        <v>0</v>
      </c>
      <c r="R32" s="282">
        <v>12</v>
      </c>
      <c r="S32" s="283">
        <v>1</v>
      </c>
      <c r="T32" s="284" t="str">
        <f t="shared" si="21"/>
        <v>[[12,1],[12,1],[12,1],[12,1],[12,1],[12,1],[12,1],[12,1],[12,1],[12,1],[24,2],[48,4],[72,6],[96,8],[120,10],[240,20],[480,40],[720,60],[960,80],[1200,100]]</v>
      </c>
      <c r="U32" s="284">
        <v>1</v>
      </c>
      <c r="V32" s="284">
        <v>1</v>
      </c>
      <c r="W32" s="284" t="str">
        <f t="shared" si="168"/>
        <v>[[1,1],[1,1],[1,1],[1,1],[1,1],[1,1],[1,1],[1,1],[1,1],[1,1],[1,1],[1,1],[1,1],[1,1],[1,1],[1,1],[1,1],[1,1],[1,1],[1,1]]</v>
      </c>
      <c r="X32" s="63">
        <v>0</v>
      </c>
      <c r="Y32" s="306">
        <v>1</v>
      </c>
      <c r="Z32" s="303">
        <f t="shared" si="22"/>
        <v>0.06</v>
      </c>
      <c r="AA32" s="303">
        <v>0.06</v>
      </c>
      <c r="AB32" s="303">
        <f t="shared" si="169"/>
        <v>0.1</v>
      </c>
      <c r="AC32" s="304">
        <f t="shared" si="213"/>
        <v>0.05</v>
      </c>
      <c r="AD32" s="304">
        <v>0.02</v>
      </c>
      <c r="AE32" s="304">
        <v>8.0000000000000002E-3</v>
      </c>
      <c r="AF32" s="304">
        <v>2E-3</v>
      </c>
      <c r="AG32" s="63" t="str">
        <f t="shared" si="170"/>
        <v>[[2,5],[3,2],[4,1]]</v>
      </c>
      <c r="AH32" s="256" t="str">
        <f t="shared" si="171"/>
        <v>[0.373333,0.186667,0.124444]</v>
      </c>
      <c r="AI32" s="256">
        <v>0</v>
      </c>
      <c r="AJ32" s="256">
        <v>1</v>
      </c>
      <c r="AK32" s="256">
        <f t="shared" si="243"/>
        <v>1</v>
      </c>
      <c r="AL32" s="256">
        <v>1</v>
      </c>
      <c r="AM32" s="256">
        <f t="shared" si="172"/>
        <v>21</v>
      </c>
      <c r="AN32" s="256" t="s">
        <v>2549</v>
      </c>
      <c r="AO32" s="324">
        <v>11</v>
      </c>
      <c r="AP32" s="63">
        <f t="shared" ref="AP32:AP40" si="528">IF(C32=4,1,IF(C32=6,2,-1))</f>
        <v>1</v>
      </c>
      <c r="AQ32" s="63">
        <v>0</v>
      </c>
      <c r="AR32" s="39">
        <v>2</v>
      </c>
      <c r="AS32" s="39">
        <v>4</v>
      </c>
      <c r="AT32" s="39">
        <v>1</v>
      </c>
      <c r="AU32" s="261">
        <v>1.2</v>
      </c>
      <c r="AV32" s="261">
        <v>1.2</v>
      </c>
      <c r="AW32" s="63">
        <v>1</v>
      </c>
      <c r="AX32" s="63">
        <v>1</v>
      </c>
      <c r="AY32" s="63" t="s">
        <v>1159</v>
      </c>
      <c r="AZ32" s="39"/>
      <c r="BA32" s="39"/>
      <c r="BB32" s="328">
        <v>0.75</v>
      </c>
      <c r="BC32" s="39">
        <v>80</v>
      </c>
      <c r="BD32" s="39">
        <v>0.18</v>
      </c>
      <c r="BE32" s="39">
        <v>0.8</v>
      </c>
      <c r="BF32" s="39">
        <v>1</v>
      </c>
      <c r="BG32" s="39" t="s">
        <v>1677</v>
      </c>
      <c r="BH32" s="332" t="s">
        <v>1718</v>
      </c>
      <c r="BI32" s="332" t="s">
        <v>1718</v>
      </c>
      <c r="BJ32" s="334" t="s">
        <v>280</v>
      </c>
      <c r="BK32" s="265" t="s">
        <v>280</v>
      </c>
      <c r="BL32" s="265"/>
      <c r="BM32" s="265"/>
      <c r="BN32" s="81">
        <f t="shared" si="387"/>
        <v>7.6000000000000005</v>
      </c>
      <c r="BO32" s="343">
        <f t="shared" si="26"/>
        <v>19.736842105263158</v>
      </c>
      <c r="BP32" s="81" t="s">
        <v>1606</v>
      </c>
      <c r="BQ32" s="81">
        <f t="shared" si="388"/>
        <v>0.89600000000000002</v>
      </c>
      <c r="BR32" s="81"/>
      <c r="BS32" s="63">
        <f t="shared" si="28"/>
        <v>76</v>
      </c>
      <c r="BT32" s="63">
        <f t="shared" si="29"/>
        <v>80.2</v>
      </c>
      <c r="BV32" s="63">
        <f t="shared" si="30"/>
        <v>0</v>
      </c>
      <c r="BW32" s="268">
        <v>0.1</v>
      </c>
      <c r="BX32" s="360">
        <v>60</v>
      </c>
      <c r="BY32" s="39">
        <v>1</v>
      </c>
      <c r="BZ32" s="361">
        <v>70</v>
      </c>
      <c r="CA32" s="39">
        <v>1</v>
      </c>
      <c r="CB32" s="362">
        <v>80</v>
      </c>
      <c r="CC32" s="39">
        <v>1</v>
      </c>
      <c r="CD32" s="363">
        <f t="shared" ref="CD32:CD40" si="529">(BX32*BY32+BZ32*CA32+CB32*CC32)/(BY32+CA32+CC32)</f>
        <v>70</v>
      </c>
      <c r="CE32" s="39">
        <f>(BY32+CA32+CC32)/CA32</f>
        <v>3</v>
      </c>
      <c r="CF32" s="39">
        <f>MIN(CE32*BW32,1)</f>
        <v>0.30000000000000004</v>
      </c>
      <c r="CG32" s="371">
        <f t="shared" si="31"/>
        <v>77</v>
      </c>
      <c r="CH32" s="372">
        <f t="shared" si="214"/>
        <v>0.1</v>
      </c>
      <c r="CI32" s="373">
        <v>2</v>
      </c>
      <c r="CJ32" s="143">
        <v>5</v>
      </c>
      <c r="CK32" s="373">
        <v>3</v>
      </c>
      <c r="CL32" s="143">
        <v>2</v>
      </c>
      <c r="CM32" s="373">
        <v>4</v>
      </c>
      <c r="CN32" s="143">
        <v>1</v>
      </c>
      <c r="CO32" s="143">
        <f t="shared" si="174"/>
        <v>2.5</v>
      </c>
      <c r="CP32" s="143">
        <f t="shared" si="175"/>
        <v>7.5</v>
      </c>
      <c r="CQ32" s="377">
        <f t="shared" si="176"/>
        <v>0.37333300000000003</v>
      </c>
      <c r="CR32" s="143">
        <f t="shared" si="175"/>
        <v>15</v>
      </c>
      <c r="CS32" s="378">
        <f t="shared" si="177"/>
        <v>0.186667</v>
      </c>
      <c r="CT32" s="143">
        <f t="shared" si="175"/>
        <v>22.5</v>
      </c>
      <c r="CU32" s="392">
        <f t="shared" si="178"/>
        <v>0.124444</v>
      </c>
      <c r="CW32" s="241">
        <v>2E-3</v>
      </c>
      <c r="CX32" s="396">
        <f t="shared" si="215"/>
        <v>0</v>
      </c>
      <c r="CY32" s="270">
        <f t="shared" si="33"/>
        <v>0</v>
      </c>
      <c r="CZ32" s="394">
        <f t="shared" si="34"/>
        <v>0</v>
      </c>
      <c r="DA32" s="394">
        <f t="shared" si="35"/>
        <v>0</v>
      </c>
      <c r="DB32" s="395">
        <f t="shared" si="179"/>
        <v>0</v>
      </c>
      <c r="DC32" s="419">
        <f t="shared" si="36"/>
        <v>0</v>
      </c>
      <c r="DD32" s="394">
        <f t="shared" si="37"/>
        <v>0</v>
      </c>
      <c r="DE32" s="420" t="e">
        <f t="shared" si="38"/>
        <v>#DIV/0!</v>
      </c>
      <c r="DF32" s="421">
        <f t="shared" si="180"/>
        <v>12</v>
      </c>
      <c r="DG32" s="422">
        <f t="shared" si="181"/>
        <v>1</v>
      </c>
      <c r="DH32" s="284"/>
      <c r="DI32" s="282">
        <v>12</v>
      </c>
      <c r="DJ32" s="283">
        <v>1</v>
      </c>
      <c r="DL32" s="431"/>
      <c r="DM32" s="242"/>
      <c r="DQ32" s="427"/>
      <c r="DR32" s="421">
        <v>12</v>
      </c>
      <c r="DS32" s="270">
        <v>1</v>
      </c>
      <c r="DT32" s="427">
        <f t="shared" si="39"/>
        <v>9.7222222222222328E-4</v>
      </c>
      <c r="DU32" s="421">
        <f t="shared" si="40"/>
        <v>12</v>
      </c>
      <c r="DV32" s="270">
        <f t="shared" si="182"/>
        <v>1</v>
      </c>
      <c r="DW32" s="427">
        <f t="shared" si="42"/>
        <v>1.9444444444444466E-3</v>
      </c>
      <c r="DX32" s="421">
        <f t="shared" si="43"/>
        <v>12</v>
      </c>
      <c r="DY32" s="270">
        <f t="shared" si="183"/>
        <v>1</v>
      </c>
      <c r="DZ32" s="427">
        <f t="shared" si="45"/>
        <v>2.9166666666666698E-3</v>
      </c>
      <c r="EA32" s="421">
        <f t="shared" si="184"/>
        <v>12</v>
      </c>
      <c r="EB32" s="270">
        <f t="shared" si="185"/>
        <v>1</v>
      </c>
      <c r="EC32" s="427">
        <f t="shared" si="48"/>
        <v>3.8888888888888931E-3</v>
      </c>
      <c r="ED32" s="421">
        <f t="shared" si="186"/>
        <v>12</v>
      </c>
      <c r="EE32" s="270">
        <f t="shared" si="187"/>
        <v>1</v>
      </c>
      <c r="EF32" s="427">
        <f t="shared" si="51"/>
        <v>4.8611111111111164E-3</v>
      </c>
      <c r="EG32" s="421">
        <f t="shared" si="188"/>
        <v>12</v>
      </c>
      <c r="EH32" s="270">
        <f t="shared" si="189"/>
        <v>1</v>
      </c>
      <c r="EI32" s="427">
        <f t="shared" si="54"/>
        <v>9.7222222222222328E-3</v>
      </c>
      <c r="EJ32" s="421">
        <f t="shared" si="190"/>
        <v>12</v>
      </c>
      <c r="EK32" s="270">
        <f t="shared" si="191"/>
        <v>1</v>
      </c>
      <c r="EL32" s="427">
        <f t="shared" si="57"/>
        <v>1.9444444444444466E-2</v>
      </c>
      <c r="EM32" s="421">
        <f t="shared" si="192"/>
        <v>12</v>
      </c>
      <c r="EN32" s="270">
        <f t="shared" si="193"/>
        <v>1</v>
      </c>
      <c r="EO32" s="427">
        <f t="shared" si="60"/>
        <v>2.9166666666666698E-2</v>
      </c>
      <c r="EP32" s="421">
        <f t="shared" si="194"/>
        <v>12</v>
      </c>
      <c r="EQ32" s="270">
        <f t="shared" si="195"/>
        <v>1</v>
      </c>
      <c r="ER32" s="427">
        <f t="shared" si="63"/>
        <v>3.8888888888888931E-2</v>
      </c>
      <c r="ES32" s="421">
        <f t="shared" si="196"/>
        <v>12</v>
      </c>
      <c r="ET32" s="270">
        <f t="shared" si="197"/>
        <v>1</v>
      </c>
      <c r="EU32" s="427">
        <f t="shared" si="66"/>
        <v>4.861111111111116E-2</v>
      </c>
      <c r="EV32" s="421">
        <f t="shared" si="67"/>
        <v>24</v>
      </c>
      <c r="EW32" s="270">
        <f t="shared" si="68"/>
        <v>2</v>
      </c>
      <c r="EX32" s="427">
        <f t="shared" si="69"/>
        <v>4.861111111111116E-2</v>
      </c>
      <c r="EY32" s="421">
        <f t="shared" si="70"/>
        <v>48</v>
      </c>
      <c r="EZ32" s="270">
        <f t="shared" si="71"/>
        <v>4</v>
      </c>
      <c r="FA32" s="427">
        <f t="shared" si="72"/>
        <v>4.861111111111116E-2</v>
      </c>
      <c r="FB32" s="421">
        <f t="shared" si="73"/>
        <v>72</v>
      </c>
      <c r="FC32" s="270">
        <f t="shared" si="74"/>
        <v>6</v>
      </c>
      <c r="FD32" s="427">
        <f t="shared" si="75"/>
        <v>4.861111111111116E-2</v>
      </c>
      <c r="FE32" s="421">
        <f t="shared" si="76"/>
        <v>96</v>
      </c>
      <c r="FF32" s="270">
        <f t="shared" si="77"/>
        <v>8</v>
      </c>
      <c r="FG32" s="427">
        <f t="shared" si="78"/>
        <v>4.861111111111116E-2</v>
      </c>
      <c r="FH32" s="421">
        <f t="shared" si="79"/>
        <v>120</v>
      </c>
      <c r="FI32" s="270">
        <f t="shared" si="80"/>
        <v>10</v>
      </c>
      <c r="FJ32" s="427">
        <f t="shared" si="81"/>
        <v>4.861111111111116E-2</v>
      </c>
      <c r="FK32" s="421">
        <f t="shared" si="82"/>
        <v>240</v>
      </c>
      <c r="FL32" s="270">
        <f t="shared" si="83"/>
        <v>20</v>
      </c>
      <c r="FM32" s="427">
        <f t="shared" si="84"/>
        <v>4.861111111111116E-2</v>
      </c>
      <c r="FN32" s="421">
        <f t="shared" si="85"/>
        <v>480</v>
      </c>
      <c r="FO32" s="270">
        <f t="shared" si="86"/>
        <v>40</v>
      </c>
      <c r="FP32" s="427">
        <f t="shared" si="87"/>
        <v>4.861111111111116E-2</v>
      </c>
      <c r="FQ32" s="421">
        <f t="shared" si="88"/>
        <v>720</v>
      </c>
      <c r="FR32" s="270">
        <f t="shared" si="89"/>
        <v>60</v>
      </c>
      <c r="FS32" s="427">
        <f t="shared" si="90"/>
        <v>4.861111111111116E-2</v>
      </c>
      <c r="FT32" s="421">
        <f t="shared" si="91"/>
        <v>960</v>
      </c>
      <c r="FU32" s="270">
        <f t="shared" si="92"/>
        <v>80</v>
      </c>
      <c r="FV32" s="427">
        <f t="shared" si="93"/>
        <v>4.861111111111116E-2</v>
      </c>
      <c r="FW32" s="421">
        <f t="shared" si="94"/>
        <v>1200</v>
      </c>
      <c r="FX32" s="270">
        <f t="shared" si="95"/>
        <v>100</v>
      </c>
      <c r="FY32" s="427">
        <f t="shared" si="96"/>
        <v>4.861111111111116E-2</v>
      </c>
      <c r="GA32" s="431"/>
      <c r="GB32" s="242"/>
      <c r="GF32" s="427"/>
      <c r="GG32" s="421">
        <v>1</v>
      </c>
      <c r="GH32" s="270">
        <v>1</v>
      </c>
      <c r="GI32" s="427">
        <f t="shared" si="97"/>
        <v>7.7777777777777842E-6</v>
      </c>
      <c r="GJ32" s="421">
        <f t="shared" si="98"/>
        <v>1</v>
      </c>
      <c r="GK32" s="270">
        <f t="shared" si="99"/>
        <v>1</v>
      </c>
      <c r="GL32" s="427">
        <f t="shared" si="100"/>
        <v>1.5555555555555568E-5</v>
      </c>
      <c r="GM32" s="421">
        <f t="shared" si="101"/>
        <v>1</v>
      </c>
      <c r="GN32" s="270">
        <f t="shared" si="102"/>
        <v>1</v>
      </c>
      <c r="GO32" s="427">
        <f t="shared" si="103"/>
        <v>2.3333333333333353E-5</v>
      </c>
      <c r="GP32" s="421">
        <f t="shared" si="104"/>
        <v>1</v>
      </c>
      <c r="GQ32" s="270">
        <f t="shared" si="105"/>
        <v>1</v>
      </c>
      <c r="GR32" s="427">
        <f t="shared" si="106"/>
        <v>3.1111111111111137E-5</v>
      </c>
      <c r="GS32" s="421">
        <f t="shared" si="107"/>
        <v>1</v>
      </c>
      <c r="GT32" s="270">
        <f t="shared" si="108"/>
        <v>1</v>
      </c>
      <c r="GU32" s="427">
        <f t="shared" si="109"/>
        <v>3.8888888888888918E-5</v>
      </c>
      <c r="GV32" s="421">
        <f t="shared" si="110"/>
        <v>1</v>
      </c>
      <c r="GW32" s="270">
        <f t="shared" si="111"/>
        <v>1</v>
      </c>
      <c r="GX32" s="427">
        <f t="shared" si="112"/>
        <v>7.7777777777777836E-5</v>
      </c>
      <c r="GY32" s="421">
        <f t="shared" si="113"/>
        <v>1</v>
      </c>
      <c r="GZ32" s="270">
        <f t="shared" si="114"/>
        <v>1</v>
      </c>
      <c r="HA32" s="427">
        <f t="shared" si="115"/>
        <v>1.5555555555555567E-4</v>
      </c>
      <c r="HB32" s="421">
        <f t="shared" si="116"/>
        <v>1</v>
      </c>
      <c r="HC32" s="270">
        <f t="shared" si="117"/>
        <v>1</v>
      </c>
      <c r="HD32" s="427">
        <f t="shared" si="118"/>
        <v>2.3333333333333352E-4</v>
      </c>
      <c r="HE32" s="421">
        <f t="shared" si="119"/>
        <v>1</v>
      </c>
      <c r="HF32" s="270">
        <f t="shared" si="120"/>
        <v>1</v>
      </c>
      <c r="HG32" s="427">
        <f t="shared" si="121"/>
        <v>3.1111111111111134E-4</v>
      </c>
      <c r="HH32" s="421">
        <f t="shared" si="122"/>
        <v>1</v>
      </c>
      <c r="HI32" s="270">
        <f t="shared" si="123"/>
        <v>1</v>
      </c>
      <c r="HJ32" s="427">
        <f t="shared" si="124"/>
        <v>3.8888888888888919E-4</v>
      </c>
      <c r="HK32" s="421">
        <f t="shared" si="125"/>
        <v>1</v>
      </c>
      <c r="HL32" s="270">
        <f t="shared" si="125"/>
        <v>1</v>
      </c>
      <c r="HM32" s="427">
        <f t="shared" si="126"/>
        <v>7.7777777777777838E-4</v>
      </c>
      <c r="HN32" s="421">
        <f t="shared" si="127"/>
        <v>1</v>
      </c>
      <c r="HO32" s="270">
        <f t="shared" si="127"/>
        <v>1</v>
      </c>
      <c r="HP32" s="427">
        <f t="shared" si="128"/>
        <v>1.5555555555555568E-3</v>
      </c>
      <c r="HQ32" s="421">
        <f t="shared" si="129"/>
        <v>1</v>
      </c>
      <c r="HR32" s="270">
        <f t="shared" si="129"/>
        <v>1</v>
      </c>
      <c r="HS32" s="427">
        <f t="shared" si="130"/>
        <v>2.3333333333333353E-3</v>
      </c>
      <c r="HT32" s="421">
        <f t="shared" si="131"/>
        <v>1</v>
      </c>
      <c r="HU32" s="270">
        <f t="shared" si="131"/>
        <v>1</v>
      </c>
      <c r="HV32" s="427">
        <f t="shared" si="132"/>
        <v>3.1111111111111135E-3</v>
      </c>
      <c r="HW32" s="421">
        <f t="shared" si="133"/>
        <v>1</v>
      </c>
      <c r="HX32" s="270">
        <f t="shared" si="133"/>
        <v>1</v>
      </c>
      <c r="HY32" s="427">
        <f t="shared" si="134"/>
        <v>3.8888888888888922E-3</v>
      </c>
      <c r="HZ32" s="421">
        <f t="shared" si="135"/>
        <v>1</v>
      </c>
      <c r="IA32" s="270">
        <f t="shared" si="135"/>
        <v>1</v>
      </c>
      <c r="IB32" s="427">
        <f t="shared" si="136"/>
        <v>7.7777777777777845E-3</v>
      </c>
      <c r="IC32" s="421">
        <f t="shared" si="137"/>
        <v>1</v>
      </c>
      <c r="ID32" s="270">
        <f t="shared" si="137"/>
        <v>1</v>
      </c>
      <c r="IE32" s="427">
        <f t="shared" si="138"/>
        <v>1.5555555555555569E-2</v>
      </c>
      <c r="IF32" s="421">
        <f t="shared" si="139"/>
        <v>1</v>
      </c>
      <c r="IG32" s="270">
        <f t="shared" si="139"/>
        <v>1</v>
      </c>
      <c r="IH32" s="427">
        <f t="shared" si="140"/>
        <v>2.3333333333333352E-2</v>
      </c>
      <c r="II32" s="421">
        <f t="shared" si="141"/>
        <v>1</v>
      </c>
      <c r="IJ32" s="270">
        <f t="shared" si="141"/>
        <v>1</v>
      </c>
      <c r="IK32" s="427">
        <f t="shared" si="142"/>
        <v>3.1111111111111138E-2</v>
      </c>
      <c r="IL32" s="421">
        <f t="shared" si="143"/>
        <v>1</v>
      </c>
      <c r="IM32" s="270">
        <f t="shared" si="143"/>
        <v>1</v>
      </c>
      <c r="IN32" s="427">
        <f t="shared" si="144"/>
        <v>3.8888888888888917E-2</v>
      </c>
      <c r="IS32" s="447">
        <f t="shared" si="245"/>
        <v>0</v>
      </c>
      <c r="IT32" s="447">
        <f t="shared" si="245"/>
        <v>0</v>
      </c>
      <c r="IU32" s="447">
        <f t="shared" si="245"/>
        <v>0</v>
      </c>
      <c r="IV32" s="447">
        <f t="shared" si="245"/>
        <v>2.8E-3</v>
      </c>
      <c r="IW32" s="447">
        <f t="shared" si="245"/>
        <v>3.5000000000000001E-3</v>
      </c>
      <c r="IX32" s="447">
        <f t="shared" si="245"/>
        <v>7.0000000000000001E-3</v>
      </c>
      <c r="IY32" s="447">
        <f t="shared" si="245"/>
        <v>1.4E-2</v>
      </c>
      <c r="IZ32" s="447">
        <f t="shared" si="245"/>
        <v>2.1000000000000001E-2</v>
      </c>
      <c r="JA32" s="447">
        <f t="shared" si="245"/>
        <v>2.8000000000000001E-2</v>
      </c>
      <c r="JB32" s="447">
        <f t="shared" si="245"/>
        <v>3.5000000000000003E-2</v>
      </c>
      <c r="JC32" s="447">
        <f t="shared" si="246"/>
        <v>7.0000000000000007E-2</v>
      </c>
      <c r="JD32" s="447">
        <f t="shared" si="246"/>
        <v>8.7499999999999994E-2</v>
      </c>
      <c r="JE32" s="447">
        <f t="shared" si="246"/>
        <v>8.7486000000000008E-2</v>
      </c>
      <c r="JF32" s="447">
        <f t="shared" si="246"/>
        <v>8.7472000000000008E-2</v>
      </c>
      <c r="JG32" s="447">
        <f t="shared" si="246"/>
        <v>8.7465000000000001E-2</v>
      </c>
      <c r="JH32" s="447">
        <f t="shared" si="246"/>
        <v>8.7429999999999994E-2</v>
      </c>
      <c r="JI32" s="447">
        <f t="shared" si="246"/>
        <v>8.7360000000000021E-2</v>
      </c>
      <c r="JJ32" s="447">
        <f t="shared" si="246"/>
        <v>8.7359999999999993E-2</v>
      </c>
      <c r="JK32" s="447">
        <f t="shared" si="246"/>
        <v>8.7360000000000021E-2</v>
      </c>
      <c r="JL32" s="447">
        <f t="shared" si="246"/>
        <v>8.7150000000000005E-2</v>
      </c>
      <c r="JU32" s="242">
        <f t="shared" si="198"/>
        <v>1400000</v>
      </c>
      <c r="JV32" s="242">
        <f t="shared" si="199"/>
        <v>1000000</v>
      </c>
      <c r="JW32" s="242">
        <f t="shared" si="216"/>
        <v>0.2</v>
      </c>
      <c r="JX32" s="242">
        <f t="shared" si="200"/>
        <v>1500000</v>
      </c>
      <c r="JY32" s="241">
        <f t="shared" si="217"/>
        <v>0.8</v>
      </c>
      <c r="JZ32" s="241">
        <f t="shared" si="218"/>
        <v>1400000</v>
      </c>
      <c r="KA32" s="241" t="str">
        <f t="shared" si="219"/>
        <v>期望符合预期</v>
      </c>
      <c r="KC32" s="242">
        <f t="shared" si="201"/>
        <v>2800000</v>
      </c>
      <c r="KD32" s="242">
        <f t="shared" si="202"/>
        <v>2000000</v>
      </c>
      <c r="KE32" s="242">
        <f t="shared" si="220"/>
        <v>0.2</v>
      </c>
      <c r="KF32" s="242">
        <f t="shared" si="203"/>
        <v>3000000</v>
      </c>
      <c r="KG32" s="241">
        <f t="shared" si="221"/>
        <v>0.8</v>
      </c>
      <c r="KH32" s="241">
        <f t="shared" si="222"/>
        <v>2800000</v>
      </c>
      <c r="KI32" s="241" t="str">
        <f t="shared" si="223"/>
        <v>期望符合预期</v>
      </c>
      <c r="KK32" s="242">
        <f t="shared" si="204"/>
        <v>4200000</v>
      </c>
      <c r="KL32" s="242">
        <f t="shared" si="205"/>
        <v>4000000</v>
      </c>
      <c r="KM32" s="242">
        <f t="shared" si="224"/>
        <v>0.8</v>
      </c>
      <c r="KN32" s="242">
        <f t="shared" si="206"/>
        <v>5000000</v>
      </c>
      <c r="KO32" s="241">
        <f t="shared" si="225"/>
        <v>0.2</v>
      </c>
      <c r="KP32" s="241">
        <f t="shared" si="226"/>
        <v>4200000</v>
      </c>
      <c r="KQ32" s="241" t="str">
        <f t="shared" si="227"/>
        <v>期望符合预期</v>
      </c>
      <c r="KS32" s="242">
        <f t="shared" si="207"/>
        <v>5600000</v>
      </c>
      <c r="KT32" s="242">
        <f t="shared" si="208"/>
        <v>5000000</v>
      </c>
      <c r="KU32" s="242">
        <f t="shared" si="228"/>
        <v>0.88</v>
      </c>
      <c r="KV32" s="242">
        <f t="shared" si="209"/>
        <v>10000000</v>
      </c>
      <c r="KW32" s="241">
        <f t="shared" si="229"/>
        <v>0.12</v>
      </c>
      <c r="KX32" s="241">
        <f t="shared" si="230"/>
        <v>5600000</v>
      </c>
      <c r="KY32" s="241" t="str">
        <f t="shared" si="231"/>
        <v>期望符合预期</v>
      </c>
      <c r="LA32" s="242">
        <f t="shared" si="210"/>
        <v>7000000</v>
      </c>
      <c r="LB32" s="242">
        <f t="shared" si="211"/>
        <v>5000000</v>
      </c>
      <c r="LC32" s="242">
        <f t="shared" si="232"/>
        <v>0.6</v>
      </c>
      <c r="LD32" s="242">
        <f t="shared" si="212"/>
        <v>10000000</v>
      </c>
      <c r="LE32" s="241">
        <f t="shared" si="233"/>
        <v>0.4</v>
      </c>
      <c r="LF32" s="241">
        <f t="shared" si="234"/>
        <v>7000000</v>
      </c>
      <c r="LG32" s="241" t="str">
        <f t="shared" si="235"/>
        <v>期望符合预期</v>
      </c>
    </row>
    <row r="33" spans="1:319" ht="16.2" x14ac:dyDescent="0.4">
      <c r="A33" s="63">
        <v>27</v>
      </c>
      <c r="B33" s="254" t="s">
        <v>1719</v>
      </c>
      <c r="C33" s="63">
        <v>4</v>
      </c>
      <c r="D33" s="63">
        <v>-1</v>
      </c>
      <c r="E33" s="39">
        <f t="shared" si="527"/>
        <v>80</v>
      </c>
      <c r="F33" s="63" t="str">
        <f t="shared" ref="F33:F40" si="530">BX33&amp;"~"&amp;CB33</f>
        <v>60~100</v>
      </c>
      <c r="G33" s="63">
        <f t="shared" si="167"/>
        <v>80</v>
      </c>
      <c r="H33" s="256" t="str">
        <f t="shared" ref="H33:H40" si="531">"[["&amp;BX33&amp;","&amp;BY33&amp;"],["&amp;BZ33&amp;","&amp;CA33&amp;"],["&amp;CB33&amp;","&amp;CC33&amp;"]]"</f>
        <v>[[60,1],[80,1],[100,1]]</v>
      </c>
      <c r="I33" s="265"/>
      <c r="J33" s="63">
        <f>J32</f>
        <v>5</v>
      </c>
      <c r="K33" s="63">
        <f>K32</f>
        <v>1</v>
      </c>
      <c r="L33" s="63">
        <v>0</v>
      </c>
      <c r="M33" s="266">
        <f>ROUND($BX$7/('全局参数|GlobalPar'!$B$19/10000/E33),6)*(7/5)</f>
        <v>5.55562E-2</v>
      </c>
      <c r="N33" s="267">
        <v>2</v>
      </c>
      <c r="O33" s="268">
        <f>ROUND(IF(N33&lt;&gt;0,$BX$4/('全局参数|GlobalPar'!$B$19/10000/E33)/N33,0),6)</f>
        <v>0</v>
      </c>
      <c r="P33" s="270">
        <f t="shared" si="386"/>
        <v>1.6E-2</v>
      </c>
      <c r="Q33" s="285">
        <f t="shared" si="20"/>
        <v>0</v>
      </c>
      <c r="R33" s="282">
        <v>12</v>
      </c>
      <c r="S33" s="283">
        <v>1</v>
      </c>
      <c r="T33" s="284" t="str">
        <f t="shared" si="21"/>
        <v>[[12,1],[12,1],[12,1],[12,1],[12,1],[12,1],[12,1],[12,1],[12,1],[12,1],[24,2],[48,4],[72,6],[96,8],[120,10],[240,20],[480,40],[720,60],[960,80],[1200,100]]</v>
      </c>
      <c r="U33" s="284">
        <v>1</v>
      </c>
      <c r="V33" s="284">
        <v>1</v>
      </c>
      <c r="W33" s="284" t="str">
        <f t="shared" si="168"/>
        <v>[[1,1],[1,1],[1,1],[1,1],[1,1],[1,1],[1,1],[1,1],[1,1],[1,1],[1,1],[1,1],[1,1],[1,1],[1,1],[1,1],[1,1],[1,1],[1,1],[1,1]]</v>
      </c>
      <c r="X33" s="63">
        <v>0</v>
      </c>
      <c r="Y33" s="306">
        <v>0.11764705882352899</v>
      </c>
      <c r="Z33" s="303">
        <f t="shared" si="22"/>
        <v>0.06</v>
      </c>
      <c r="AA33" s="303">
        <v>0.06</v>
      </c>
      <c r="AB33" s="303">
        <f t="shared" si="169"/>
        <v>0.1</v>
      </c>
      <c r="AC33" s="304">
        <f t="shared" si="213"/>
        <v>0.05</v>
      </c>
      <c r="AD33" s="304">
        <f t="shared" si="213"/>
        <v>0.02</v>
      </c>
      <c r="AE33" s="304">
        <f>AE32</f>
        <v>8.0000000000000002E-3</v>
      </c>
      <c r="AF33" s="304">
        <f>AF32</f>
        <v>2E-3</v>
      </c>
      <c r="AG33" s="63" t="str">
        <f t="shared" si="170"/>
        <v>[[2,5],[3,2],[4,1]]</v>
      </c>
      <c r="AH33" s="256" t="str">
        <f t="shared" si="171"/>
        <v>[0.426667,0.213333,0.142222]</v>
      </c>
      <c r="AI33" s="256">
        <v>0</v>
      </c>
      <c r="AJ33" s="256">
        <v>1</v>
      </c>
      <c r="AK33" s="256">
        <f t="shared" si="243"/>
        <v>1</v>
      </c>
      <c r="AL33" s="256">
        <v>1</v>
      </c>
      <c r="AM33" s="256">
        <f t="shared" si="172"/>
        <v>24</v>
      </c>
      <c r="AN33" s="256" t="s">
        <v>2549</v>
      </c>
      <c r="AO33" s="324">
        <v>11</v>
      </c>
      <c r="AP33" s="63">
        <f t="shared" si="528"/>
        <v>1</v>
      </c>
      <c r="AQ33" s="63">
        <v>0</v>
      </c>
      <c r="AR33" s="63">
        <v>2</v>
      </c>
      <c r="AS33" s="39">
        <v>4</v>
      </c>
      <c r="AT33" s="39">
        <v>1</v>
      </c>
      <c r="AU33" s="261">
        <v>1.2</v>
      </c>
      <c r="AV33" s="261">
        <v>1.2</v>
      </c>
      <c r="AW33" s="63">
        <v>1</v>
      </c>
      <c r="AX33" s="63">
        <v>1</v>
      </c>
      <c r="AY33" s="63" t="s">
        <v>1159</v>
      </c>
      <c r="AZ33" s="39"/>
      <c r="BA33" s="39"/>
      <c r="BB33" s="328">
        <v>0.75</v>
      </c>
      <c r="BC33" s="39">
        <v>90</v>
      </c>
      <c r="BD33" s="39">
        <v>0.18</v>
      </c>
      <c r="BE33" s="39">
        <v>0.8</v>
      </c>
      <c r="BF33" s="39">
        <v>1</v>
      </c>
      <c r="BG33" s="39" t="s">
        <v>1677</v>
      </c>
      <c r="BH33" s="331" t="s">
        <v>1720</v>
      </c>
      <c r="BI33" s="331" t="s">
        <v>1720</v>
      </c>
      <c r="BJ33" s="334" t="s">
        <v>425</v>
      </c>
      <c r="BK33" s="265" t="s">
        <v>280</v>
      </c>
      <c r="BL33" s="265"/>
      <c r="BM33" s="265"/>
      <c r="BN33" s="81">
        <f t="shared" si="387"/>
        <v>8.6</v>
      </c>
      <c r="BO33" s="343">
        <f t="shared" si="26"/>
        <v>17.441860465116278</v>
      </c>
      <c r="BP33" s="81" t="s">
        <v>1606</v>
      </c>
      <c r="BQ33" s="81">
        <f t="shared" si="388"/>
        <v>0.89600000000000002</v>
      </c>
      <c r="BR33" s="81"/>
      <c r="BS33" s="63">
        <f t="shared" si="28"/>
        <v>86</v>
      </c>
      <c r="BT33" s="63">
        <f t="shared" si="29"/>
        <v>90.800000000000011</v>
      </c>
      <c r="BV33" s="63">
        <f t="shared" si="30"/>
        <v>0</v>
      </c>
      <c r="BW33" s="268">
        <v>0.1</v>
      </c>
      <c r="BX33" s="361">
        <v>60</v>
      </c>
      <c r="BY33" s="39">
        <v>1</v>
      </c>
      <c r="BZ33" s="364">
        <v>80</v>
      </c>
      <c r="CA33" s="39">
        <v>1</v>
      </c>
      <c r="CB33" s="362">
        <v>100</v>
      </c>
      <c r="CC33" s="39">
        <v>1</v>
      </c>
      <c r="CD33" s="363">
        <f t="shared" si="529"/>
        <v>80</v>
      </c>
      <c r="CE33" s="39">
        <f>(BY33+CA33+CC33)/BY33</f>
        <v>3</v>
      </c>
      <c r="CF33" s="39">
        <f t="shared" ref="CF33:CF40" si="532">MIN(CE33*BW33,1)</f>
        <v>0.30000000000000004</v>
      </c>
      <c r="CG33" s="371">
        <f t="shared" si="31"/>
        <v>88</v>
      </c>
      <c r="CH33" s="372">
        <f t="shared" si="214"/>
        <v>0.1</v>
      </c>
      <c r="CI33" s="373">
        <v>2</v>
      </c>
      <c r="CJ33" s="143">
        <v>5</v>
      </c>
      <c r="CK33" s="373">
        <v>3</v>
      </c>
      <c r="CL33" s="143">
        <v>2</v>
      </c>
      <c r="CM33" s="373">
        <v>4</v>
      </c>
      <c r="CN33" s="143">
        <v>1</v>
      </c>
      <c r="CO33" s="143">
        <f t="shared" si="174"/>
        <v>2.5</v>
      </c>
      <c r="CP33" s="143">
        <f t="shared" si="175"/>
        <v>7.5</v>
      </c>
      <c r="CQ33" s="377">
        <f t="shared" si="176"/>
        <v>0.42666700000000002</v>
      </c>
      <c r="CR33" s="143">
        <f t="shared" si="175"/>
        <v>15</v>
      </c>
      <c r="CS33" s="378">
        <f t="shared" si="177"/>
        <v>0.21333299999999999</v>
      </c>
      <c r="CT33" s="143">
        <f t="shared" si="175"/>
        <v>22.5</v>
      </c>
      <c r="CU33" s="392">
        <f t="shared" si="178"/>
        <v>0.14222199999999999</v>
      </c>
      <c r="CW33" s="241">
        <v>2E-3</v>
      </c>
      <c r="CX33" s="396">
        <f t="shared" si="215"/>
        <v>0</v>
      </c>
      <c r="CY33" s="270">
        <f t="shared" si="33"/>
        <v>0</v>
      </c>
      <c r="CZ33" s="394">
        <f t="shared" si="34"/>
        <v>0</v>
      </c>
      <c r="DA33" s="394">
        <f t="shared" si="35"/>
        <v>0</v>
      </c>
      <c r="DB33" s="395">
        <f t="shared" si="179"/>
        <v>0</v>
      </c>
      <c r="DC33" s="419">
        <f t="shared" si="36"/>
        <v>0</v>
      </c>
      <c r="DD33" s="394">
        <f t="shared" si="37"/>
        <v>0</v>
      </c>
      <c r="DE33" s="420" t="e">
        <f t="shared" si="38"/>
        <v>#DIV/0!</v>
      </c>
      <c r="DF33" s="421">
        <f t="shared" si="180"/>
        <v>12</v>
      </c>
      <c r="DG33" s="422">
        <f t="shared" si="181"/>
        <v>1</v>
      </c>
      <c r="DH33" s="284"/>
      <c r="DI33" s="282">
        <v>12</v>
      </c>
      <c r="DJ33" s="283">
        <v>1</v>
      </c>
      <c r="DL33" s="431"/>
      <c r="DM33" s="242"/>
      <c r="DQ33" s="427"/>
      <c r="DR33" s="421">
        <v>12</v>
      </c>
      <c r="DS33" s="270">
        <v>1</v>
      </c>
      <c r="DT33" s="427">
        <f t="shared" si="39"/>
        <v>1.1111111111111124E-3</v>
      </c>
      <c r="DU33" s="421">
        <f t="shared" si="40"/>
        <v>12</v>
      </c>
      <c r="DV33" s="270">
        <f t="shared" si="182"/>
        <v>1</v>
      </c>
      <c r="DW33" s="427">
        <f t="shared" si="42"/>
        <v>2.2222222222222248E-3</v>
      </c>
      <c r="DX33" s="421">
        <f t="shared" si="43"/>
        <v>12</v>
      </c>
      <c r="DY33" s="270">
        <f t="shared" si="183"/>
        <v>1</v>
      </c>
      <c r="DZ33" s="427">
        <f t="shared" si="45"/>
        <v>3.333333333333337E-3</v>
      </c>
      <c r="EA33" s="421">
        <f t="shared" si="184"/>
        <v>12</v>
      </c>
      <c r="EB33" s="270">
        <f t="shared" si="185"/>
        <v>1</v>
      </c>
      <c r="EC33" s="427">
        <f t="shared" si="48"/>
        <v>4.4444444444444496E-3</v>
      </c>
      <c r="ED33" s="421">
        <f t="shared" si="186"/>
        <v>12</v>
      </c>
      <c r="EE33" s="270">
        <f t="shared" si="187"/>
        <v>1</v>
      </c>
      <c r="EF33" s="427">
        <f t="shared" si="51"/>
        <v>5.555555555555561E-3</v>
      </c>
      <c r="EG33" s="421">
        <f t="shared" si="188"/>
        <v>12</v>
      </c>
      <c r="EH33" s="270">
        <f t="shared" si="189"/>
        <v>1</v>
      </c>
      <c r="EI33" s="427">
        <f t="shared" si="54"/>
        <v>1.1111111111111122E-2</v>
      </c>
      <c r="EJ33" s="421">
        <f t="shared" si="190"/>
        <v>12</v>
      </c>
      <c r="EK33" s="270">
        <f t="shared" si="191"/>
        <v>1</v>
      </c>
      <c r="EL33" s="427">
        <f t="shared" si="57"/>
        <v>2.2222222222222244E-2</v>
      </c>
      <c r="EM33" s="421">
        <f t="shared" si="192"/>
        <v>12</v>
      </c>
      <c r="EN33" s="270">
        <f t="shared" si="193"/>
        <v>1</v>
      </c>
      <c r="EO33" s="427">
        <f t="shared" si="60"/>
        <v>3.3333333333333368E-2</v>
      </c>
      <c r="EP33" s="421">
        <f t="shared" si="194"/>
        <v>12</v>
      </c>
      <c r="EQ33" s="270">
        <f t="shared" si="195"/>
        <v>1</v>
      </c>
      <c r="ER33" s="427">
        <f t="shared" si="63"/>
        <v>4.4444444444444488E-2</v>
      </c>
      <c r="ES33" s="421">
        <f t="shared" si="196"/>
        <v>12</v>
      </c>
      <c r="ET33" s="270">
        <f t="shared" si="197"/>
        <v>1</v>
      </c>
      <c r="EU33" s="427">
        <f t="shared" si="66"/>
        <v>5.5555555555555615E-2</v>
      </c>
      <c r="EV33" s="421">
        <f t="shared" si="67"/>
        <v>24</v>
      </c>
      <c r="EW33" s="270">
        <f t="shared" si="68"/>
        <v>2</v>
      </c>
      <c r="EX33" s="427">
        <f t="shared" si="69"/>
        <v>5.5555555555555615E-2</v>
      </c>
      <c r="EY33" s="421">
        <f t="shared" si="70"/>
        <v>48</v>
      </c>
      <c r="EZ33" s="270">
        <f t="shared" si="71"/>
        <v>4</v>
      </c>
      <c r="FA33" s="427">
        <f t="shared" si="72"/>
        <v>5.5555555555555615E-2</v>
      </c>
      <c r="FB33" s="421">
        <f t="shared" si="73"/>
        <v>72</v>
      </c>
      <c r="FC33" s="270">
        <f t="shared" si="74"/>
        <v>6</v>
      </c>
      <c r="FD33" s="427">
        <f t="shared" si="75"/>
        <v>5.5555555555555615E-2</v>
      </c>
      <c r="FE33" s="421">
        <f t="shared" si="76"/>
        <v>96</v>
      </c>
      <c r="FF33" s="270">
        <f t="shared" si="77"/>
        <v>8</v>
      </c>
      <c r="FG33" s="427">
        <f t="shared" si="78"/>
        <v>5.5555555555555615E-2</v>
      </c>
      <c r="FH33" s="421">
        <f t="shared" si="79"/>
        <v>120</v>
      </c>
      <c r="FI33" s="270">
        <f t="shared" si="80"/>
        <v>10</v>
      </c>
      <c r="FJ33" s="427">
        <f t="shared" si="81"/>
        <v>5.5555555555555615E-2</v>
      </c>
      <c r="FK33" s="421">
        <f t="shared" si="82"/>
        <v>240</v>
      </c>
      <c r="FL33" s="270">
        <f t="shared" si="83"/>
        <v>20</v>
      </c>
      <c r="FM33" s="427">
        <f t="shared" si="84"/>
        <v>5.5555555555555615E-2</v>
      </c>
      <c r="FN33" s="421">
        <f t="shared" si="85"/>
        <v>480</v>
      </c>
      <c r="FO33" s="270">
        <f t="shared" si="86"/>
        <v>40</v>
      </c>
      <c r="FP33" s="427">
        <f t="shared" si="87"/>
        <v>5.5555555555555615E-2</v>
      </c>
      <c r="FQ33" s="421">
        <f t="shared" si="88"/>
        <v>720</v>
      </c>
      <c r="FR33" s="270">
        <f t="shared" si="89"/>
        <v>60</v>
      </c>
      <c r="FS33" s="427">
        <f t="shared" si="90"/>
        <v>5.5555555555555615E-2</v>
      </c>
      <c r="FT33" s="421">
        <f t="shared" si="91"/>
        <v>960</v>
      </c>
      <c r="FU33" s="270">
        <f t="shared" si="92"/>
        <v>80</v>
      </c>
      <c r="FV33" s="427">
        <f t="shared" si="93"/>
        <v>5.5555555555555615E-2</v>
      </c>
      <c r="FW33" s="421">
        <f t="shared" si="94"/>
        <v>1200</v>
      </c>
      <c r="FX33" s="270">
        <f t="shared" si="95"/>
        <v>100</v>
      </c>
      <c r="FY33" s="427">
        <f t="shared" si="96"/>
        <v>5.5555555555555615E-2</v>
      </c>
      <c r="GA33" s="431"/>
      <c r="GB33" s="242"/>
      <c r="GF33" s="427"/>
      <c r="GG33" s="421">
        <v>1</v>
      </c>
      <c r="GH33" s="270">
        <v>1</v>
      </c>
      <c r="GI33" s="427">
        <f t="shared" si="97"/>
        <v>8.8888888888888968E-6</v>
      </c>
      <c r="GJ33" s="421">
        <f t="shared" si="98"/>
        <v>1</v>
      </c>
      <c r="GK33" s="270">
        <f t="shared" si="99"/>
        <v>1</v>
      </c>
      <c r="GL33" s="427">
        <f t="shared" si="100"/>
        <v>1.7777777777777794E-5</v>
      </c>
      <c r="GM33" s="421">
        <f t="shared" si="101"/>
        <v>1</v>
      </c>
      <c r="GN33" s="270">
        <f t="shared" si="102"/>
        <v>1</v>
      </c>
      <c r="GO33" s="427">
        <f t="shared" si="103"/>
        <v>2.6666666666666687E-5</v>
      </c>
      <c r="GP33" s="421">
        <f t="shared" si="104"/>
        <v>1</v>
      </c>
      <c r="GQ33" s="270">
        <f t="shared" si="105"/>
        <v>1</v>
      </c>
      <c r="GR33" s="427">
        <f t="shared" si="106"/>
        <v>3.5555555555555587E-5</v>
      </c>
      <c r="GS33" s="421">
        <f t="shared" si="107"/>
        <v>1</v>
      </c>
      <c r="GT33" s="270">
        <f t="shared" si="108"/>
        <v>1</v>
      </c>
      <c r="GU33" s="427">
        <f t="shared" si="109"/>
        <v>4.444444444444448E-5</v>
      </c>
      <c r="GV33" s="421">
        <f t="shared" si="110"/>
        <v>1</v>
      </c>
      <c r="GW33" s="270">
        <f t="shared" si="111"/>
        <v>1</v>
      </c>
      <c r="GX33" s="427">
        <f t="shared" si="112"/>
        <v>8.8888888888888961E-5</v>
      </c>
      <c r="GY33" s="421">
        <f t="shared" si="113"/>
        <v>1</v>
      </c>
      <c r="GZ33" s="270">
        <f t="shared" si="114"/>
        <v>1</v>
      </c>
      <c r="HA33" s="427">
        <f t="shared" si="115"/>
        <v>1.7777777777777792E-4</v>
      </c>
      <c r="HB33" s="421">
        <f t="shared" si="116"/>
        <v>1</v>
      </c>
      <c r="HC33" s="270">
        <f t="shared" si="117"/>
        <v>1</v>
      </c>
      <c r="HD33" s="427">
        <f t="shared" si="118"/>
        <v>2.666666666666669E-4</v>
      </c>
      <c r="HE33" s="421">
        <f t="shared" si="119"/>
        <v>1</v>
      </c>
      <c r="HF33" s="270">
        <f t="shared" si="120"/>
        <v>1</v>
      </c>
      <c r="HG33" s="427">
        <f t="shared" si="121"/>
        <v>3.5555555555555584E-4</v>
      </c>
      <c r="HH33" s="421">
        <f t="shared" si="122"/>
        <v>1</v>
      </c>
      <c r="HI33" s="270">
        <f t="shared" si="123"/>
        <v>1</v>
      </c>
      <c r="HJ33" s="427">
        <f t="shared" si="124"/>
        <v>4.4444444444444479E-4</v>
      </c>
      <c r="HK33" s="421">
        <f t="shared" si="125"/>
        <v>1</v>
      </c>
      <c r="HL33" s="270">
        <f t="shared" si="125"/>
        <v>1</v>
      </c>
      <c r="HM33" s="427">
        <f t="shared" si="126"/>
        <v>8.8888888888888958E-4</v>
      </c>
      <c r="HN33" s="421">
        <f t="shared" si="127"/>
        <v>1</v>
      </c>
      <c r="HO33" s="270">
        <f t="shared" si="127"/>
        <v>1</v>
      </c>
      <c r="HP33" s="427">
        <f t="shared" si="128"/>
        <v>1.7777777777777792E-3</v>
      </c>
      <c r="HQ33" s="421">
        <f t="shared" si="129"/>
        <v>1</v>
      </c>
      <c r="HR33" s="270">
        <f t="shared" si="129"/>
        <v>1</v>
      </c>
      <c r="HS33" s="427">
        <f t="shared" si="130"/>
        <v>2.6666666666666687E-3</v>
      </c>
      <c r="HT33" s="421">
        <f t="shared" si="131"/>
        <v>1</v>
      </c>
      <c r="HU33" s="270">
        <f t="shared" si="131"/>
        <v>1</v>
      </c>
      <c r="HV33" s="427">
        <f t="shared" si="132"/>
        <v>3.5555555555555583E-3</v>
      </c>
      <c r="HW33" s="421">
        <f t="shared" si="133"/>
        <v>1</v>
      </c>
      <c r="HX33" s="270">
        <f t="shared" si="133"/>
        <v>1</v>
      </c>
      <c r="HY33" s="427">
        <f t="shared" si="134"/>
        <v>4.4444444444444479E-3</v>
      </c>
      <c r="HZ33" s="421">
        <f t="shared" si="135"/>
        <v>1</v>
      </c>
      <c r="IA33" s="270">
        <f t="shared" si="135"/>
        <v>1</v>
      </c>
      <c r="IB33" s="427">
        <f t="shared" si="136"/>
        <v>8.8888888888888958E-3</v>
      </c>
      <c r="IC33" s="421">
        <f t="shared" si="137"/>
        <v>1</v>
      </c>
      <c r="ID33" s="270">
        <f t="shared" si="137"/>
        <v>1</v>
      </c>
      <c r="IE33" s="427">
        <f t="shared" si="138"/>
        <v>1.7777777777777792E-2</v>
      </c>
      <c r="IF33" s="421">
        <f t="shared" si="139"/>
        <v>1</v>
      </c>
      <c r="IG33" s="270">
        <f t="shared" si="139"/>
        <v>1</v>
      </c>
      <c r="IH33" s="427">
        <f t="shared" si="140"/>
        <v>2.6666666666666689E-2</v>
      </c>
      <c r="II33" s="421">
        <f t="shared" si="141"/>
        <v>1</v>
      </c>
      <c r="IJ33" s="270">
        <f t="shared" si="141"/>
        <v>1</v>
      </c>
      <c r="IK33" s="427">
        <f t="shared" si="142"/>
        <v>3.5555555555555583E-2</v>
      </c>
      <c r="IL33" s="421">
        <f t="shared" si="143"/>
        <v>1</v>
      </c>
      <c r="IM33" s="270">
        <f t="shared" si="143"/>
        <v>1</v>
      </c>
      <c r="IN33" s="427">
        <f t="shared" si="144"/>
        <v>4.4444444444444481E-2</v>
      </c>
      <c r="IS33" s="447">
        <f t="shared" si="245"/>
        <v>0</v>
      </c>
      <c r="IT33" s="447">
        <f t="shared" si="245"/>
        <v>0</v>
      </c>
      <c r="IU33" s="447">
        <f t="shared" si="245"/>
        <v>0</v>
      </c>
      <c r="IV33" s="447">
        <f t="shared" si="245"/>
        <v>3.2000000000000002E-3</v>
      </c>
      <c r="IW33" s="447">
        <f t="shared" si="245"/>
        <v>4.0000000000000001E-3</v>
      </c>
      <c r="IX33" s="447">
        <f t="shared" si="245"/>
        <v>8.0000000000000002E-3</v>
      </c>
      <c r="IY33" s="447">
        <f t="shared" si="245"/>
        <v>1.6E-2</v>
      </c>
      <c r="IZ33" s="447">
        <f t="shared" si="245"/>
        <v>2.4E-2</v>
      </c>
      <c r="JA33" s="447">
        <f t="shared" si="245"/>
        <v>3.2000000000000001E-2</v>
      </c>
      <c r="JB33" s="447">
        <f t="shared" si="245"/>
        <v>0.04</v>
      </c>
      <c r="JC33" s="447">
        <f t="shared" si="246"/>
        <v>0.08</v>
      </c>
      <c r="JD33" s="447">
        <f t="shared" si="246"/>
        <v>0.1</v>
      </c>
      <c r="JE33" s="447">
        <f t="shared" si="246"/>
        <v>9.9984000000000017E-2</v>
      </c>
      <c r="JF33" s="447">
        <f t="shared" si="246"/>
        <v>9.9968000000000015E-2</v>
      </c>
      <c r="JG33" s="447">
        <f t="shared" si="246"/>
        <v>9.9959999999999993E-2</v>
      </c>
      <c r="JH33" s="447">
        <f t="shared" si="246"/>
        <v>9.9919999999999995E-2</v>
      </c>
      <c r="JI33" s="447">
        <f t="shared" si="246"/>
        <v>9.9840000000000012E-2</v>
      </c>
      <c r="JJ33" s="447">
        <f t="shared" si="246"/>
        <v>9.9840000000000012E-2</v>
      </c>
      <c r="JK33" s="447">
        <f t="shared" si="246"/>
        <v>9.9840000000000012E-2</v>
      </c>
      <c r="JL33" s="447">
        <f t="shared" si="246"/>
        <v>9.9599999999999994E-2</v>
      </c>
      <c r="JU33" s="242">
        <f t="shared" si="198"/>
        <v>1600000</v>
      </c>
      <c r="JV33" s="242">
        <f t="shared" si="199"/>
        <v>1500000</v>
      </c>
      <c r="JW33" s="242">
        <f t="shared" si="216"/>
        <v>0.8</v>
      </c>
      <c r="JX33" s="242">
        <f t="shared" si="200"/>
        <v>2000000</v>
      </c>
      <c r="JY33" s="241">
        <f t="shared" si="217"/>
        <v>0.2</v>
      </c>
      <c r="JZ33" s="241">
        <f t="shared" si="218"/>
        <v>1600000</v>
      </c>
      <c r="KA33" s="241" t="str">
        <f t="shared" si="219"/>
        <v>期望符合预期</v>
      </c>
      <c r="KC33" s="242">
        <f t="shared" si="201"/>
        <v>3200000</v>
      </c>
      <c r="KD33" s="242">
        <f t="shared" si="202"/>
        <v>3000000</v>
      </c>
      <c r="KE33" s="242">
        <f t="shared" si="220"/>
        <v>0.8</v>
      </c>
      <c r="KF33" s="242">
        <f t="shared" si="203"/>
        <v>4000000</v>
      </c>
      <c r="KG33" s="241">
        <f t="shared" si="221"/>
        <v>0.2</v>
      </c>
      <c r="KH33" s="241">
        <f t="shared" si="222"/>
        <v>3200000</v>
      </c>
      <c r="KI33" s="241" t="str">
        <f t="shared" si="223"/>
        <v>期望符合预期</v>
      </c>
      <c r="KK33" s="242">
        <f t="shared" si="204"/>
        <v>4800000</v>
      </c>
      <c r="KL33" s="242">
        <f t="shared" si="205"/>
        <v>4000000</v>
      </c>
      <c r="KM33" s="242">
        <f t="shared" si="224"/>
        <v>0.2</v>
      </c>
      <c r="KN33" s="242">
        <f t="shared" si="206"/>
        <v>5000000</v>
      </c>
      <c r="KO33" s="241">
        <f t="shared" si="225"/>
        <v>0.8</v>
      </c>
      <c r="KP33" s="241">
        <f t="shared" si="226"/>
        <v>4800000</v>
      </c>
      <c r="KQ33" s="241" t="str">
        <f t="shared" si="227"/>
        <v>期望符合预期</v>
      </c>
      <c r="KS33" s="242">
        <f t="shared" si="207"/>
        <v>6400000</v>
      </c>
      <c r="KT33" s="242">
        <f t="shared" si="208"/>
        <v>5000000</v>
      </c>
      <c r="KU33" s="242">
        <f t="shared" si="228"/>
        <v>0.72</v>
      </c>
      <c r="KV33" s="242">
        <f t="shared" si="209"/>
        <v>10000000</v>
      </c>
      <c r="KW33" s="241">
        <f t="shared" si="229"/>
        <v>0.28000000000000003</v>
      </c>
      <c r="KX33" s="241">
        <f t="shared" si="230"/>
        <v>6400000</v>
      </c>
      <c r="KY33" s="241" t="str">
        <f t="shared" si="231"/>
        <v>期望符合预期</v>
      </c>
      <c r="LA33" s="242">
        <f t="shared" si="210"/>
        <v>8000000</v>
      </c>
      <c r="LB33" s="242">
        <f t="shared" si="211"/>
        <v>5000000</v>
      </c>
      <c r="LC33" s="242">
        <f t="shared" si="232"/>
        <v>0.4</v>
      </c>
      <c r="LD33" s="242">
        <f t="shared" si="212"/>
        <v>10000000</v>
      </c>
      <c r="LE33" s="241">
        <f t="shared" si="233"/>
        <v>0.6</v>
      </c>
      <c r="LF33" s="241">
        <f t="shared" si="234"/>
        <v>8000000</v>
      </c>
      <c r="LG33" s="241" t="str">
        <f t="shared" si="235"/>
        <v>期望符合预期</v>
      </c>
    </row>
    <row r="34" spans="1:319" ht="16.2" x14ac:dyDescent="0.4">
      <c r="A34" s="63">
        <v>28</v>
      </c>
      <c r="B34" s="254" t="s">
        <v>1721</v>
      </c>
      <c r="C34" s="63">
        <v>4</v>
      </c>
      <c r="D34" s="63">
        <v>-1</v>
      </c>
      <c r="E34" s="39">
        <f t="shared" si="527"/>
        <v>90</v>
      </c>
      <c r="F34" s="63" t="str">
        <f t="shared" si="530"/>
        <v>60~120</v>
      </c>
      <c r="G34" s="63">
        <f t="shared" si="167"/>
        <v>90</v>
      </c>
      <c r="H34" s="256" t="str">
        <f t="shared" si="531"/>
        <v>[[60,1],[90,1],[120,1]]</v>
      </c>
      <c r="I34" s="265"/>
      <c r="J34" s="63">
        <f t="shared" ref="J34:J40" si="533">J33</f>
        <v>5</v>
      </c>
      <c r="K34" s="63">
        <f t="shared" ref="K34:K40" si="534">K33</f>
        <v>1</v>
      </c>
      <c r="L34" s="63">
        <v>0</v>
      </c>
      <c r="M34" s="266">
        <f>ROUND($BX$7/('全局参数|GlobalPar'!$B$19/10000/E34),6)*(7/5)</f>
        <v>6.2500200000000006E-2</v>
      </c>
      <c r="N34" s="267">
        <v>2</v>
      </c>
      <c r="O34" s="268">
        <f>ROUND(IF(N34&lt;&gt;0,$BX$4/('全局参数|GlobalPar'!$B$19/10000/E34)/N34,0),6)</f>
        <v>0</v>
      </c>
      <c r="P34" s="270">
        <f t="shared" si="386"/>
        <v>1.7999999999999999E-2</v>
      </c>
      <c r="Q34" s="285">
        <f t="shared" si="20"/>
        <v>0</v>
      </c>
      <c r="R34" s="282">
        <v>12</v>
      </c>
      <c r="S34" s="283">
        <v>1</v>
      </c>
      <c r="T34" s="284" t="str">
        <f t="shared" si="21"/>
        <v>[[12,1],[12,1],[12,1],[12,1],[12,1],[12,1],[12,1],[12,1],[12,1],[12,1],[24,2],[48,4],[72,6],[96,8],[120,10],[240,20],[480,40],[720,60],[960,80],[1200,100]]</v>
      </c>
      <c r="U34" s="284">
        <v>1</v>
      </c>
      <c r="V34" s="284">
        <v>1</v>
      </c>
      <c r="W34" s="284" t="str">
        <f t="shared" si="168"/>
        <v>[[1,1],[1,1],[1,1],[1,1],[1,1],[1,1],[1,1],[1,1],[1,1],[1,1],[1,1],[1,1],[1,1],[1,1],[1,1],[1,1],[1,1],[1,1],[1,1],[1,1]]</v>
      </c>
      <c r="X34" s="63">
        <v>0</v>
      </c>
      <c r="Y34" s="306">
        <v>0.11764705882352899</v>
      </c>
      <c r="Z34" s="303">
        <f t="shared" si="22"/>
        <v>0.06</v>
      </c>
      <c r="AA34" s="303">
        <v>0.06</v>
      </c>
      <c r="AB34" s="303">
        <f t="shared" si="169"/>
        <v>0.1</v>
      </c>
      <c r="AC34" s="304">
        <f t="shared" si="213"/>
        <v>0.05</v>
      </c>
      <c r="AD34" s="304">
        <f t="shared" si="213"/>
        <v>0.02</v>
      </c>
      <c r="AE34" s="304">
        <f t="shared" si="213"/>
        <v>8.0000000000000002E-3</v>
      </c>
      <c r="AF34" s="304">
        <f t="shared" si="213"/>
        <v>2E-3</v>
      </c>
      <c r="AG34" s="63" t="str">
        <f t="shared" si="170"/>
        <v>[[2,5],[3,2],[4,1]]</v>
      </c>
      <c r="AH34" s="256" t="str">
        <f t="shared" si="171"/>
        <v>[0.48,0.24,0.16]</v>
      </c>
      <c r="AI34" s="256">
        <v>0</v>
      </c>
      <c r="AJ34" s="256">
        <v>1</v>
      </c>
      <c r="AK34" s="256">
        <f t="shared" si="243"/>
        <v>1</v>
      </c>
      <c r="AL34" s="256">
        <v>1</v>
      </c>
      <c r="AM34" s="256">
        <f t="shared" si="172"/>
        <v>27</v>
      </c>
      <c r="AN34" s="256" t="s">
        <v>2549</v>
      </c>
      <c r="AO34" s="324">
        <v>11</v>
      </c>
      <c r="AP34" s="63">
        <f t="shared" si="528"/>
        <v>1</v>
      </c>
      <c r="AQ34" s="63">
        <v>0</v>
      </c>
      <c r="AR34" s="39">
        <v>2</v>
      </c>
      <c r="AS34" s="39">
        <v>4</v>
      </c>
      <c r="AT34" s="39">
        <v>0</v>
      </c>
      <c r="AU34" s="261">
        <v>1.3</v>
      </c>
      <c r="AV34" s="261">
        <v>1.3</v>
      </c>
      <c r="AW34" s="63">
        <v>1</v>
      </c>
      <c r="AX34" s="63">
        <v>1</v>
      </c>
      <c r="AY34" s="63" t="s">
        <v>1159</v>
      </c>
      <c r="AZ34" s="39"/>
      <c r="BA34" s="39"/>
      <c r="BB34" s="328">
        <v>0.75</v>
      </c>
      <c r="BC34" s="39">
        <v>100</v>
      </c>
      <c r="BD34" s="39">
        <v>0.18</v>
      </c>
      <c r="BE34" s="39">
        <v>0.8</v>
      </c>
      <c r="BF34" s="39">
        <v>1</v>
      </c>
      <c r="BG34" s="39" t="s">
        <v>1677</v>
      </c>
      <c r="BH34" s="331" t="s">
        <v>1722</v>
      </c>
      <c r="BI34" s="331" t="s">
        <v>1723</v>
      </c>
      <c r="BJ34" s="334" t="s">
        <v>266</v>
      </c>
      <c r="BK34" s="265" t="s">
        <v>280</v>
      </c>
      <c r="BL34" s="265"/>
      <c r="BM34" s="265"/>
      <c r="BN34" s="81">
        <f t="shared" si="387"/>
        <v>9.6000000000000014</v>
      </c>
      <c r="BO34" s="343">
        <f t="shared" si="26"/>
        <v>15.624999999999998</v>
      </c>
      <c r="BP34" s="81" t="s">
        <v>1606</v>
      </c>
      <c r="BQ34" s="81">
        <f t="shared" si="388"/>
        <v>0.97</v>
      </c>
      <c r="BR34" s="81"/>
      <c r="BS34" s="63">
        <f t="shared" si="28"/>
        <v>96</v>
      </c>
      <c r="BT34" s="63">
        <f t="shared" si="29"/>
        <v>101.4</v>
      </c>
      <c r="BV34" s="63">
        <f t="shared" si="30"/>
        <v>0</v>
      </c>
      <c r="BW34" s="268">
        <v>0.1</v>
      </c>
      <c r="BX34" s="361">
        <v>60</v>
      </c>
      <c r="BY34" s="39">
        <v>1</v>
      </c>
      <c r="BZ34" s="364">
        <v>90</v>
      </c>
      <c r="CA34" s="39">
        <v>1</v>
      </c>
      <c r="CB34" s="362">
        <v>120</v>
      </c>
      <c r="CC34" s="39">
        <v>1</v>
      </c>
      <c r="CD34" s="363">
        <f t="shared" si="529"/>
        <v>90</v>
      </c>
      <c r="CE34" s="39">
        <f>(BY34+CA34+CC34)/BY34</f>
        <v>3</v>
      </c>
      <c r="CF34" s="39">
        <f t="shared" si="532"/>
        <v>0.30000000000000004</v>
      </c>
      <c r="CG34" s="371">
        <f t="shared" si="31"/>
        <v>99.000000000000014</v>
      </c>
      <c r="CH34" s="372">
        <f t="shared" si="214"/>
        <v>0.1</v>
      </c>
      <c r="CI34" s="373">
        <v>2</v>
      </c>
      <c r="CJ34" s="143">
        <v>5</v>
      </c>
      <c r="CK34" s="373">
        <v>3</v>
      </c>
      <c r="CL34" s="143">
        <v>2</v>
      </c>
      <c r="CM34" s="373">
        <v>4</v>
      </c>
      <c r="CN34" s="143">
        <v>1</v>
      </c>
      <c r="CO34" s="143">
        <f t="shared" si="174"/>
        <v>2.5</v>
      </c>
      <c r="CP34" s="143">
        <f t="shared" si="175"/>
        <v>7.5</v>
      </c>
      <c r="CQ34" s="377">
        <f t="shared" si="176"/>
        <v>0.48</v>
      </c>
      <c r="CR34" s="143">
        <f t="shared" si="175"/>
        <v>15</v>
      </c>
      <c r="CS34" s="378">
        <f t="shared" si="177"/>
        <v>0.24</v>
      </c>
      <c r="CT34" s="143">
        <f t="shared" si="175"/>
        <v>22.5</v>
      </c>
      <c r="CU34" s="392">
        <f t="shared" si="178"/>
        <v>0.16</v>
      </c>
      <c r="CW34" s="241">
        <v>2E-3</v>
      </c>
      <c r="CX34" s="396">
        <f t="shared" si="215"/>
        <v>0</v>
      </c>
      <c r="CY34" s="270">
        <f t="shared" si="33"/>
        <v>0</v>
      </c>
      <c r="CZ34" s="394">
        <f t="shared" si="34"/>
        <v>0</v>
      </c>
      <c r="DA34" s="394">
        <f t="shared" si="35"/>
        <v>0</v>
      </c>
      <c r="DB34" s="395">
        <f t="shared" si="179"/>
        <v>0</v>
      </c>
      <c r="DC34" s="419">
        <f t="shared" si="36"/>
        <v>0</v>
      </c>
      <c r="DD34" s="394">
        <f t="shared" si="37"/>
        <v>0</v>
      </c>
      <c r="DE34" s="420" t="e">
        <f t="shared" si="38"/>
        <v>#DIV/0!</v>
      </c>
      <c r="DF34" s="421">
        <f t="shared" si="180"/>
        <v>12</v>
      </c>
      <c r="DG34" s="422">
        <f t="shared" si="181"/>
        <v>1</v>
      </c>
      <c r="DH34" s="284"/>
      <c r="DI34" s="282">
        <v>12</v>
      </c>
      <c r="DJ34" s="283">
        <v>1</v>
      </c>
      <c r="DL34" s="431"/>
      <c r="DM34" s="242"/>
      <c r="DQ34" s="427"/>
      <c r="DR34" s="421">
        <v>12</v>
      </c>
      <c r="DS34" s="270">
        <v>1</v>
      </c>
      <c r="DT34" s="427">
        <f t="shared" si="39"/>
        <v>1.2500000000000013E-3</v>
      </c>
      <c r="DU34" s="421">
        <f t="shared" si="40"/>
        <v>12</v>
      </c>
      <c r="DV34" s="270">
        <f t="shared" si="182"/>
        <v>1</v>
      </c>
      <c r="DW34" s="427">
        <f t="shared" si="42"/>
        <v>2.5000000000000027E-3</v>
      </c>
      <c r="DX34" s="421">
        <f t="shared" si="43"/>
        <v>12</v>
      </c>
      <c r="DY34" s="270">
        <f t="shared" si="183"/>
        <v>1</v>
      </c>
      <c r="DZ34" s="427">
        <f t="shared" si="45"/>
        <v>3.7500000000000042E-3</v>
      </c>
      <c r="EA34" s="421">
        <f t="shared" si="184"/>
        <v>12</v>
      </c>
      <c r="EB34" s="270">
        <f t="shared" si="185"/>
        <v>1</v>
      </c>
      <c r="EC34" s="427">
        <f t="shared" si="48"/>
        <v>5.0000000000000053E-3</v>
      </c>
      <c r="ED34" s="421">
        <f t="shared" si="186"/>
        <v>12</v>
      </c>
      <c r="EE34" s="270">
        <f t="shared" si="187"/>
        <v>1</v>
      </c>
      <c r="EF34" s="427">
        <f t="shared" si="51"/>
        <v>6.2500000000000064E-3</v>
      </c>
      <c r="EG34" s="421">
        <f t="shared" si="188"/>
        <v>12</v>
      </c>
      <c r="EH34" s="270">
        <f t="shared" si="189"/>
        <v>1</v>
      </c>
      <c r="EI34" s="427">
        <f t="shared" si="54"/>
        <v>1.2500000000000013E-2</v>
      </c>
      <c r="EJ34" s="421">
        <f t="shared" si="190"/>
        <v>12</v>
      </c>
      <c r="EK34" s="270">
        <f t="shared" si="191"/>
        <v>1</v>
      </c>
      <c r="EL34" s="427">
        <f t="shared" si="57"/>
        <v>2.5000000000000026E-2</v>
      </c>
      <c r="EM34" s="421">
        <f t="shared" si="192"/>
        <v>12</v>
      </c>
      <c r="EN34" s="270">
        <f t="shared" si="193"/>
        <v>1</v>
      </c>
      <c r="EO34" s="427">
        <f t="shared" si="60"/>
        <v>3.750000000000004E-2</v>
      </c>
      <c r="EP34" s="421">
        <f t="shared" si="194"/>
        <v>12</v>
      </c>
      <c r="EQ34" s="270">
        <f t="shared" si="195"/>
        <v>1</v>
      </c>
      <c r="ER34" s="427">
        <f t="shared" si="63"/>
        <v>5.0000000000000051E-2</v>
      </c>
      <c r="ES34" s="421">
        <f t="shared" si="196"/>
        <v>12</v>
      </c>
      <c r="ET34" s="270">
        <f t="shared" si="197"/>
        <v>1</v>
      </c>
      <c r="EU34" s="427">
        <f t="shared" si="66"/>
        <v>6.2500000000000069E-2</v>
      </c>
      <c r="EV34" s="421">
        <f t="shared" si="67"/>
        <v>24</v>
      </c>
      <c r="EW34" s="270">
        <f t="shared" si="68"/>
        <v>2</v>
      </c>
      <c r="EX34" s="427">
        <f t="shared" si="69"/>
        <v>6.2500000000000069E-2</v>
      </c>
      <c r="EY34" s="421">
        <f t="shared" si="70"/>
        <v>48</v>
      </c>
      <c r="EZ34" s="270">
        <f t="shared" si="71"/>
        <v>4</v>
      </c>
      <c r="FA34" s="427">
        <f t="shared" si="72"/>
        <v>6.2500000000000069E-2</v>
      </c>
      <c r="FB34" s="421">
        <f t="shared" si="73"/>
        <v>72</v>
      </c>
      <c r="FC34" s="270">
        <f t="shared" si="74"/>
        <v>6</v>
      </c>
      <c r="FD34" s="427">
        <f t="shared" si="75"/>
        <v>6.2500000000000069E-2</v>
      </c>
      <c r="FE34" s="421">
        <f t="shared" si="76"/>
        <v>96</v>
      </c>
      <c r="FF34" s="270">
        <f t="shared" si="77"/>
        <v>8</v>
      </c>
      <c r="FG34" s="427">
        <f t="shared" si="78"/>
        <v>6.2500000000000069E-2</v>
      </c>
      <c r="FH34" s="421">
        <f t="shared" si="79"/>
        <v>120</v>
      </c>
      <c r="FI34" s="270">
        <f t="shared" si="80"/>
        <v>10</v>
      </c>
      <c r="FJ34" s="427">
        <f t="shared" si="81"/>
        <v>6.2500000000000069E-2</v>
      </c>
      <c r="FK34" s="421">
        <f t="shared" si="82"/>
        <v>240</v>
      </c>
      <c r="FL34" s="270">
        <f t="shared" si="83"/>
        <v>20</v>
      </c>
      <c r="FM34" s="427">
        <f t="shared" si="84"/>
        <v>6.2500000000000069E-2</v>
      </c>
      <c r="FN34" s="421">
        <f t="shared" si="85"/>
        <v>480</v>
      </c>
      <c r="FO34" s="270">
        <f t="shared" si="86"/>
        <v>40</v>
      </c>
      <c r="FP34" s="427">
        <f t="shared" si="87"/>
        <v>6.2500000000000069E-2</v>
      </c>
      <c r="FQ34" s="421">
        <f t="shared" si="88"/>
        <v>720</v>
      </c>
      <c r="FR34" s="270">
        <f t="shared" si="89"/>
        <v>60</v>
      </c>
      <c r="FS34" s="427">
        <f t="shared" si="90"/>
        <v>6.2500000000000069E-2</v>
      </c>
      <c r="FT34" s="421">
        <f t="shared" si="91"/>
        <v>960</v>
      </c>
      <c r="FU34" s="270">
        <f t="shared" si="92"/>
        <v>80</v>
      </c>
      <c r="FV34" s="427">
        <f t="shared" si="93"/>
        <v>6.2500000000000069E-2</v>
      </c>
      <c r="FW34" s="421">
        <f t="shared" si="94"/>
        <v>1200</v>
      </c>
      <c r="FX34" s="270">
        <f t="shared" si="95"/>
        <v>100</v>
      </c>
      <c r="FY34" s="427">
        <f t="shared" si="96"/>
        <v>6.2500000000000069E-2</v>
      </c>
      <c r="GA34" s="431"/>
      <c r="GB34" s="242"/>
      <c r="GF34" s="427"/>
      <c r="GG34" s="421">
        <v>1</v>
      </c>
      <c r="GH34" s="270">
        <v>1</v>
      </c>
      <c r="GI34" s="427">
        <f t="shared" si="97"/>
        <v>1.0000000000000008E-5</v>
      </c>
      <c r="GJ34" s="421">
        <f t="shared" si="98"/>
        <v>1</v>
      </c>
      <c r="GK34" s="270">
        <f t="shared" si="99"/>
        <v>1</v>
      </c>
      <c r="GL34" s="427">
        <f t="shared" si="100"/>
        <v>2.0000000000000015E-5</v>
      </c>
      <c r="GM34" s="421">
        <f t="shared" si="101"/>
        <v>1</v>
      </c>
      <c r="GN34" s="270">
        <f t="shared" si="102"/>
        <v>1</v>
      </c>
      <c r="GO34" s="427">
        <f t="shared" si="103"/>
        <v>3.0000000000000024E-5</v>
      </c>
      <c r="GP34" s="421">
        <f t="shared" si="104"/>
        <v>1</v>
      </c>
      <c r="GQ34" s="270">
        <f t="shared" si="105"/>
        <v>1</v>
      </c>
      <c r="GR34" s="427">
        <f t="shared" si="106"/>
        <v>4.000000000000003E-5</v>
      </c>
      <c r="GS34" s="421">
        <f t="shared" si="107"/>
        <v>1</v>
      </c>
      <c r="GT34" s="270">
        <f t="shared" si="108"/>
        <v>1</v>
      </c>
      <c r="GU34" s="427">
        <f t="shared" si="109"/>
        <v>5.0000000000000043E-5</v>
      </c>
      <c r="GV34" s="421">
        <f t="shared" si="110"/>
        <v>1</v>
      </c>
      <c r="GW34" s="270">
        <f t="shared" si="111"/>
        <v>1</v>
      </c>
      <c r="GX34" s="427">
        <f t="shared" si="112"/>
        <v>1.0000000000000009E-4</v>
      </c>
      <c r="GY34" s="421">
        <f t="shared" si="113"/>
        <v>1</v>
      </c>
      <c r="GZ34" s="270">
        <f t="shared" si="114"/>
        <v>1</v>
      </c>
      <c r="HA34" s="427">
        <f t="shared" si="115"/>
        <v>2.0000000000000017E-4</v>
      </c>
      <c r="HB34" s="421">
        <f t="shared" si="116"/>
        <v>1</v>
      </c>
      <c r="HC34" s="270">
        <f t="shared" si="117"/>
        <v>1</v>
      </c>
      <c r="HD34" s="427">
        <f t="shared" si="118"/>
        <v>3.0000000000000024E-4</v>
      </c>
      <c r="HE34" s="421">
        <f t="shared" si="119"/>
        <v>1</v>
      </c>
      <c r="HF34" s="270">
        <f t="shared" si="120"/>
        <v>1</v>
      </c>
      <c r="HG34" s="427">
        <f t="shared" si="121"/>
        <v>4.0000000000000034E-4</v>
      </c>
      <c r="HH34" s="421">
        <f t="shared" si="122"/>
        <v>1</v>
      </c>
      <c r="HI34" s="270">
        <f t="shared" si="123"/>
        <v>1</v>
      </c>
      <c r="HJ34" s="427">
        <f t="shared" si="124"/>
        <v>5.0000000000000044E-4</v>
      </c>
      <c r="HK34" s="421">
        <f t="shared" si="125"/>
        <v>1</v>
      </c>
      <c r="HL34" s="270">
        <f t="shared" si="125"/>
        <v>1</v>
      </c>
      <c r="HM34" s="427">
        <f t="shared" si="126"/>
        <v>1.0000000000000009E-3</v>
      </c>
      <c r="HN34" s="421">
        <f t="shared" si="127"/>
        <v>1</v>
      </c>
      <c r="HO34" s="270">
        <f t="shared" si="127"/>
        <v>1</v>
      </c>
      <c r="HP34" s="427">
        <f t="shared" si="128"/>
        <v>2.0000000000000018E-3</v>
      </c>
      <c r="HQ34" s="421">
        <f t="shared" si="129"/>
        <v>1</v>
      </c>
      <c r="HR34" s="270">
        <f t="shared" si="129"/>
        <v>1</v>
      </c>
      <c r="HS34" s="427">
        <f t="shared" si="130"/>
        <v>3.0000000000000022E-3</v>
      </c>
      <c r="HT34" s="421">
        <f t="shared" si="131"/>
        <v>1</v>
      </c>
      <c r="HU34" s="270">
        <f t="shared" si="131"/>
        <v>1</v>
      </c>
      <c r="HV34" s="427">
        <f t="shared" si="132"/>
        <v>4.0000000000000036E-3</v>
      </c>
      <c r="HW34" s="421">
        <f t="shared" si="133"/>
        <v>1</v>
      </c>
      <c r="HX34" s="270">
        <f t="shared" si="133"/>
        <v>1</v>
      </c>
      <c r="HY34" s="427">
        <f t="shared" si="134"/>
        <v>5.0000000000000044E-3</v>
      </c>
      <c r="HZ34" s="421">
        <f t="shared" si="135"/>
        <v>1</v>
      </c>
      <c r="IA34" s="270">
        <f t="shared" si="135"/>
        <v>1</v>
      </c>
      <c r="IB34" s="427">
        <f t="shared" si="136"/>
        <v>1.0000000000000009E-2</v>
      </c>
      <c r="IC34" s="421">
        <f t="shared" si="137"/>
        <v>1</v>
      </c>
      <c r="ID34" s="270">
        <f t="shared" si="137"/>
        <v>1</v>
      </c>
      <c r="IE34" s="427">
        <f t="shared" si="138"/>
        <v>2.0000000000000018E-2</v>
      </c>
      <c r="IF34" s="421">
        <f t="shared" si="139"/>
        <v>1</v>
      </c>
      <c r="IG34" s="270">
        <f t="shared" si="139"/>
        <v>1</v>
      </c>
      <c r="IH34" s="427">
        <f t="shared" si="140"/>
        <v>3.0000000000000023E-2</v>
      </c>
      <c r="II34" s="421">
        <f t="shared" si="141"/>
        <v>1</v>
      </c>
      <c r="IJ34" s="270">
        <f t="shared" si="141"/>
        <v>1</v>
      </c>
      <c r="IK34" s="427">
        <f t="shared" si="142"/>
        <v>4.0000000000000036E-2</v>
      </c>
      <c r="IL34" s="421">
        <f t="shared" si="143"/>
        <v>1</v>
      </c>
      <c r="IM34" s="270">
        <f t="shared" si="143"/>
        <v>1</v>
      </c>
      <c r="IN34" s="427">
        <f t="shared" si="144"/>
        <v>5.0000000000000037E-2</v>
      </c>
      <c r="IS34" s="447">
        <f t="shared" si="245"/>
        <v>0</v>
      </c>
      <c r="IT34" s="447">
        <f t="shared" si="245"/>
        <v>0</v>
      </c>
      <c r="IU34" s="447">
        <f t="shared" si="245"/>
        <v>0</v>
      </c>
      <c r="IV34" s="447">
        <f t="shared" si="245"/>
        <v>3.5999999999999999E-3</v>
      </c>
      <c r="IW34" s="447">
        <f t="shared" si="245"/>
        <v>4.4999999999999997E-3</v>
      </c>
      <c r="IX34" s="447">
        <f t="shared" si="245"/>
        <v>8.9999999999999993E-3</v>
      </c>
      <c r="IY34" s="447">
        <f t="shared" si="245"/>
        <v>1.7999999999999999E-2</v>
      </c>
      <c r="IZ34" s="447">
        <f t="shared" si="245"/>
        <v>2.7E-2</v>
      </c>
      <c r="JA34" s="447">
        <f t="shared" si="245"/>
        <v>3.5999999999999997E-2</v>
      </c>
      <c r="JB34" s="447">
        <f t="shared" si="245"/>
        <v>4.4999999999999998E-2</v>
      </c>
      <c r="JC34" s="447">
        <f t="shared" si="246"/>
        <v>0.09</v>
      </c>
      <c r="JD34" s="447">
        <f t="shared" si="246"/>
        <v>0.1125</v>
      </c>
      <c r="JE34" s="447">
        <f t="shared" si="246"/>
        <v>0.11248200000000001</v>
      </c>
      <c r="JF34" s="447">
        <f t="shared" si="246"/>
        <v>0.11246400000000001</v>
      </c>
      <c r="JG34" s="447">
        <f t="shared" si="246"/>
        <v>0.11245500000000001</v>
      </c>
      <c r="JH34" s="447">
        <f t="shared" si="246"/>
        <v>0.11241000000000002</v>
      </c>
      <c r="JI34" s="447">
        <f t="shared" si="246"/>
        <v>0.11232000000000002</v>
      </c>
      <c r="JJ34" s="447">
        <f t="shared" si="246"/>
        <v>0.11232000000000002</v>
      </c>
      <c r="JK34" s="447">
        <f t="shared" si="246"/>
        <v>0.11232000000000002</v>
      </c>
      <c r="JL34" s="447">
        <f t="shared" si="246"/>
        <v>0.11205</v>
      </c>
      <c r="JU34" s="242">
        <f t="shared" si="198"/>
        <v>1800000</v>
      </c>
      <c r="JV34" s="242">
        <f t="shared" si="199"/>
        <v>1500000</v>
      </c>
      <c r="JW34" s="242">
        <f t="shared" si="216"/>
        <v>0.4</v>
      </c>
      <c r="JX34" s="242">
        <f t="shared" si="200"/>
        <v>2000000</v>
      </c>
      <c r="JY34" s="241">
        <f t="shared" si="217"/>
        <v>0.6</v>
      </c>
      <c r="JZ34" s="241">
        <f t="shared" si="218"/>
        <v>1800000</v>
      </c>
      <c r="KA34" s="241" t="str">
        <f t="shared" si="219"/>
        <v>期望符合预期</v>
      </c>
      <c r="KC34" s="242">
        <f t="shared" si="201"/>
        <v>3600000</v>
      </c>
      <c r="KD34" s="242">
        <f t="shared" si="202"/>
        <v>3000000</v>
      </c>
      <c r="KE34" s="242">
        <f t="shared" si="220"/>
        <v>0.4</v>
      </c>
      <c r="KF34" s="242">
        <f t="shared" si="203"/>
        <v>4000000</v>
      </c>
      <c r="KG34" s="241">
        <f t="shared" si="221"/>
        <v>0.6</v>
      </c>
      <c r="KH34" s="241">
        <f t="shared" si="222"/>
        <v>3600000</v>
      </c>
      <c r="KI34" s="241" t="str">
        <f t="shared" si="223"/>
        <v>期望符合预期</v>
      </c>
      <c r="KK34" s="242">
        <f t="shared" si="204"/>
        <v>5400000</v>
      </c>
      <c r="KL34" s="242">
        <f t="shared" si="205"/>
        <v>5000000</v>
      </c>
      <c r="KM34" s="242">
        <f t="shared" si="224"/>
        <v>0.92</v>
      </c>
      <c r="KN34" s="242">
        <f t="shared" si="206"/>
        <v>10000000</v>
      </c>
      <c r="KO34" s="241">
        <f t="shared" si="225"/>
        <v>0.08</v>
      </c>
      <c r="KP34" s="241">
        <f t="shared" si="226"/>
        <v>5400000</v>
      </c>
      <c r="KQ34" s="241" t="str">
        <f t="shared" si="227"/>
        <v>期望符合预期</v>
      </c>
      <c r="KS34" s="242">
        <f t="shared" si="207"/>
        <v>7200000</v>
      </c>
      <c r="KT34" s="242">
        <f t="shared" si="208"/>
        <v>5000000</v>
      </c>
      <c r="KU34" s="242">
        <f t="shared" si="228"/>
        <v>0.56000000000000005</v>
      </c>
      <c r="KV34" s="242">
        <f t="shared" si="209"/>
        <v>10000000</v>
      </c>
      <c r="KW34" s="241">
        <f t="shared" si="229"/>
        <v>0.44</v>
      </c>
      <c r="KX34" s="241">
        <f t="shared" si="230"/>
        <v>7200000</v>
      </c>
      <c r="KY34" s="241" t="str">
        <f t="shared" si="231"/>
        <v>期望符合预期</v>
      </c>
      <c r="LA34" s="242">
        <f t="shared" si="210"/>
        <v>9000000</v>
      </c>
      <c r="LB34" s="242">
        <f t="shared" si="211"/>
        <v>5000000</v>
      </c>
      <c r="LC34" s="242">
        <f t="shared" si="232"/>
        <v>0.2</v>
      </c>
      <c r="LD34" s="242">
        <f t="shared" si="212"/>
        <v>10000000</v>
      </c>
      <c r="LE34" s="241">
        <f t="shared" si="233"/>
        <v>0.8</v>
      </c>
      <c r="LF34" s="241">
        <f t="shared" si="234"/>
        <v>9000000</v>
      </c>
      <c r="LG34" s="241" t="str">
        <f t="shared" si="235"/>
        <v>期望符合预期</v>
      </c>
    </row>
    <row r="35" spans="1:319" ht="16.2" x14ac:dyDescent="0.4">
      <c r="A35" s="63">
        <v>29</v>
      </c>
      <c r="B35" s="254" t="s">
        <v>1724</v>
      </c>
      <c r="C35" s="63">
        <v>4</v>
      </c>
      <c r="D35" s="63">
        <v>-1</v>
      </c>
      <c r="E35" s="39">
        <f t="shared" si="527"/>
        <v>90</v>
      </c>
      <c r="F35" s="63" t="str">
        <f t="shared" si="530"/>
        <v>80~100</v>
      </c>
      <c r="G35" s="63">
        <f t="shared" si="167"/>
        <v>90</v>
      </c>
      <c r="H35" s="256" t="str">
        <f t="shared" si="531"/>
        <v>[[80,1],[90,1],[100,1]]</v>
      </c>
      <c r="I35" s="265"/>
      <c r="J35" s="63">
        <f t="shared" si="533"/>
        <v>5</v>
      </c>
      <c r="K35" s="63">
        <f t="shared" si="534"/>
        <v>1</v>
      </c>
      <c r="L35" s="63">
        <v>0</v>
      </c>
      <c r="M35" s="266">
        <f>ROUND($BX$7/('全局参数|GlobalPar'!$B$19/10000/E35),6)*(7/5)</f>
        <v>6.2500200000000006E-2</v>
      </c>
      <c r="N35" s="267">
        <v>2</v>
      </c>
      <c r="O35" s="268">
        <f>ROUND(IF(N35&lt;&gt;0,$BX$4/('全局参数|GlobalPar'!$B$19/10000/E35)/N35,0),6)</f>
        <v>0</v>
      </c>
      <c r="P35" s="270">
        <f t="shared" si="386"/>
        <v>1.7999999999999999E-2</v>
      </c>
      <c r="Q35" s="285">
        <f t="shared" ref="Q35:Q61" si="535">CX35</f>
        <v>0</v>
      </c>
      <c r="R35" s="282">
        <v>13</v>
      </c>
      <c r="S35" s="283">
        <v>1</v>
      </c>
      <c r="T35" s="284" t="str">
        <f t="shared" si="21"/>
        <v>[[13,1],[13,1],[13,1],[13,1],[13,1],[13,1],[13,1],[13,1],[13,1],[13,1],[26,2],[52,4],[78,6],[104,8],[130,10],[260,20],[520,40],[780,60],[1040,80],[1300,100]]</v>
      </c>
      <c r="U35" s="284">
        <v>1</v>
      </c>
      <c r="V35" s="284">
        <v>1</v>
      </c>
      <c r="W35" s="284" t="str">
        <f t="shared" si="168"/>
        <v>[[1,1],[1,1],[1,1],[1,1],[1,1],[1,1],[1,1],[1,1],[1,1],[1,1],[1,1],[1,1],[1,1],[1,1],[1,1],[1,1],[1,1],[1,1],[1,1],[1,1]]</v>
      </c>
      <c r="X35" s="63">
        <v>0</v>
      </c>
      <c r="Y35" s="306">
        <v>1</v>
      </c>
      <c r="Z35" s="303">
        <f t="shared" si="22"/>
        <v>0.06</v>
      </c>
      <c r="AA35" s="303">
        <v>0.06</v>
      </c>
      <c r="AB35" s="303">
        <f t="shared" si="169"/>
        <v>0.1</v>
      </c>
      <c r="AC35" s="304">
        <f t="shared" si="213"/>
        <v>0.05</v>
      </c>
      <c r="AD35" s="304">
        <f t="shared" si="213"/>
        <v>0.02</v>
      </c>
      <c r="AE35" s="304">
        <f t="shared" si="213"/>
        <v>8.0000000000000002E-3</v>
      </c>
      <c r="AF35" s="304">
        <f t="shared" si="213"/>
        <v>2E-3</v>
      </c>
      <c r="AG35" s="63" t="str">
        <f t="shared" si="170"/>
        <v>[[2,5],[3,2],[4,1]]</v>
      </c>
      <c r="AH35" s="256" t="str">
        <f t="shared" si="171"/>
        <v>[0.48,0.24,0.16]</v>
      </c>
      <c r="AI35" s="256">
        <v>0</v>
      </c>
      <c r="AJ35" s="256">
        <v>1</v>
      </c>
      <c r="AK35" s="256">
        <f t="shared" si="243"/>
        <v>1</v>
      </c>
      <c r="AL35" s="256">
        <v>1</v>
      </c>
      <c r="AM35" s="256">
        <f t="shared" si="172"/>
        <v>27</v>
      </c>
      <c r="AN35" s="256" t="s">
        <v>2549</v>
      </c>
      <c r="AO35" s="324">
        <v>11</v>
      </c>
      <c r="AP35" s="63">
        <f t="shared" si="528"/>
        <v>1</v>
      </c>
      <c r="AQ35" s="63">
        <v>0</v>
      </c>
      <c r="AR35" s="39">
        <v>2</v>
      </c>
      <c r="AS35" s="39">
        <v>4</v>
      </c>
      <c r="AT35" s="39">
        <v>1</v>
      </c>
      <c r="AU35" s="261">
        <v>1.2</v>
      </c>
      <c r="AV35" s="63">
        <f t="shared" ref="AV35:AV57" si="536">AU35/0.67</f>
        <v>1.7910447761194028</v>
      </c>
      <c r="AW35" s="63">
        <v>1</v>
      </c>
      <c r="AX35" s="63">
        <v>1</v>
      </c>
      <c r="AY35" s="63" t="s">
        <v>1725</v>
      </c>
      <c r="AZ35" s="39"/>
      <c r="BA35" s="39"/>
      <c r="BB35" s="328">
        <v>0.75</v>
      </c>
      <c r="BC35" s="39">
        <v>110</v>
      </c>
      <c r="BD35" s="39">
        <v>0.18</v>
      </c>
      <c r="BE35" s="39">
        <v>0.8</v>
      </c>
      <c r="BF35" s="39">
        <v>1</v>
      </c>
      <c r="BG35" s="39" t="s">
        <v>1677</v>
      </c>
      <c r="BH35" s="331" t="s">
        <v>1726</v>
      </c>
      <c r="BI35" s="331" t="s">
        <v>1727</v>
      </c>
      <c r="BJ35" s="334" t="s">
        <v>541</v>
      </c>
      <c r="BK35" s="265" t="s">
        <v>280</v>
      </c>
      <c r="BL35" s="265"/>
      <c r="BM35" s="265"/>
      <c r="BN35" s="81">
        <f t="shared" si="387"/>
        <v>9.6000000000000014</v>
      </c>
      <c r="BO35" s="343">
        <f t="shared" si="26"/>
        <v>15.624999999999998</v>
      </c>
      <c r="BP35" s="81" t="s">
        <v>1606</v>
      </c>
      <c r="BQ35" s="81">
        <f t="shared" si="388"/>
        <v>0.89600000000000002</v>
      </c>
      <c r="BR35" s="81"/>
      <c r="BS35" s="63">
        <f t="shared" si="28"/>
        <v>96</v>
      </c>
      <c r="BT35" s="63">
        <f t="shared" si="29"/>
        <v>101.4</v>
      </c>
      <c r="BV35" s="63">
        <f t="shared" si="30"/>
        <v>0</v>
      </c>
      <c r="BW35" s="268">
        <v>0.1</v>
      </c>
      <c r="BX35" s="360">
        <v>80</v>
      </c>
      <c r="BY35" s="39">
        <v>1</v>
      </c>
      <c r="BZ35" s="364">
        <v>90</v>
      </c>
      <c r="CA35" s="39">
        <v>1</v>
      </c>
      <c r="CB35" s="361">
        <v>100</v>
      </c>
      <c r="CC35" s="39">
        <v>1</v>
      </c>
      <c r="CD35" s="363">
        <f t="shared" si="529"/>
        <v>90</v>
      </c>
      <c r="CE35" s="39">
        <f t="shared" ref="CE35:CE36" si="537">(BY35+CA35+CC35)/CC35</f>
        <v>3</v>
      </c>
      <c r="CF35" s="39">
        <f t="shared" si="532"/>
        <v>0.30000000000000004</v>
      </c>
      <c r="CG35" s="371">
        <f t="shared" si="31"/>
        <v>99.000000000000014</v>
      </c>
      <c r="CH35" s="372">
        <f t="shared" si="214"/>
        <v>0.1</v>
      </c>
      <c r="CI35" s="373">
        <v>2</v>
      </c>
      <c r="CJ35" s="143">
        <v>5</v>
      </c>
      <c r="CK35" s="373">
        <v>3</v>
      </c>
      <c r="CL35" s="143">
        <v>2</v>
      </c>
      <c r="CM35" s="373">
        <v>4</v>
      </c>
      <c r="CN35" s="143">
        <v>1</v>
      </c>
      <c r="CO35" s="143">
        <f t="shared" si="174"/>
        <v>2.5</v>
      </c>
      <c r="CP35" s="143">
        <f t="shared" si="175"/>
        <v>7.5</v>
      </c>
      <c r="CQ35" s="377">
        <f t="shared" si="176"/>
        <v>0.48</v>
      </c>
      <c r="CR35" s="143">
        <f t="shared" si="175"/>
        <v>15</v>
      </c>
      <c r="CS35" s="378">
        <f t="shared" si="177"/>
        <v>0.24</v>
      </c>
      <c r="CT35" s="143">
        <f t="shared" si="175"/>
        <v>22.5</v>
      </c>
      <c r="CU35" s="392">
        <f t="shared" si="178"/>
        <v>0.16</v>
      </c>
      <c r="CW35" s="241">
        <v>2E-3</v>
      </c>
      <c r="CX35" s="396">
        <f t="shared" si="215"/>
        <v>0</v>
      </c>
      <c r="CY35" s="270">
        <f t="shared" si="33"/>
        <v>0</v>
      </c>
      <c r="CZ35" s="394">
        <f t="shared" si="34"/>
        <v>0</v>
      </c>
      <c r="DA35" s="394">
        <f t="shared" si="35"/>
        <v>0</v>
      </c>
      <c r="DB35" s="395">
        <f t="shared" si="179"/>
        <v>0</v>
      </c>
      <c r="DC35" s="419">
        <f t="shared" si="36"/>
        <v>0</v>
      </c>
      <c r="DD35" s="394">
        <f t="shared" si="37"/>
        <v>0</v>
      </c>
      <c r="DE35" s="420" t="e">
        <f t="shared" si="38"/>
        <v>#DIV/0!</v>
      </c>
      <c r="DF35" s="421">
        <f t="shared" si="180"/>
        <v>13</v>
      </c>
      <c r="DG35" s="422">
        <f t="shared" si="181"/>
        <v>1</v>
      </c>
      <c r="DH35" s="284"/>
      <c r="DI35" s="282">
        <v>13</v>
      </c>
      <c r="DJ35" s="283">
        <v>1</v>
      </c>
      <c r="DL35" s="431"/>
      <c r="DM35" s="242"/>
      <c r="DQ35" s="427"/>
      <c r="DR35" s="421">
        <v>13</v>
      </c>
      <c r="DS35" s="270">
        <v>1</v>
      </c>
      <c r="DT35" s="427">
        <f t="shared" si="39"/>
        <v>1.153846153846155E-3</v>
      </c>
      <c r="DU35" s="421">
        <f t="shared" si="40"/>
        <v>13</v>
      </c>
      <c r="DV35" s="270">
        <f t="shared" si="182"/>
        <v>1</v>
      </c>
      <c r="DW35" s="427">
        <f t="shared" si="42"/>
        <v>2.3076923076923101E-3</v>
      </c>
      <c r="DX35" s="421">
        <f t="shared" si="43"/>
        <v>13</v>
      </c>
      <c r="DY35" s="270">
        <f t="shared" si="183"/>
        <v>1</v>
      </c>
      <c r="DZ35" s="427">
        <f t="shared" si="45"/>
        <v>3.4615384615384651E-3</v>
      </c>
      <c r="EA35" s="421">
        <f t="shared" si="184"/>
        <v>13</v>
      </c>
      <c r="EB35" s="270">
        <f t="shared" si="185"/>
        <v>1</v>
      </c>
      <c r="EC35" s="427">
        <f t="shared" si="48"/>
        <v>4.6153846153846202E-3</v>
      </c>
      <c r="ED35" s="421">
        <f t="shared" si="186"/>
        <v>13</v>
      </c>
      <c r="EE35" s="270">
        <f t="shared" si="187"/>
        <v>1</v>
      </c>
      <c r="EF35" s="427">
        <f t="shared" si="51"/>
        <v>5.7692307692307748E-3</v>
      </c>
      <c r="EG35" s="421">
        <f t="shared" si="188"/>
        <v>13</v>
      </c>
      <c r="EH35" s="270">
        <f t="shared" si="189"/>
        <v>1</v>
      </c>
      <c r="EI35" s="427">
        <f t="shared" si="54"/>
        <v>1.153846153846155E-2</v>
      </c>
      <c r="EJ35" s="421">
        <f t="shared" si="190"/>
        <v>13</v>
      </c>
      <c r="EK35" s="270">
        <f t="shared" si="191"/>
        <v>1</v>
      </c>
      <c r="EL35" s="427">
        <f t="shared" si="57"/>
        <v>2.3076923076923099E-2</v>
      </c>
      <c r="EM35" s="421">
        <f t="shared" si="192"/>
        <v>13</v>
      </c>
      <c r="EN35" s="270">
        <f t="shared" si="193"/>
        <v>1</v>
      </c>
      <c r="EO35" s="427">
        <f t="shared" si="60"/>
        <v>3.4615384615384659E-2</v>
      </c>
      <c r="EP35" s="421">
        <f t="shared" si="194"/>
        <v>13</v>
      </c>
      <c r="EQ35" s="270">
        <f t="shared" si="195"/>
        <v>1</v>
      </c>
      <c r="ER35" s="427">
        <f t="shared" si="63"/>
        <v>4.6153846153846198E-2</v>
      </c>
      <c r="ES35" s="421">
        <f t="shared" si="196"/>
        <v>13</v>
      </c>
      <c r="ET35" s="270">
        <f t="shared" si="197"/>
        <v>1</v>
      </c>
      <c r="EU35" s="427">
        <f t="shared" si="66"/>
        <v>5.7692307692307751E-2</v>
      </c>
      <c r="EV35" s="421">
        <f t="shared" si="67"/>
        <v>26</v>
      </c>
      <c r="EW35" s="270">
        <f t="shared" si="68"/>
        <v>2</v>
      </c>
      <c r="EX35" s="427">
        <f t="shared" si="69"/>
        <v>5.7692307692307751E-2</v>
      </c>
      <c r="EY35" s="421">
        <f t="shared" si="70"/>
        <v>52</v>
      </c>
      <c r="EZ35" s="270">
        <f t="shared" si="71"/>
        <v>4</v>
      </c>
      <c r="FA35" s="427">
        <f t="shared" si="72"/>
        <v>5.7692307692307751E-2</v>
      </c>
      <c r="FB35" s="421">
        <f t="shared" si="73"/>
        <v>78</v>
      </c>
      <c r="FC35" s="270">
        <f t="shared" si="74"/>
        <v>6</v>
      </c>
      <c r="FD35" s="427">
        <f t="shared" si="75"/>
        <v>5.7692307692307751E-2</v>
      </c>
      <c r="FE35" s="421">
        <f t="shared" si="76"/>
        <v>104</v>
      </c>
      <c r="FF35" s="270">
        <f t="shared" si="77"/>
        <v>8</v>
      </c>
      <c r="FG35" s="427">
        <f t="shared" si="78"/>
        <v>5.7692307692307751E-2</v>
      </c>
      <c r="FH35" s="421">
        <f t="shared" si="79"/>
        <v>130</v>
      </c>
      <c r="FI35" s="270">
        <f t="shared" si="80"/>
        <v>10</v>
      </c>
      <c r="FJ35" s="427">
        <f t="shared" si="81"/>
        <v>5.7692307692307751E-2</v>
      </c>
      <c r="FK35" s="421">
        <f t="shared" si="82"/>
        <v>260</v>
      </c>
      <c r="FL35" s="270">
        <f t="shared" si="83"/>
        <v>20</v>
      </c>
      <c r="FM35" s="427">
        <f t="shared" si="84"/>
        <v>5.7692307692307751E-2</v>
      </c>
      <c r="FN35" s="421">
        <f t="shared" si="85"/>
        <v>520</v>
      </c>
      <c r="FO35" s="270">
        <f t="shared" si="86"/>
        <v>40</v>
      </c>
      <c r="FP35" s="427">
        <f t="shared" si="87"/>
        <v>5.7692307692307751E-2</v>
      </c>
      <c r="FQ35" s="421">
        <f t="shared" si="88"/>
        <v>780</v>
      </c>
      <c r="FR35" s="270">
        <f t="shared" si="89"/>
        <v>60</v>
      </c>
      <c r="FS35" s="427">
        <f t="shared" si="90"/>
        <v>5.7692307692307751E-2</v>
      </c>
      <c r="FT35" s="421">
        <f t="shared" si="91"/>
        <v>1040</v>
      </c>
      <c r="FU35" s="270">
        <f t="shared" si="92"/>
        <v>80</v>
      </c>
      <c r="FV35" s="427">
        <f t="shared" si="93"/>
        <v>5.7692307692307751E-2</v>
      </c>
      <c r="FW35" s="421">
        <f t="shared" si="94"/>
        <v>1300</v>
      </c>
      <c r="FX35" s="270">
        <f t="shared" si="95"/>
        <v>100</v>
      </c>
      <c r="FY35" s="427">
        <f t="shared" si="96"/>
        <v>5.7692307692307751E-2</v>
      </c>
      <c r="GA35" s="431"/>
      <c r="GB35" s="242"/>
      <c r="GF35" s="427"/>
      <c r="GG35" s="421">
        <v>1</v>
      </c>
      <c r="GH35" s="270">
        <v>1</v>
      </c>
      <c r="GI35" s="427">
        <f t="shared" si="97"/>
        <v>1.0000000000000008E-5</v>
      </c>
      <c r="GJ35" s="421">
        <f t="shared" si="98"/>
        <v>1</v>
      </c>
      <c r="GK35" s="270">
        <f t="shared" si="99"/>
        <v>1</v>
      </c>
      <c r="GL35" s="427">
        <f t="shared" si="100"/>
        <v>2.0000000000000015E-5</v>
      </c>
      <c r="GM35" s="421">
        <f t="shared" si="101"/>
        <v>1</v>
      </c>
      <c r="GN35" s="270">
        <f t="shared" si="102"/>
        <v>1</v>
      </c>
      <c r="GO35" s="427">
        <f t="shared" si="103"/>
        <v>3.0000000000000024E-5</v>
      </c>
      <c r="GP35" s="421">
        <f t="shared" si="104"/>
        <v>1</v>
      </c>
      <c r="GQ35" s="270">
        <f t="shared" si="105"/>
        <v>1</v>
      </c>
      <c r="GR35" s="427">
        <f t="shared" si="106"/>
        <v>4.000000000000003E-5</v>
      </c>
      <c r="GS35" s="421">
        <f t="shared" si="107"/>
        <v>1</v>
      </c>
      <c r="GT35" s="270">
        <f t="shared" si="108"/>
        <v>1</v>
      </c>
      <c r="GU35" s="427">
        <f t="shared" si="109"/>
        <v>5.0000000000000043E-5</v>
      </c>
      <c r="GV35" s="421">
        <f t="shared" si="110"/>
        <v>1</v>
      </c>
      <c r="GW35" s="270">
        <f t="shared" si="111"/>
        <v>1</v>
      </c>
      <c r="GX35" s="427">
        <f t="shared" si="112"/>
        <v>1.0000000000000009E-4</v>
      </c>
      <c r="GY35" s="421">
        <f t="shared" si="113"/>
        <v>1</v>
      </c>
      <c r="GZ35" s="270">
        <f t="shared" si="114"/>
        <v>1</v>
      </c>
      <c r="HA35" s="427">
        <f t="shared" si="115"/>
        <v>2.0000000000000017E-4</v>
      </c>
      <c r="HB35" s="421">
        <f t="shared" si="116"/>
        <v>1</v>
      </c>
      <c r="HC35" s="270">
        <f t="shared" si="117"/>
        <v>1</v>
      </c>
      <c r="HD35" s="427">
        <f t="shared" si="118"/>
        <v>3.0000000000000024E-4</v>
      </c>
      <c r="HE35" s="421">
        <f t="shared" si="119"/>
        <v>1</v>
      </c>
      <c r="HF35" s="270">
        <f t="shared" si="120"/>
        <v>1</v>
      </c>
      <c r="HG35" s="427">
        <f t="shared" si="121"/>
        <v>4.0000000000000034E-4</v>
      </c>
      <c r="HH35" s="421">
        <f t="shared" si="122"/>
        <v>1</v>
      </c>
      <c r="HI35" s="270">
        <f t="shared" si="123"/>
        <v>1</v>
      </c>
      <c r="HJ35" s="427">
        <f t="shared" si="124"/>
        <v>5.0000000000000044E-4</v>
      </c>
      <c r="HK35" s="421">
        <f t="shared" si="125"/>
        <v>1</v>
      </c>
      <c r="HL35" s="270">
        <f t="shared" si="125"/>
        <v>1</v>
      </c>
      <c r="HM35" s="427">
        <f t="shared" si="126"/>
        <v>1.0000000000000009E-3</v>
      </c>
      <c r="HN35" s="421">
        <f t="shared" si="127"/>
        <v>1</v>
      </c>
      <c r="HO35" s="270">
        <f t="shared" si="127"/>
        <v>1</v>
      </c>
      <c r="HP35" s="427">
        <f t="shared" si="128"/>
        <v>2.0000000000000018E-3</v>
      </c>
      <c r="HQ35" s="421">
        <f t="shared" si="129"/>
        <v>1</v>
      </c>
      <c r="HR35" s="270">
        <f t="shared" si="129"/>
        <v>1</v>
      </c>
      <c r="HS35" s="427">
        <f t="shared" si="130"/>
        <v>3.0000000000000022E-3</v>
      </c>
      <c r="HT35" s="421">
        <f t="shared" si="131"/>
        <v>1</v>
      </c>
      <c r="HU35" s="270">
        <f t="shared" si="131"/>
        <v>1</v>
      </c>
      <c r="HV35" s="427">
        <f t="shared" si="132"/>
        <v>4.0000000000000036E-3</v>
      </c>
      <c r="HW35" s="421">
        <f t="shared" si="133"/>
        <v>1</v>
      </c>
      <c r="HX35" s="270">
        <f t="shared" si="133"/>
        <v>1</v>
      </c>
      <c r="HY35" s="427">
        <f t="shared" si="134"/>
        <v>5.0000000000000044E-3</v>
      </c>
      <c r="HZ35" s="421">
        <f t="shared" si="135"/>
        <v>1</v>
      </c>
      <c r="IA35" s="270">
        <f t="shared" si="135"/>
        <v>1</v>
      </c>
      <c r="IB35" s="427">
        <f t="shared" si="136"/>
        <v>1.0000000000000009E-2</v>
      </c>
      <c r="IC35" s="421">
        <f t="shared" si="137"/>
        <v>1</v>
      </c>
      <c r="ID35" s="270">
        <f t="shared" si="137"/>
        <v>1</v>
      </c>
      <c r="IE35" s="427">
        <f t="shared" si="138"/>
        <v>2.0000000000000018E-2</v>
      </c>
      <c r="IF35" s="421">
        <f t="shared" si="139"/>
        <v>1</v>
      </c>
      <c r="IG35" s="270">
        <f t="shared" si="139"/>
        <v>1</v>
      </c>
      <c r="IH35" s="427">
        <f t="shared" si="140"/>
        <v>3.0000000000000023E-2</v>
      </c>
      <c r="II35" s="421">
        <f t="shared" si="141"/>
        <v>1</v>
      </c>
      <c r="IJ35" s="270">
        <f t="shared" si="141"/>
        <v>1</v>
      </c>
      <c r="IK35" s="427">
        <f t="shared" si="142"/>
        <v>4.0000000000000036E-2</v>
      </c>
      <c r="IL35" s="421">
        <f t="shared" si="143"/>
        <v>1</v>
      </c>
      <c r="IM35" s="270">
        <f t="shared" si="143"/>
        <v>1</v>
      </c>
      <c r="IN35" s="427">
        <f t="shared" si="144"/>
        <v>5.0000000000000037E-2</v>
      </c>
      <c r="IS35" s="447">
        <f t="shared" ref="IS35:JB44" si="538">$AC35*IS$4/10000*$E35*IS$3/$JA$1</f>
        <v>0</v>
      </c>
      <c r="IT35" s="447">
        <f t="shared" si="538"/>
        <v>0</v>
      </c>
      <c r="IU35" s="447">
        <f t="shared" si="538"/>
        <v>0</v>
      </c>
      <c r="IV35" s="447">
        <f t="shared" si="538"/>
        <v>3.5999999999999999E-3</v>
      </c>
      <c r="IW35" s="447">
        <f t="shared" si="538"/>
        <v>4.4999999999999997E-3</v>
      </c>
      <c r="IX35" s="447">
        <f t="shared" si="538"/>
        <v>8.9999999999999993E-3</v>
      </c>
      <c r="IY35" s="447">
        <f t="shared" si="538"/>
        <v>1.7999999999999999E-2</v>
      </c>
      <c r="IZ35" s="447">
        <f t="shared" si="538"/>
        <v>2.7E-2</v>
      </c>
      <c r="JA35" s="447">
        <f t="shared" si="538"/>
        <v>3.5999999999999997E-2</v>
      </c>
      <c r="JB35" s="447">
        <f t="shared" si="538"/>
        <v>4.4999999999999998E-2</v>
      </c>
      <c r="JC35" s="447">
        <f t="shared" ref="JC35:JL44" si="539">$AC35*JC$4/10000*$E35*JC$3/$JA$1</f>
        <v>0.09</v>
      </c>
      <c r="JD35" s="447">
        <f t="shared" si="539"/>
        <v>0.1125</v>
      </c>
      <c r="JE35" s="447">
        <f t="shared" si="539"/>
        <v>0.11248200000000001</v>
      </c>
      <c r="JF35" s="447">
        <f t="shared" si="539"/>
        <v>0.11246400000000001</v>
      </c>
      <c r="JG35" s="447">
        <f t="shared" si="539"/>
        <v>0.11245500000000001</v>
      </c>
      <c r="JH35" s="447">
        <f t="shared" si="539"/>
        <v>0.11241000000000002</v>
      </c>
      <c r="JI35" s="447">
        <f t="shared" si="539"/>
        <v>0.11232000000000002</v>
      </c>
      <c r="JJ35" s="447">
        <f t="shared" si="539"/>
        <v>0.11232000000000002</v>
      </c>
      <c r="JK35" s="447">
        <f t="shared" si="539"/>
        <v>0.11232000000000002</v>
      </c>
      <c r="JL35" s="447">
        <f t="shared" si="539"/>
        <v>0.11205</v>
      </c>
      <c r="JU35" s="242">
        <f t="shared" si="198"/>
        <v>1800000</v>
      </c>
      <c r="JV35" s="242">
        <f t="shared" si="199"/>
        <v>1500000</v>
      </c>
      <c r="JW35" s="242">
        <f t="shared" si="216"/>
        <v>0.4</v>
      </c>
      <c r="JX35" s="242">
        <f t="shared" si="200"/>
        <v>2000000</v>
      </c>
      <c r="JY35" s="241">
        <f t="shared" si="217"/>
        <v>0.6</v>
      </c>
      <c r="JZ35" s="241">
        <f t="shared" si="218"/>
        <v>1800000</v>
      </c>
      <c r="KA35" s="241" t="str">
        <f t="shared" si="219"/>
        <v>期望符合预期</v>
      </c>
      <c r="KC35" s="242">
        <f t="shared" si="201"/>
        <v>3600000</v>
      </c>
      <c r="KD35" s="242">
        <f t="shared" si="202"/>
        <v>3000000</v>
      </c>
      <c r="KE35" s="242">
        <f t="shared" si="220"/>
        <v>0.4</v>
      </c>
      <c r="KF35" s="242">
        <f t="shared" si="203"/>
        <v>4000000</v>
      </c>
      <c r="KG35" s="241">
        <f t="shared" si="221"/>
        <v>0.6</v>
      </c>
      <c r="KH35" s="241">
        <f t="shared" si="222"/>
        <v>3600000</v>
      </c>
      <c r="KI35" s="241" t="str">
        <f t="shared" si="223"/>
        <v>期望符合预期</v>
      </c>
      <c r="KK35" s="242">
        <f t="shared" si="204"/>
        <v>5400000</v>
      </c>
      <c r="KL35" s="242">
        <f t="shared" si="205"/>
        <v>5000000</v>
      </c>
      <c r="KM35" s="242">
        <f t="shared" si="224"/>
        <v>0.92</v>
      </c>
      <c r="KN35" s="242">
        <f t="shared" si="206"/>
        <v>10000000</v>
      </c>
      <c r="KO35" s="241">
        <f t="shared" si="225"/>
        <v>0.08</v>
      </c>
      <c r="KP35" s="241">
        <f t="shared" si="226"/>
        <v>5400000</v>
      </c>
      <c r="KQ35" s="241" t="str">
        <f t="shared" si="227"/>
        <v>期望符合预期</v>
      </c>
      <c r="KS35" s="242">
        <f t="shared" si="207"/>
        <v>7200000</v>
      </c>
      <c r="KT35" s="242">
        <f t="shared" si="208"/>
        <v>5000000</v>
      </c>
      <c r="KU35" s="242">
        <f t="shared" si="228"/>
        <v>0.56000000000000005</v>
      </c>
      <c r="KV35" s="242">
        <f t="shared" si="209"/>
        <v>10000000</v>
      </c>
      <c r="KW35" s="241">
        <f t="shared" si="229"/>
        <v>0.44</v>
      </c>
      <c r="KX35" s="241">
        <f t="shared" si="230"/>
        <v>7200000</v>
      </c>
      <c r="KY35" s="241" t="str">
        <f t="shared" si="231"/>
        <v>期望符合预期</v>
      </c>
      <c r="LA35" s="242">
        <f t="shared" si="210"/>
        <v>9000000</v>
      </c>
      <c r="LB35" s="242">
        <f t="shared" si="211"/>
        <v>5000000</v>
      </c>
      <c r="LC35" s="242">
        <f t="shared" si="232"/>
        <v>0.2</v>
      </c>
      <c r="LD35" s="242">
        <f t="shared" si="212"/>
        <v>10000000</v>
      </c>
      <c r="LE35" s="241">
        <f t="shared" si="233"/>
        <v>0.8</v>
      </c>
      <c r="LF35" s="241">
        <f t="shared" si="234"/>
        <v>9000000</v>
      </c>
      <c r="LG35" s="241" t="str">
        <f t="shared" si="235"/>
        <v>期望符合预期</v>
      </c>
    </row>
    <row r="36" spans="1:319" ht="16.2" x14ac:dyDescent="0.4">
      <c r="A36" s="63">
        <v>30</v>
      </c>
      <c r="B36" s="254" t="s">
        <v>1728</v>
      </c>
      <c r="C36" s="63">
        <v>4</v>
      </c>
      <c r="D36" s="63">
        <v>-1</v>
      </c>
      <c r="E36" s="39">
        <f t="shared" si="527"/>
        <v>110</v>
      </c>
      <c r="F36" s="63" t="str">
        <f t="shared" si="530"/>
        <v>100~120</v>
      </c>
      <c r="G36" s="63">
        <f t="shared" si="167"/>
        <v>110</v>
      </c>
      <c r="H36" s="256" t="str">
        <f t="shared" si="531"/>
        <v>[[100,1],[110,1],[120,1]]</v>
      </c>
      <c r="I36" s="265"/>
      <c r="J36" s="63">
        <f t="shared" si="533"/>
        <v>5</v>
      </c>
      <c r="K36" s="63">
        <f t="shared" si="534"/>
        <v>1</v>
      </c>
      <c r="L36" s="63">
        <v>0</v>
      </c>
      <c r="M36" s="266">
        <f>ROUND($BX$7/('全局参数|GlobalPar'!$B$19/10000/E36),6)*(7/5)</f>
        <v>7.6388199999999989E-2</v>
      </c>
      <c r="N36" s="267">
        <v>2</v>
      </c>
      <c r="O36" s="268">
        <f>ROUND(IF(N36&lt;&gt;0,$BX$4/('全局参数|GlobalPar'!$B$19/10000/E36)/N36,0),6)</f>
        <v>0</v>
      </c>
      <c r="P36" s="270">
        <f t="shared" si="386"/>
        <v>2.1999999999999999E-2</v>
      </c>
      <c r="Q36" s="285">
        <f t="shared" si="535"/>
        <v>0</v>
      </c>
      <c r="R36" s="282">
        <v>13</v>
      </c>
      <c r="S36" s="283">
        <v>1</v>
      </c>
      <c r="T36" s="284" t="str">
        <f t="shared" si="21"/>
        <v>[[13,1],[13,1],[13,1],[13,1],[13,1],[13,1],[13,1],[13,1],[13,1],[13,1],[26,2],[52,4],[78,6],[104,8],[130,10],[260,20],[520,40],[780,60],[1040,80],[1300,100]]</v>
      </c>
      <c r="U36" s="284">
        <v>1</v>
      </c>
      <c r="V36" s="284">
        <v>1</v>
      </c>
      <c r="W36" s="284" t="str">
        <f t="shared" si="168"/>
        <v>[[1,1],[1,1],[1,1],[1,1],[1,1],[1,1],[1,1],[1,1],[1,1],[1,1],[1,1],[1,1],[1,1],[1,1],[1,1],[1,1],[1,1],[1,1],[1,1],[1,1]]</v>
      </c>
      <c r="X36" s="63">
        <v>0</v>
      </c>
      <c r="Y36" s="306">
        <v>1</v>
      </c>
      <c r="Z36" s="303">
        <f t="shared" si="22"/>
        <v>0.06</v>
      </c>
      <c r="AA36" s="303">
        <v>0.06</v>
      </c>
      <c r="AB36" s="303">
        <f t="shared" si="169"/>
        <v>0.1</v>
      </c>
      <c r="AC36" s="304">
        <f t="shared" si="213"/>
        <v>0.05</v>
      </c>
      <c r="AD36" s="304">
        <f t="shared" si="213"/>
        <v>0.02</v>
      </c>
      <c r="AE36" s="304">
        <f t="shared" si="213"/>
        <v>8.0000000000000002E-3</v>
      </c>
      <c r="AF36" s="304">
        <f t="shared" si="213"/>
        <v>2E-3</v>
      </c>
      <c r="AG36" s="63" t="str">
        <f t="shared" si="170"/>
        <v>[[2,5],[3,2],[4,1]]</v>
      </c>
      <c r="AH36" s="256" t="str">
        <f t="shared" si="171"/>
        <v>[0.586667,0.293333,0.195556]</v>
      </c>
      <c r="AI36" s="256">
        <v>0</v>
      </c>
      <c r="AJ36" s="256">
        <v>1</v>
      </c>
      <c r="AK36" s="256">
        <f t="shared" si="243"/>
        <v>1</v>
      </c>
      <c r="AL36" s="256">
        <v>1</v>
      </c>
      <c r="AM36" s="256">
        <f t="shared" si="172"/>
        <v>33</v>
      </c>
      <c r="AN36" s="256" t="s">
        <v>2549</v>
      </c>
      <c r="AO36" s="324">
        <v>11</v>
      </c>
      <c r="AP36" s="63">
        <f t="shared" si="528"/>
        <v>1</v>
      </c>
      <c r="AQ36" s="63">
        <v>0</v>
      </c>
      <c r="AR36" s="39">
        <v>2</v>
      </c>
      <c r="AS36" s="39">
        <v>4</v>
      </c>
      <c r="AT36" s="39">
        <v>1</v>
      </c>
      <c r="AU36" s="63">
        <v>1</v>
      </c>
      <c r="AV36" s="63">
        <f t="shared" si="536"/>
        <v>1.4925373134328357</v>
      </c>
      <c r="AW36" s="63">
        <v>1</v>
      </c>
      <c r="AX36" s="63">
        <v>1</v>
      </c>
      <c r="AY36" s="63" t="s">
        <v>1725</v>
      </c>
      <c r="AZ36" s="39"/>
      <c r="BA36" s="39"/>
      <c r="BB36" s="328">
        <v>0.75</v>
      </c>
      <c r="BC36" s="39">
        <v>120</v>
      </c>
      <c r="BD36" s="39">
        <v>0.18</v>
      </c>
      <c r="BE36" s="39">
        <v>0.8</v>
      </c>
      <c r="BF36" s="39">
        <v>1</v>
      </c>
      <c r="BG36" s="39" t="s">
        <v>1677</v>
      </c>
      <c r="BH36" s="331" t="s">
        <v>1729</v>
      </c>
      <c r="BI36" s="331" t="s">
        <v>1730</v>
      </c>
      <c r="BJ36" s="334" t="s">
        <v>368</v>
      </c>
      <c r="BK36" s="265" t="s">
        <v>280</v>
      </c>
      <c r="BL36" s="265"/>
      <c r="BM36" s="265"/>
      <c r="BN36" s="81">
        <f t="shared" si="387"/>
        <v>11.600000000000001</v>
      </c>
      <c r="BO36" s="343">
        <f t="shared" si="26"/>
        <v>12.931034482758619</v>
      </c>
      <c r="BP36" s="81" t="s">
        <v>1606</v>
      </c>
      <c r="BQ36" s="81">
        <f t="shared" si="388"/>
        <v>0.746</v>
      </c>
      <c r="BR36" s="81"/>
      <c r="BS36" s="63">
        <f t="shared" si="28"/>
        <v>116</v>
      </c>
      <c r="BT36" s="63">
        <f t="shared" si="29"/>
        <v>122.60000000000001</v>
      </c>
      <c r="BV36" s="63">
        <f t="shared" si="30"/>
        <v>0</v>
      </c>
      <c r="BW36" s="268">
        <v>0.1</v>
      </c>
      <c r="BX36" s="360">
        <v>100</v>
      </c>
      <c r="BY36" s="39">
        <v>1</v>
      </c>
      <c r="BZ36" s="364">
        <v>110</v>
      </c>
      <c r="CA36" s="39">
        <v>1</v>
      </c>
      <c r="CB36" s="361">
        <v>120</v>
      </c>
      <c r="CC36" s="39">
        <v>1</v>
      </c>
      <c r="CD36" s="363">
        <f t="shared" si="529"/>
        <v>110</v>
      </c>
      <c r="CE36" s="39">
        <f t="shared" si="537"/>
        <v>3</v>
      </c>
      <c r="CF36" s="39">
        <f t="shared" si="532"/>
        <v>0.30000000000000004</v>
      </c>
      <c r="CG36" s="371">
        <f t="shared" si="31"/>
        <v>121.00000000000001</v>
      </c>
      <c r="CH36" s="372">
        <f t="shared" si="214"/>
        <v>0.1</v>
      </c>
      <c r="CI36" s="373">
        <v>2</v>
      </c>
      <c r="CJ36" s="143">
        <v>5</v>
      </c>
      <c r="CK36" s="373">
        <v>3</v>
      </c>
      <c r="CL36" s="143">
        <v>2</v>
      </c>
      <c r="CM36" s="373">
        <v>4</v>
      </c>
      <c r="CN36" s="143">
        <v>1</v>
      </c>
      <c r="CO36" s="143">
        <f t="shared" si="174"/>
        <v>2.5</v>
      </c>
      <c r="CP36" s="143">
        <f t="shared" si="175"/>
        <v>7.5</v>
      </c>
      <c r="CQ36" s="377">
        <f t="shared" si="176"/>
        <v>0.58666700000000005</v>
      </c>
      <c r="CR36" s="143">
        <f t="shared" si="175"/>
        <v>15</v>
      </c>
      <c r="CS36" s="378">
        <f t="shared" si="177"/>
        <v>0.29333300000000001</v>
      </c>
      <c r="CT36" s="143">
        <f t="shared" si="175"/>
        <v>22.5</v>
      </c>
      <c r="CU36" s="392">
        <f t="shared" si="178"/>
        <v>0.19555600000000001</v>
      </c>
      <c r="CW36" s="241">
        <v>2E-3</v>
      </c>
      <c r="CX36" s="396">
        <f t="shared" si="215"/>
        <v>0</v>
      </c>
      <c r="CY36" s="270">
        <f t="shared" si="33"/>
        <v>0</v>
      </c>
      <c r="CZ36" s="394">
        <f t="shared" si="34"/>
        <v>0</v>
      </c>
      <c r="DA36" s="394">
        <f t="shared" si="35"/>
        <v>0</v>
      </c>
      <c r="DB36" s="395">
        <f t="shared" si="179"/>
        <v>0</v>
      </c>
      <c r="DC36" s="419">
        <f t="shared" si="36"/>
        <v>0</v>
      </c>
      <c r="DD36" s="394">
        <f t="shared" si="37"/>
        <v>0</v>
      </c>
      <c r="DE36" s="420" t="e">
        <f t="shared" si="38"/>
        <v>#DIV/0!</v>
      </c>
      <c r="DF36" s="421">
        <f t="shared" si="180"/>
        <v>13</v>
      </c>
      <c r="DG36" s="422">
        <f t="shared" si="181"/>
        <v>1</v>
      </c>
      <c r="DH36" s="284"/>
      <c r="DI36" s="282">
        <v>13</v>
      </c>
      <c r="DJ36" s="283">
        <v>1</v>
      </c>
      <c r="DL36" s="431"/>
      <c r="DM36" s="242"/>
      <c r="DQ36" s="427"/>
      <c r="DR36" s="421">
        <v>13</v>
      </c>
      <c r="DS36" s="270">
        <v>1</v>
      </c>
      <c r="DT36" s="427">
        <f t="shared" si="39"/>
        <v>1.4102564102564117E-3</v>
      </c>
      <c r="DU36" s="421">
        <f t="shared" si="40"/>
        <v>13</v>
      </c>
      <c r="DV36" s="270">
        <f t="shared" si="182"/>
        <v>1</v>
      </c>
      <c r="DW36" s="427">
        <f t="shared" si="42"/>
        <v>2.8205128205128233E-3</v>
      </c>
      <c r="DX36" s="421">
        <f t="shared" si="43"/>
        <v>13</v>
      </c>
      <c r="DY36" s="270">
        <f t="shared" si="183"/>
        <v>1</v>
      </c>
      <c r="DZ36" s="427">
        <f t="shared" si="45"/>
        <v>4.230769230769235E-3</v>
      </c>
      <c r="EA36" s="421">
        <f t="shared" si="184"/>
        <v>13</v>
      </c>
      <c r="EB36" s="270">
        <f t="shared" si="185"/>
        <v>1</v>
      </c>
      <c r="EC36" s="427">
        <f t="shared" si="48"/>
        <v>5.6410256410256467E-3</v>
      </c>
      <c r="ED36" s="421">
        <f t="shared" si="186"/>
        <v>13</v>
      </c>
      <c r="EE36" s="270">
        <f t="shared" si="187"/>
        <v>1</v>
      </c>
      <c r="EF36" s="427">
        <f t="shared" si="51"/>
        <v>7.0512820512820592E-3</v>
      </c>
      <c r="EG36" s="421">
        <f t="shared" si="188"/>
        <v>13</v>
      </c>
      <c r="EH36" s="270">
        <f t="shared" si="189"/>
        <v>1</v>
      </c>
      <c r="EI36" s="427">
        <f t="shared" si="54"/>
        <v>1.4102564102564118E-2</v>
      </c>
      <c r="EJ36" s="421">
        <f t="shared" si="190"/>
        <v>13</v>
      </c>
      <c r="EK36" s="270">
        <f t="shared" si="191"/>
        <v>1</v>
      </c>
      <c r="EL36" s="427">
        <f t="shared" si="57"/>
        <v>2.8205128205128237E-2</v>
      </c>
      <c r="EM36" s="421">
        <f t="shared" si="192"/>
        <v>13</v>
      </c>
      <c r="EN36" s="270">
        <f t="shared" si="193"/>
        <v>1</v>
      </c>
      <c r="EO36" s="427">
        <f t="shared" si="60"/>
        <v>4.2307692307692352E-2</v>
      </c>
      <c r="EP36" s="421">
        <f t="shared" si="194"/>
        <v>13</v>
      </c>
      <c r="EQ36" s="270">
        <f t="shared" si="195"/>
        <v>1</v>
      </c>
      <c r="ER36" s="427">
        <f t="shared" si="63"/>
        <v>5.6410256410256474E-2</v>
      </c>
      <c r="ES36" s="421">
        <f t="shared" si="196"/>
        <v>13</v>
      </c>
      <c r="ET36" s="270">
        <f t="shared" si="197"/>
        <v>1</v>
      </c>
      <c r="EU36" s="427">
        <f t="shared" si="66"/>
        <v>7.0512820512820581E-2</v>
      </c>
      <c r="EV36" s="421">
        <f t="shared" si="67"/>
        <v>26</v>
      </c>
      <c r="EW36" s="270">
        <f t="shared" si="68"/>
        <v>2</v>
      </c>
      <c r="EX36" s="427">
        <f t="shared" si="69"/>
        <v>7.0512820512820581E-2</v>
      </c>
      <c r="EY36" s="421">
        <f t="shared" si="70"/>
        <v>52</v>
      </c>
      <c r="EZ36" s="270">
        <f t="shared" si="71"/>
        <v>4</v>
      </c>
      <c r="FA36" s="427">
        <f t="shared" si="72"/>
        <v>7.0512820512820581E-2</v>
      </c>
      <c r="FB36" s="421">
        <f t="shared" si="73"/>
        <v>78</v>
      </c>
      <c r="FC36" s="270">
        <f t="shared" si="74"/>
        <v>6</v>
      </c>
      <c r="FD36" s="427">
        <f t="shared" si="75"/>
        <v>7.0512820512820581E-2</v>
      </c>
      <c r="FE36" s="421">
        <f t="shared" si="76"/>
        <v>104</v>
      </c>
      <c r="FF36" s="270">
        <f t="shared" si="77"/>
        <v>8</v>
      </c>
      <c r="FG36" s="427">
        <f t="shared" si="78"/>
        <v>7.0512820512820581E-2</v>
      </c>
      <c r="FH36" s="421">
        <f t="shared" si="79"/>
        <v>130</v>
      </c>
      <c r="FI36" s="270">
        <f t="shared" si="80"/>
        <v>10</v>
      </c>
      <c r="FJ36" s="427">
        <f t="shared" si="81"/>
        <v>7.0512820512820581E-2</v>
      </c>
      <c r="FK36" s="421">
        <f t="shared" si="82"/>
        <v>260</v>
      </c>
      <c r="FL36" s="270">
        <f t="shared" si="83"/>
        <v>20</v>
      </c>
      <c r="FM36" s="427">
        <f t="shared" si="84"/>
        <v>7.0512820512820581E-2</v>
      </c>
      <c r="FN36" s="421">
        <f t="shared" si="85"/>
        <v>520</v>
      </c>
      <c r="FO36" s="270">
        <f t="shared" si="86"/>
        <v>40</v>
      </c>
      <c r="FP36" s="427">
        <f t="shared" si="87"/>
        <v>7.0512820512820581E-2</v>
      </c>
      <c r="FQ36" s="421">
        <f t="shared" si="88"/>
        <v>780</v>
      </c>
      <c r="FR36" s="270">
        <f t="shared" si="89"/>
        <v>60</v>
      </c>
      <c r="FS36" s="427">
        <f t="shared" si="90"/>
        <v>7.0512820512820581E-2</v>
      </c>
      <c r="FT36" s="421">
        <f t="shared" si="91"/>
        <v>1040</v>
      </c>
      <c r="FU36" s="270">
        <f t="shared" si="92"/>
        <v>80</v>
      </c>
      <c r="FV36" s="427">
        <f t="shared" si="93"/>
        <v>7.0512820512820581E-2</v>
      </c>
      <c r="FW36" s="421">
        <f t="shared" si="94"/>
        <v>1300</v>
      </c>
      <c r="FX36" s="270">
        <f t="shared" si="95"/>
        <v>100</v>
      </c>
      <c r="FY36" s="427">
        <f t="shared" si="96"/>
        <v>7.0512820512820581E-2</v>
      </c>
      <c r="GA36" s="431"/>
      <c r="GB36" s="242"/>
      <c r="GF36" s="427"/>
      <c r="GG36" s="421">
        <v>1</v>
      </c>
      <c r="GH36" s="270">
        <v>1</v>
      </c>
      <c r="GI36" s="427">
        <f t="shared" si="97"/>
        <v>1.2222222222222233E-5</v>
      </c>
      <c r="GJ36" s="421">
        <f t="shared" si="98"/>
        <v>1</v>
      </c>
      <c r="GK36" s="270">
        <f t="shared" si="99"/>
        <v>1</v>
      </c>
      <c r="GL36" s="427">
        <f t="shared" si="100"/>
        <v>2.4444444444444465E-5</v>
      </c>
      <c r="GM36" s="421">
        <f t="shared" si="101"/>
        <v>1</v>
      </c>
      <c r="GN36" s="270">
        <f t="shared" si="102"/>
        <v>1</v>
      </c>
      <c r="GO36" s="427">
        <f t="shared" si="103"/>
        <v>3.66666666666667E-5</v>
      </c>
      <c r="GP36" s="421">
        <f t="shared" si="104"/>
        <v>1</v>
      </c>
      <c r="GQ36" s="270">
        <f t="shared" si="105"/>
        <v>1</v>
      </c>
      <c r="GR36" s="427">
        <f t="shared" si="106"/>
        <v>4.8888888888888931E-5</v>
      </c>
      <c r="GS36" s="421">
        <f t="shared" si="107"/>
        <v>1</v>
      </c>
      <c r="GT36" s="270">
        <f t="shared" si="108"/>
        <v>1</v>
      </c>
      <c r="GU36" s="427">
        <f t="shared" si="109"/>
        <v>6.1111111111111161E-5</v>
      </c>
      <c r="GV36" s="421">
        <f t="shared" si="110"/>
        <v>1</v>
      </c>
      <c r="GW36" s="270">
        <f t="shared" si="111"/>
        <v>1</v>
      </c>
      <c r="GX36" s="427">
        <f t="shared" si="112"/>
        <v>1.2222222222222232E-4</v>
      </c>
      <c r="GY36" s="421">
        <f t="shared" si="113"/>
        <v>1</v>
      </c>
      <c r="GZ36" s="270">
        <f t="shared" si="114"/>
        <v>1</v>
      </c>
      <c r="HA36" s="427">
        <f t="shared" si="115"/>
        <v>2.4444444444444465E-4</v>
      </c>
      <c r="HB36" s="421">
        <f t="shared" si="116"/>
        <v>1</v>
      </c>
      <c r="HC36" s="270">
        <f t="shared" si="117"/>
        <v>1</v>
      </c>
      <c r="HD36" s="427">
        <f t="shared" si="118"/>
        <v>3.6666666666666694E-4</v>
      </c>
      <c r="HE36" s="421">
        <f t="shared" si="119"/>
        <v>1</v>
      </c>
      <c r="HF36" s="270">
        <f t="shared" si="120"/>
        <v>1</v>
      </c>
      <c r="HG36" s="427">
        <f t="shared" si="121"/>
        <v>4.8888888888888929E-4</v>
      </c>
      <c r="HH36" s="421">
        <f t="shared" si="122"/>
        <v>1</v>
      </c>
      <c r="HI36" s="270">
        <f t="shared" si="123"/>
        <v>1</v>
      </c>
      <c r="HJ36" s="427">
        <f t="shared" si="124"/>
        <v>6.1111111111111164E-4</v>
      </c>
      <c r="HK36" s="421">
        <f t="shared" si="125"/>
        <v>1</v>
      </c>
      <c r="HL36" s="270">
        <f t="shared" si="125"/>
        <v>1</v>
      </c>
      <c r="HM36" s="427">
        <f t="shared" si="126"/>
        <v>1.2222222222222233E-3</v>
      </c>
      <c r="HN36" s="421">
        <f t="shared" si="127"/>
        <v>1</v>
      </c>
      <c r="HO36" s="270">
        <f t="shared" si="127"/>
        <v>1</v>
      </c>
      <c r="HP36" s="427">
        <f t="shared" si="128"/>
        <v>2.4444444444444466E-3</v>
      </c>
      <c r="HQ36" s="421">
        <f t="shared" si="129"/>
        <v>1</v>
      </c>
      <c r="HR36" s="270">
        <f t="shared" si="129"/>
        <v>1</v>
      </c>
      <c r="HS36" s="427">
        <f t="shared" si="130"/>
        <v>3.6666666666666696E-3</v>
      </c>
      <c r="HT36" s="421">
        <f t="shared" si="131"/>
        <v>1</v>
      </c>
      <c r="HU36" s="270">
        <f t="shared" si="131"/>
        <v>1</v>
      </c>
      <c r="HV36" s="427">
        <f t="shared" si="132"/>
        <v>4.8888888888888931E-3</v>
      </c>
      <c r="HW36" s="421">
        <f t="shared" si="133"/>
        <v>1</v>
      </c>
      <c r="HX36" s="270">
        <f t="shared" si="133"/>
        <v>1</v>
      </c>
      <c r="HY36" s="427">
        <f t="shared" si="134"/>
        <v>6.1111111111111158E-3</v>
      </c>
      <c r="HZ36" s="421">
        <f t="shared" si="135"/>
        <v>1</v>
      </c>
      <c r="IA36" s="270">
        <f t="shared" si="135"/>
        <v>1</v>
      </c>
      <c r="IB36" s="427">
        <f t="shared" si="136"/>
        <v>1.2222222222222232E-2</v>
      </c>
      <c r="IC36" s="421">
        <f t="shared" si="137"/>
        <v>1</v>
      </c>
      <c r="ID36" s="270">
        <f t="shared" si="137"/>
        <v>1</v>
      </c>
      <c r="IE36" s="427">
        <f t="shared" si="138"/>
        <v>2.4444444444444463E-2</v>
      </c>
      <c r="IF36" s="421">
        <f t="shared" si="139"/>
        <v>1</v>
      </c>
      <c r="IG36" s="270">
        <f t="shared" si="139"/>
        <v>1</v>
      </c>
      <c r="IH36" s="427">
        <f t="shared" si="140"/>
        <v>3.6666666666666695E-2</v>
      </c>
      <c r="II36" s="421">
        <f t="shared" si="141"/>
        <v>1</v>
      </c>
      <c r="IJ36" s="270">
        <f t="shared" si="141"/>
        <v>1</v>
      </c>
      <c r="IK36" s="427">
        <f t="shared" si="142"/>
        <v>4.8888888888888926E-2</v>
      </c>
      <c r="IL36" s="421">
        <f t="shared" si="143"/>
        <v>1</v>
      </c>
      <c r="IM36" s="270">
        <f t="shared" si="143"/>
        <v>1</v>
      </c>
      <c r="IN36" s="427">
        <f t="shared" si="144"/>
        <v>6.1111111111111158E-2</v>
      </c>
      <c r="IS36" s="447">
        <f t="shared" si="538"/>
        <v>0</v>
      </c>
      <c r="IT36" s="447">
        <f t="shared" si="538"/>
        <v>0</v>
      </c>
      <c r="IU36" s="447">
        <f t="shared" si="538"/>
        <v>0</v>
      </c>
      <c r="IV36" s="447">
        <f t="shared" si="538"/>
        <v>4.4000000000000003E-3</v>
      </c>
      <c r="IW36" s="447">
        <f t="shared" si="538"/>
        <v>5.4999999999999997E-3</v>
      </c>
      <c r="IX36" s="447">
        <f t="shared" si="538"/>
        <v>1.0999999999999999E-2</v>
      </c>
      <c r="IY36" s="447">
        <f t="shared" si="538"/>
        <v>2.1999999999999999E-2</v>
      </c>
      <c r="IZ36" s="447">
        <f t="shared" si="538"/>
        <v>3.3000000000000002E-2</v>
      </c>
      <c r="JA36" s="447">
        <f t="shared" si="538"/>
        <v>4.3999999999999997E-2</v>
      </c>
      <c r="JB36" s="447">
        <f t="shared" si="538"/>
        <v>5.5E-2</v>
      </c>
      <c r="JC36" s="447">
        <f t="shared" si="539"/>
        <v>0.11</v>
      </c>
      <c r="JD36" s="447">
        <f t="shared" si="539"/>
        <v>0.13750000000000001</v>
      </c>
      <c r="JE36" s="447">
        <f t="shared" si="539"/>
        <v>0.13747800000000002</v>
      </c>
      <c r="JF36" s="447">
        <f t="shared" si="539"/>
        <v>0.13745600000000002</v>
      </c>
      <c r="JG36" s="447">
        <f t="shared" si="539"/>
        <v>0.13744500000000001</v>
      </c>
      <c r="JH36" s="447">
        <f t="shared" si="539"/>
        <v>0.13739000000000001</v>
      </c>
      <c r="JI36" s="447">
        <f t="shared" si="539"/>
        <v>0.13728000000000001</v>
      </c>
      <c r="JJ36" s="447">
        <f t="shared" si="539"/>
        <v>0.13728000000000001</v>
      </c>
      <c r="JK36" s="447">
        <f t="shared" si="539"/>
        <v>0.13728000000000001</v>
      </c>
      <c r="JL36" s="447">
        <f t="shared" si="539"/>
        <v>0.13694999999999999</v>
      </c>
      <c r="JU36" s="242">
        <f t="shared" si="198"/>
        <v>2200000</v>
      </c>
      <c r="JV36" s="242">
        <f t="shared" si="199"/>
        <v>2000000</v>
      </c>
      <c r="JW36" s="242">
        <f t="shared" si="216"/>
        <v>0.8</v>
      </c>
      <c r="JX36" s="242">
        <f t="shared" si="200"/>
        <v>3000000</v>
      </c>
      <c r="JY36" s="241">
        <f t="shared" si="217"/>
        <v>0.2</v>
      </c>
      <c r="JZ36" s="241">
        <f t="shared" si="218"/>
        <v>2200000</v>
      </c>
      <c r="KA36" s="241" t="str">
        <f t="shared" si="219"/>
        <v>期望符合预期</v>
      </c>
      <c r="KC36" s="242">
        <f t="shared" si="201"/>
        <v>4400000</v>
      </c>
      <c r="KD36" s="242">
        <f t="shared" si="202"/>
        <v>4000000</v>
      </c>
      <c r="KE36" s="242">
        <f t="shared" si="220"/>
        <v>0.6</v>
      </c>
      <c r="KF36" s="242">
        <f t="shared" si="203"/>
        <v>5000000</v>
      </c>
      <c r="KG36" s="241">
        <f t="shared" si="221"/>
        <v>0.4</v>
      </c>
      <c r="KH36" s="241">
        <f t="shared" si="222"/>
        <v>4400000</v>
      </c>
      <c r="KI36" s="241" t="str">
        <f t="shared" si="223"/>
        <v>期望符合预期</v>
      </c>
      <c r="KK36" s="242">
        <f t="shared" si="204"/>
        <v>6600000</v>
      </c>
      <c r="KL36" s="242">
        <f t="shared" si="205"/>
        <v>5000000</v>
      </c>
      <c r="KM36" s="242">
        <f t="shared" si="224"/>
        <v>0.68</v>
      </c>
      <c r="KN36" s="242">
        <f t="shared" si="206"/>
        <v>10000000</v>
      </c>
      <c r="KO36" s="241">
        <f t="shared" si="225"/>
        <v>0.32</v>
      </c>
      <c r="KP36" s="241">
        <f t="shared" si="226"/>
        <v>6600000</v>
      </c>
      <c r="KQ36" s="241" t="str">
        <f t="shared" si="227"/>
        <v>期望符合预期</v>
      </c>
      <c r="KS36" s="242">
        <f t="shared" si="207"/>
        <v>8800000</v>
      </c>
      <c r="KT36" s="242">
        <f t="shared" si="208"/>
        <v>5000000</v>
      </c>
      <c r="KU36" s="242">
        <f t="shared" si="228"/>
        <v>0.24</v>
      </c>
      <c r="KV36" s="242">
        <f t="shared" si="209"/>
        <v>10000000</v>
      </c>
      <c r="KW36" s="241">
        <f t="shared" si="229"/>
        <v>0.76</v>
      </c>
      <c r="KX36" s="241">
        <f t="shared" si="230"/>
        <v>8800000</v>
      </c>
      <c r="KY36" s="241" t="str">
        <f t="shared" si="231"/>
        <v>期望符合预期</v>
      </c>
      <c r="LA36" s="242">
        <f t="shared" si="210"/>
        <v>11000000</v>
      </c>
      <c r="LB36" s="242">
        <f t="shared" si="211"/>
        <v>10000000</v>
      </c>
      <c r="LC36" s="242">
        <f t="shared" si="232"/>
        <v>0.8</v>
      </c>
      <c r="LD36" s="242">
        <f t="shared" si="212"/>
        <v>15000000</v>
      </c>
      <c r="LE36" s="241">
        <f t="shared" si="233"/>
        <v>0.2</v>
      </c>
      <c r="LF36" s="241">
        <f t="shared" si="234"/>
        <v>11000000</v>
      </c>
      <c r="LG36" s="241" t="str">
        <f t="shared" si="235"/>
        <v>期望符合预期</v>
      </c>
    </row>
    <row r="37" spans="1:319" ht="16.2" x14ac:dyDescent="0.4">
      <c r="A37" s="63">
        <v>31</v>
      </c>
      <c r="B37" s="254" t="s">
        <v>1731</v>
      </c>
      <c r="C37" s="63">
        <v>4</v>
      </c>
      <c r="D37" s="63">
        <v>-1</v>
      </c>
      <c r="E37" s="39">
        <f t="shared" si="527"/>
        <v>130</v>
      </c>
      <c r="F37" s="63" t="str">
        <f t="shared" si="530"/>
        <v>100~160</v>
      </c>
      <c r="G37" s="63">
        <f t="shared" si="167"/>
        <v>130</v>
      </c>
      <c r="H37" s="256" t="str">
        <f t="shared" si="531"/>
        <v>[[100,1],[130,1],[160,1]]</v>
      </c>
      <c r="I37" s="265"/>
      <c r="J37" s="63">
        <f t="shared" si="533"/>
        <v>5</v>
      </c>
      <c r="K37" s="63">
        <f t="shared" si="534"/>
        <v>1</v>
      </c>
      <c r="L37" s="63">
        <v>0</v>
      </c>
      <c r="M37" s="266">
        <f>ROUND($BX$7/('全局参数|GlobalPar'!$B$19/10000/E37),6)*(7/5)</f>
        <v>9.02776E-2</v>
      </c>
      <c r="N37" s="267">
        <v>3</v>
      </c>
      <c r="O37" s="268">
        <f>ROUND(IF(N37&lt;&gt;0,$BX$4/('全局参数|GlobalPar'!$B$19/10000/E37)/N37,0),6)</f>
        <v>0</v>
      </c>
      <c r="P37" s="270">
        <f t="shared" si="386"/>
        <v>2.5999999999999999E-2</v>
      </c>
      <c r="Q37" s="285">
        <f t="shared" si="535"/>
        <v>0</v>
      </c>
      <c r="R37" s="282">
        <v>13</v>
      </c>
      <c r="S37" s="283">
        <v>1</v>
      </c>
      <c r="T37" s="284" t="str">
        <f t="shared" si="21"/>
        <v>[[13,1],[13,1],[13,1],[13,1],[13,1],[13,1],[13,1],[13,1],[13,1],[13,1],[26,2],[52,4],[78,6],[104,8],[130,10],[260,20],[520,40],[780,60],[1040,80],[1300,100]]</v>
      </c>
      <c r="U37" s="284">
        <v>1</v>
      </c>
      <c r="V37" s="284">
        <v>1</v>
      </c>
      <c r="W37" s="284" t="str">
        <f t="shared" si="168"/>
        <v>[[1,1],[1,1],[1,1],[1,1],[1,1],[1,1],[1,1],[1,1],[1,1],[1,1],[1,1],[1,1],[1,1],[1,1],[1,1],[1,1],[1,1],[1,1],[1,1],[1,1]]</v>
      </c>
      <c r="X37" s="63">
        <v>0</v>
      </c>
      <c r="Y37" s="306">
        <v>1</v>
      </c>
      <c r="Z37" s="303">
        <f t="shared" si="22"/>
        <v>0.06</v>
      </c>
      <c r="AA37" s="303">
        <v>0.06</v>
      </c>
      <c r="AB37" s="303">
        <f t="shared" si="169"/>
        <v>0.1</v>
      </c>
      <c r="AC37" s="304">
        <f t="shared" si="213"/>
        <v>0.05</v>
      </c>
      <c r="AD37" s="304">
        <f t="shared" si="213"/>
        <v>0.02</v>
      </c>
      <c r="AE37" s="304">
        <f t="shared" si="213"/>
        <v>8.0000000000000002E-3</v>
      </c>
      <c r="AF37" s="304">
        <f t="shared" si="213"/>
        <v>2E-3</v>
      </c>
      <c r="AG37" s="63" t="str">
        <f t="shared" si="170"/>
        <v>[[2,5],[3,2],[4,1]]</v>
      </c>
      <c r="AH37" s="256" t="str">
        <f t="shared" si="171"/>
        <v>[0.693333,0.346667,0.231111]</v>
      </c>
      <c r="AI37" s="256">
        <v>0</v>
      </c>
      <c r="AJ37" s="256">
        <v>1</v>
      </c>
      <c r="AK37" s="256">
        <f t="shared" si="243"/>
        <v>1</v>
      </c>
      <c r="AL37" s="256">
        <v>1</v>
      </c>
      <c r="AM37" s="256">
        <f t="shared" si="172"/>
        <v>39</v>
      </c>
      <c r="AN37" s="256" t="s">
        <v>2549</v>
      </c>
      <c r="AO37" s="324">
        <v>11</v>
      </c>
      <c r="AP37" s="63">
        <f t="shared" si="528"/>
        <v>1</v>
      </c>
      <c r="AQ37" s="63">
        <v>0</v>
      </c>
      <c r="AR37" s="39">
        <v>2</v>
      </c>
      <c r="AS37" s="39">
        <v>4</v>
      </c>
      <c r="AT37" s="39">
        <v>0</v>
      </c>
      <c r="AU37" s="63">
        <v>1</v>
      </c>
      <c r="AV37" s="63">
        <f t="shared" si="536"/>
        <v>1.4925373134328357</v>
      </c>
      <c r="AW37" s="63">
        <v>1</v>
      </c>
      <c r="AX37" s="63">
        <v>1</v>
      </c>
      <c r="AY37" s="63" t="s">
        <v>1732</v>
      </c>
      <c r="AZ37" s="39"/>
      <c r="BA37" s="39"/>
      <c r="BB37" s="328">
        <v>0.75</v>
      </c>
      <c r="BC37" s="39">
        <v>130</v>
      </c>
      <c r="BD37" s="39">
        <v>0.18</v>
      </c>
      <c r="BE37" s="39">
        <v>0.8</v>
      </c>
      <c r="BF37" s="39">
        <v>1</v>
      </c>
      <c r="BG37" s="39" t="s">
        <v>1677</v>
      </c>
      <c r="BH37" s="331" t="s">
        <v>1733</v>
      </c>
      <c r="BI37" s="331" t="s">
        <v>1734</v>
      </c>
      <c r="BJ37" s="334" t="s">
        <v>548</v>
      </c>
      <c r="BK37" s="265" t="s">
        <v>280</v>
      </c>
      <c r="BL37" s="265"/>
      <c r="BM37" s="265"/>
      <c r="BN37" s="81">
        <f t="shared" si="387"/>
        <v>13.600000000000001</v>
      </c>
      <c r="BO37" s="343">
        <f t="shared" si="26"/>
        <v>11.02941176470588</v>
      </c>
      <c r="BP37" s="81" t="s">
        <v>1606</v>
      </c>
      <c r="BQ37" s="81">
        <f t="shared" si="388"/>
        <v>0.746</v>
      </c>
      <c r="BR37" s="81"/>
      <c r="BS37" s="63">
        <f t="shared" si="28"/>
        <v>136</v>
      </c>
      <c r="BT37" s="63">
        <f t="shared" si="29"/>
        <v>143.80000000000001</v>
      </c>
      <c r="BV37" s="63">
        <f t="shared" si="30"/>
        <v>0</v>
      </c>
      <c r="BW37" s="268">
        <v>0.1</v>
      </c>
      <c r="BX37" s="360">
        <v>100</v>
      </c>
      <c r="BY37" s="39">
        <v>1</v>
      </c>
      <c r="BZ37" s="361">
        <v>130</v>
      </c>
      <c r="CA37" s="39">
        <v>1</v>
      </c>
      <c r="CB37" s="362">
        <v>160</v>
      </c>
      <c r="CC37" s="39">
        <v>1</v>
      </c>
      <c r="CD37" s="363">
        <f t="shared" si="529"/>
        <v>130</v>
      </c>
      <c r="CE37" s="39">
        <f>(BY37+CA37+CC37)/CA37</f>
        <v>3</v>
      </c>
      <c r="CF37" s="39">
        <f t="shared" si="532"/>
        <v>0.30000000000000004</v>
      </c>
      <c r="CG37" s="371">
        <f t="shared" si="31"/>
        <v>143</v>
      </c>
      <c r="CH37" s="372">
        <f t="shared" si="214"/>
        <v>0.1</v>
      </c>
      <c r="CI37" s="373">
        <v>2</v>
      </c>
      <c r="CJ37" s="143">
        <v>5</v>
      </c>
      <c r="CK37" s="373">
        <v>3</v>
      </c>
      <c r="CL37" s="143">
        <v>2</v>
      </c>
      <c r="CM37" s="373">
        <v>4</v>
      </c>
      <c r="CN37" s="143">
        <v>1</v>
      </c>
      <c r="CO37" s="143">
        <f t="shared" si="174"/>
        <v>2.5</v>
      </c>
      <c r="CP37" s="143">
        <f t="shared" si="175"/>
        <v>7.5</v>
      </c>
      <c r="CQ37" s="377">
        <f t="shared" si="176"/>
        <v>0.69333299999999998</v>
      </c>
      <c r="CR37" s="143">
        <f t="shared" si="175"/>
        <v>15</v>
      </c>
      <c r="CS37" s="378">
        <f t="shared" si="177"/>
        <v>0.346667</v>
      </c>
      <c r="CT37" s="143">
        <f t="shared" si="175"/>
        <v>22.5</v>
      </c>
      <c r="CU37" s="392">
        <f t="shared" si="178"/>
        <v>0.23111100000000001</v>
      </c>
      <c r="CW37" s="241">
        <v>2E-3</v>
      </c>
      <c r="CX37" s="396">
        <f t="shared" si="215"/>
        <v>0</v>
      </c>
      <c r="CY37" s="270">
        <f t="shared" si="33"/>
        <v>0</v>
      </c>
      <c r="CZ37" s="394">
        <f t="shared" si="34"/>
        <v>0</v>
      </c>
      <c r="DA37" s="394">
        <f t="shared" si="35"/>
        <v>0</v>
      </c>
      <c r="DB37" s="395">
        <f t="shared" si="179"/>
        <v>0</v>
      </c>
      <c r="DC37" s="419">
        <f t="shared" si="36"/>
        <v>0</v>
      </c>
      <c r="DD37" s="394">
        <f t="shared" si="37"/>
        <v>0</v>
      </c>
      <c r="DE37" s="420" t="e">
        <f t="shared" si="38"/>
        <v>#DIV/0!</v>
      </c>
      <c r="DF37" s="421">
        <f t="shared" si="180"/>
        <v>13</v>
      </c>
      <c r="DG37" s="422">
        <f t="shared" si="181"/>
        <v>1</v>
      </c>
      <c r="DH37" s="284"/>
      <c r="DI37" s="282">
        <v>13</v>
      </c>
      <c r="DJ37" s="283">
        <v>1</v>
      </c>
      <c r="DL37" s="431"/>
      <c r="DM37" s="242"/>
      <c r="DQ37" s="427"/>
      <c r="DR37" s="421">
        <v>13</v>
      </c>
      <c r="DS37" s="270">
        <v>1</v>
      </c>
      <c r="DT37" s="427">
        <f t="shared" si="39"/>
        <v>1.6666666666666685E-3</v>
      </c>
      <c r="DU37" s="421">
        <f t="shared" si="40"/>
        <v>13</v>
      </c>
      <c r="DV37" s="270">
        <f t="shared" si="182"/>
        <v>1</v>
      </c>
      <c r="DW37" s="427">
        <f t="shared" si="42"/>
        <v>3.333333333333337E-3</v>
      </c>
      <c r="DX37" s="421">
        <f t="shared" si="43"/>
        <v>13</v>
      </c>
      <c r="DY37" s="270">
        <f t="shared" si="183"/>
        <v>1</v>
      </c>
      <c r="DZ37" s="427">
        <f t="shared" si="45"/>
        <v>5.0000000000000053E-3</v>
      </c>
      <c r="EA37" s="421">
        <f t="shared" si="184"/>
        <v>13</v>
      </c>
      <c r="EB37" s="270">
        <f t="shared" si="185"/>
        <v>1</v>
      </c>
      <c r="EC37" s="427">
        <f t="shared" si="48"/>
        <v>6.666666666666674E-3</v>
      </c>
      <c r="ED37" s="421">
        <f t="shared" si="186"/>
        <v>13</v>
      </c>
      <c r="EE37" s="270">
        <f t="shared" si="187"/>
        <v>1</v>
      </c>
      <c r="EF37" s="427">
        <f t="shared" si="51"/>
        <v>8.3333333333333419E-3</v>
      </c>
      <c r="EG37" s="421">
        <f t="shared" si="188"/>
        <v>13</v>
      </c>
      <c r="EH37" s="270">
        <f t="shared" si="189"/>
        <v>1</v>
      </c>
      <c r="EI37" s="427">
        <f t="shared" si="54"/>
        <v>1.6666666666666684E-2</v>
      </c>
      <c r="EJ37" s="421">
        <f t="shared" si="190"/>
        <v>13</v>
      </c>
      <c r="EK37" s="270">
        <f t="shared" si="191"/>
        <v>1</v>
      </c>
      <c r="EL37" s="427">
        <f t="shared" si="57"/>
        <v>3.3333333333333368E-2</v>
      </c>
      <c r="EM37" s="421">
        <f t="shared" si="192"/>
        <v>13</v>
      </c>
      <c r="EN37" s="270">
        <f t="shared" si="193"/>
        <v>1</v>
      </c>
      <c r="EO37" s="427">
        <f t="shared" si="60"/>
        <v>5.0000000000000051E-2</v>
      </c>
      <c r="EP37" s="421">
        <f t="shared" si="194"/>
        <v>13</v>
      </c>
      <c r="EQ37" s="270">
        <f t="shared" si="195"/>
        <v>1</v>
      </c>
      <c r="ER37" s="427">
        <f t="shared" si="63"/>
        <v>6.6666666666666735E-2</v>
      </c>
      <c r="ES37" s="421">
        <f t="shared" si="196"/>
        <v>13</v>
      </c>
      <c r="ET37" s="270">
        <f t="shared" si="197"/>
        <v>1</v>
      </c>
      <c r="EU37" s="427">
        <f t="shared" si="66"/>
        <v>8.3333333333333426E-2</v>
      </c>
      <c r="EV37" s="421">
        <f t="shared" si="67"/>
        <v>26</v>
      </c>
      <c r="EW37" s="270">
        <f t="shared" si="68"/>
        <v>2</v>
      </c>
      <c r="EX37" s="427">
        <f t="shared" si="69"/>
        <v>8.3333333333333426E-2</v>
      </c>
      <c r="EY37" s="421">
        <f t="shared" si="70"/>
        <v>52</v>
      </c>
      <c r="EZ37" s="270">
        <f t="shared" si="71"/>
        <v>4</v>
      </c>
      <c r="FA37" s="427">
        <f t="shared" si="72"/>
        <v>8.3333333333333426E-2</v>
      </c>
      <c r="FB37" s="421">
        <f t="shared" si="73"/>
        <v>78</v>
      </c>
      <c r="FC37" s="270">
        <f t="shared" si="74"/>
        <v>6</v>
      </c>
      <c r="FD37" s="427">
        <f t="shared" si="75"/>
        <v>8.3333333333333426E-2</v>
      </c>
      <c r="FE37" s="421">
        <f t="shared" si="76"/>
        <v>104</v>
      </c>
      <c r="FF37" s="270">
        <f t="shared" si="77"/>
        <v>8</v>
      </c>
      <c r="FG37" s="427">
        <f t="shared" si="78"/>
        <v>8.3333333333333426E-2</v>
      </c>
      <c r="FH37" s="421">
        <f t="shared" si="79"/>
        <v>130</v>
      </c>
      <c r="FI37" s="270">
        <f t="shared" si="80"/>
        <v>10</v>
      </c>
      <c r="FJ37" s="427">
        <f t="shared" si="81"/>
        <v>8.3333333333333426E-2</v>
      </c>
      <c r="FK37" s="421">
        <f t="shared" si="82"/>
        <v>260</v>
      </c>
      <c r="FL37" s="270">
        <f t="shared" si="83"/>
        <v>20</v>
      </c>
      <c r="FM37" s="427">
        <f t="shared" si="84"/>
        <v>8.3333333333333426E-2</v>
      </c>
      <c r="FN37" s="421">
        <f t="shared" si="85"/>
        <v>520</v>
      </c>
      <c r="FO37" s="270">
        <f t="shared" si="86"/>
        <v>40</v>
      </c>
      <c r="FP37" s="427">
        <f t="shared" si="87"/>
        <v>8.3333333333333426E-2</v>
      </c>
      <c r="FQ37" s="421">
        <f t="shared" si="88"/>
        <v>780</v>
      </c>
      <c r="FR37" s="270">
        <f t="shared" si="89"/>
        <v>60</v>
      </c>
      <c r="FS37" s="427">
        <f t="shared" si="90"/>
        <v>8.3333333333333426E-2</v>
      </c>
      <c r="FT37" s="421">
        <f t="shared" si="91"/>
        <v>1040</v>
      </c>
      <c r="FU37" s="270">
        <f t="shared" si="92"/>
        <v>80</v>
      </c>
      <c r="FV37" s="427">
        <f t="shared" si="93"/>
        <v>8.3333333333333426E-2</v>
      </c>
      <c r="FW37" s="421">
        <f t="shared" si="94"/>
        <v>1300</v>
      </c>
      <c r="FX37" s="270">
        <f t="shared" si="95"/>
        <v>100</v>
      </c>
      <c r="FY37" s="427">
        <f t="shared" si="96"/>
        <v>8.3333333333333426E-2</v>
      </c>
      <c r="GA37" s="431"/>
      <c r="GB37" s="242"/>
      <c r="GF37" s="427"/>
      <c r="GG37" s="421">
        <v>1</v>
      </c>
      <c r="GH37" s="270">
        <v>1</v>
      </c>
      <c r="GI37" s="427">
        <f t="shared" si="97"/>
        <v>1.4444444444444456E-5</v>
      </c>
      <c r="GJ37" s="421">
        <f t="shared" si="98"/>
        <v>1</v>
      </c>
      <c r="GK37" s="270">
        <f t="shared" si="99"/>
        <v>1</v>
      </c>
      <c r="GL37" s="427">
        <f t="shared" si="100"/>
        <v>2.8888888888888912E-5</v>
      </c>
      <c r="GM37" s="421">
        <f t="shared" si="101"/>
        <v>1</v>
      </c>
      <c r="GN37" s="270">
        <f t="shared" si="102"/>
        <v>1</v>
      </c>
      <c r="GO37" s="427">
        <f t="shared" si="103"/>
        <v>4.3333333333333368E-5</v>
      </c>
      <c r="GP37" s="421">
        <f t="shared" si="104"/>
        <v>1</v>
      </c>
      <c r="GQ37" s="270">
        <f t="shared" si="105"/>
        <v>1</v>
      </c>
      <c r="GR37" s="427">
        <f t="shared" si="106"/>
        <v>5.7777777777777824E-5</v>
      </c>
      <c r="GS37" s="421">
        <f t="shared" si="107"/>
        <v>1</v>
      </c>
      <c r="GT37" s="270">
        <f t="shared" si="108"/>
        <v>1</v>
      </c>
      <c r="GU37" s="427">
        <f t="shared" si="109"/>
        <v>7.2222222222222287E-5</v>
      </c>
      <c r="GV37" s="421">
        <f t="shared" si="110"/>
        <v>1</v>
      </c>
      <c r="GW37" s="270">
        <f t="shared" si="111"/>
        <v>1</v>
      </c>
      <c r="GX37" s="427">
        <f t="shared" si="112"/>
        <v>1.4444444444444457E-4</v>
      </c>
      <c r="GY37" s="421">
        <f t="shared" si="113"/>
        <v>1</v>
      </c>
      <c r="GZ37" s="270">
        <f t="shared" si="114"/>
        <v>1</v>
      </c>
      <c r="HA37" s="427">
        <f t="shared" si="115"/>
        <v>2.8888888888888915E-4</v>
      </c>
      <c r="HB37" s="421">
        <f t="shared" si="116"/>
        <v>1</v>
      </c>
      <c r="HC37" s="270">
        <f t="shared" si="117"/>
        <v>1</v>
      </c>
      <c r="HD37" s="427">
        <f t="shared" si="118"/>
        <v>4.3333333333333369E-4</v>
      </c>
      <c r="HE37" s="421">
        <f t="shared" si="119"/>
        <v>1</v>
      </c>
      <c r="HF37" s="270">
        <f t="shared" si="120"/>
        <v>1</v>
      </c>
      <c r="HG37" s="427">
        <f t="shared" si="121"/>
        <v>5.7777777777777829E-4</v>
      </c>
      <c r="HH37" s="421">
        <f t="shared" si="122"/>
        <v>1</v>
      </c>
      <c r="HI37" s="270">
        <f t="shared" si="123"/>
        <v>1</v>
      </c>
      <c r="HJ37" s="427">
        <f t="shared" si="124"/>
        <v>7.2222222222222284E-4</v>
      </c>
      <c r="HK37" s="421">
        <f t="shared" si="125"/>
        <v>1</v>
      </c>
      <c r="HL37" s="270">
        <f t="shared" si="125"/>
        <v>1</v>
      </c>
      <c r="HM37" s="427">
        <f t="shared" si="126"/>
        <v>1.4444444444444457E-3</v>
      </c>
      <c r="HN37" s="421">
        <f t="shared" si="127"/>
        <v>1</v>
      </c>
      <c r="HO37" s="270">
        <f t="shared" si="127"/>
        <v>1</v>
      </c>
      <c r="HP37" s="427">
        <f t="shared" si="128"/>
        <v>2.8888888888888914E-3</v>
      </c>
      <c r="HQ37" s="421">
        <f t="shared" si="129"/>
        <v>1</v>
      </c>
      <c r="HR37" s="270">
        <f t="shared" si="129"/>
        <v>1</v>
      </c>
      <c r="HS37" s="427">
        <f t="shared" si="130"/>
        <v>4.3333333333333366E-3</v>
      </c>
      <c r="HT37" s="421">
        <f t="shared" si="131"/>
        <v>1</v>
      </c>
      <c r="HU37" s="270">
        <f t="shared" si="131"/>
        <v>1</v>
      </c>
      <c r="HV37" s="427">
        <f t="shared" si="132"/>
        <v>5.7777777777777827E-3</v>
      </c>
      <c r="HW37" s="421">
        <f t="shared" si="133"/>
        <v>1</v>
      </c>
      <c r="HX37" s="270">
        <f t="shared" si="133"/>
        <v>1</v>
      </c>
      <c r="HY37" s="427">
        <f t="shared" si="134"/>
        <v>7.222222222222228E-3</v>
      </c>
      <c r="HZ37" s="421">
        <f t="shared" si="135"/>
        <v>1</v>
      </c>
      <c r="IA37" s="270">
        <f t="shared" si="135"/>
        <v>1</v>
      </c>
      <c r="IB37" s="427">
        <f t="shared" si="136"/>
        <v>1.4444444444444456E-2</v>
      </c>
      <c r="IC37" s="421">
        <f t="shared" si="137"/>
        <v>1</v>
      </c>
      <c r="ID37" s="270">
        <f t="shared" si="137"/>
        <v>1</v>
      </c>
      <c r="IE37" s="427">
        <f t="shared" si="138"/>
        <v>2.8888888888888912E-2</v>
      </c>
      <c r="IF37" s="421">
        <f t="shared" si="139"/>
        <v>1</v>
      </c>
      <c r="IG37" s="270">
        <f t="shared" si="139"/>
        <v>1</v>
      </c>
      <c r="IH37" s="427">
        <f t="shared" si="140"/>
        <v>4.333333333333337E-2</v>
      </c>
      <c r="II37" s="421">
        <f t="shared" si="141"/>
        <v>1</v>
      </c>
      <c r="IJ37" s="270">
        <f t="shared" si="141"/>
        <v>1</v>
      </c>
      <c r="IK37" s="427">
        <f t="shared" si="142"/>
        <v>5.7777777777777824E-2</v>
      </c>
      <c r="IL37" s="421">
        <f t="shared" si="143"/>
        <v>1</v>
      </c>
      <c r="IM37" s="270">
        <f t="shared" si="143"/>
        <v>1</v>
      </c>
      <c r="IN37" s="427">
        <f t="shared" si="144"/>
        <v>7.2222222222222285E-2</v>
      </c>
      <c r="IS37" s="447">
        <f t="shared" si="538"/>
        <v>0</v>
      </c>
      <c r="IT37" s="447">
        <f t="shared" si="538"/>
        <v>0</v>
      </c>
      <c r="IU37" s="447">
        <f t="shared" si="538"/>
        <v>0</v>
      </c>
      <c r="IV37" s="447">
        <f t="shared" si="538"/>
        <v>5.1999999999999998E-3</v>
      </c>
      <c r="IW37" s="447">
        <f t="shared" si="538"/>
        <v>6.4999999999999997E-3</v>
      </c>
      <c r="IX37" s="447">
        <f t="shared" si="538"/>
        <v>1.2999999999999999E-2</v>
      </c>
      <c r="IY37" s="447">
        <f t="shared" si="538"/>
        <v>2.5999999999999999E-2</v>
      </c>
      <c r="IZ37" s="447">
        <f t="shared" si="538"/>
        <v>3.9E-2</v>
      </c>
      <c r="JA37" s="447">
        <f t="shared" si="538"/>
        <v>5.1999999999999998E-2</v>
      </c>
      <c r="JB37" s="447">
        <f t="shared" si="538"/>
        <v>6.5000000000000002E-2</v>
      </c>
      <c r="JC37" s="447">
        <f t="shared" si="539"/>
        <v>0.13</v>
      </c>
      <c r="JD37" s="447">
        <f t="shared" si="539"/>
        <v>0.16250000000000001</v>
      </c>
      <c r="JE37" s="447">
        <f t="shared" si="539"/>
        <v>0.16247400000000001</v>
      </c>
      <c r="JF37" s="447">
        <f t="shared" si="539"/>
        <v>0.16244800000000001</v>
      </c>
      <c r="JG37" s="447">
        <f t="shared" si="539"/>
        <v>0.16243500000000002</v>
      </c>
      <c r="JH37" s="447">
        <f t="shared" si="539"/>
        <v>0.16237000000000001</v>
      </c>
      <c r="JI37" s="447">
        <f t="shared" si="539"/>
        <v>0.16224000000000002</v>
      </c>
      <c r="JJ37" s="447">
        <f t="shared" si="539"/>
        <v>0.16224000000000002</v>
      </c>
      <c r="JK37" s="447">
        <f t="shared" si="539"/>
        <v>0.16224000000000002</v>
      </c>
      <c r="JL37" s="447">
        <f t="shared" si="539"/>
        <v>0.16184999999999999</v>
      </c>
      <c r="JU37" s="242">
        <f t="shared" si="198"/>
        <v>2600000</v>
      </c>
      <c r="JV37" s="242">
        <f t="shared" si="199"/>
        <v>2000000</v>
      </c>
      <c r="JW37" s="242">
        <f t="shared" si="216"/>
        <v>0.4</v>
      </c>
      <c r="JX37" s="242">
        <f t="shared" si="200"/>
        <v>3000000</v>
      </c>
      <c r="JY37" s="241">
        <f t="shared" si="217"/>
        <v>0.6</v>
      </c>
      <c r="JZ37" s="241">
        <f t="shared" si="218"/>
        <v>2600000</v>
      </c>
      <c r="KA37" s="241" t="str">
        <f t="shared" si="219"/>
        <v>期望符合预期</v>
      </c>
      <c r="KC37" s="242">
        <f t="shared" si="201"/>
        <v>5200000</v>
      </c>
      <c r="KD37" s="242">
        <f t="shared" si="202"/>
        <v>5000000</v>
      </c>
      <c r="KE37" s="242">
        <f t="shared" si="220"/>
        <v>0.96</v>
      </c>
      <c r="KF37" s="242">
        <f t="shared" si="203"/>
        <v>10000000</v>
      </c>
      <c r="KG37" s="241">
        <f t="shared" si="221"/>
        <v>0.04</v>
      </c>
      <c r="KH37" s="241">
        <f t="shared" si="222"/>
        <v>5200000</v>
      </c>
      <c r="KI37" s="241" t="str">
        <f t="shared" si="223"/>
        <v>期望符合预期</v>
      </c>
      <c r="KK37" s="242">
        <f t="shared" si="204"/>
        <v>7800000</v>
      </c>
      <c r="KL37" s="242">
        <f t="shared" si="205"/>
        <v>5000000</v>
      </c>
      <c r="KM37" s="242">
        <f t="shared" si="224"/>
        <v>0.44</v>
      </c>
      <c r="KN37" s="242">
        <f t="shared" si="206"/>
        <v>10000000</v>
      </c>
      <c r="KO37" s="241">
        <f t="shared" si="225"/>
        <v>0.56000000000000005</v>
      </c>
      <c r="KP37" s="241">
        <f t="shared" si="226"/>
        <v>7800000.0000000009</v>
      </c>
      <c r="KQ37" s="241" t="str">
        <f t="shared" si="227"/>
        <v>期望符合预期</v>
      </c>
      <c r="KS37" s="242">
        <f t="shared" si="207"/>
        <v>10400000</v>
      </c>
      <c r="KT37" s="242">
        <f t="shared" si="208"/>
        <v>10000000</v>
      </c>
      <c r="KU37" s="242">
        <f t="shared" si="228"/>
        <v>0.92</v>
      </c>
      <c r="KV37" s="242">
        <f t="shared" si="209"/>
        <v>15000000</v>
      </c>
      <c r="KW37" s="241">
        <f t="shared" si="229"/>
        <v>0.08</v>
      </c>
      <c r="KX37" s="241">
        <f t="shared" si="230"/>
        <v>10400000</v>
      </c>
      <c r="KY37" s="241" t="str">
        <f t="shared" si="231"/>
        <v>期望符合预期</v>
      </c>
      <c r="LA37" s="242">
        <f t="shared" si="210"/>
        <v>13000000</v>
      </c>
      <c r="LB37" s="242">
        <f t="shared" si="211"/>
        <v>10000000</v>
      </c>
      <c r="LC37" s="242">
        <f t="shared" si="232"/>
        <v>0.4</v>
      </c>
      <c r="LD37" s="242">
        <f t="shared" si="212"/>
        <v>15000000</v>
      </c>
      <c r="LE37" s="241">
        <f t="shared" si="233"/>
        <v>0.6</v>
      </c>
      <c r="LF37" s="241">
        <f t="shared" si="234"/>
        <v>13000000</v>
      </c>
      <c r="LG37" s="241" t="str">
        <f t="shared" si="235"/>
        <v>期望符合预期</v>
      </c>
    </row>
    <row r="38" spans="1:319" ht="16.2" x14ac:dyDescent="0.4">
      <c r="A38" s="63">
        <v>32</v>
      </c>
      <c r="B38" s="254" t="s">
        <v>1735</v>
      </c>
      <c r="C38" s="63">
        <v>4</v>
      </c>
      <c r="D38" s="63">
        <v>-1</v>
      </c>
      <c r="E38" s="39">
        <f t="shared" si="527"/>
        <v>145</v>
      </c>
      <c r="F38" s="63" t="str">
        <f t="shared" si="530"/>
        <v>110~180</v>
      </c>
      <c r="G38" s="63">
        <f t="shared" si="167"/>
        <v>145</v>
      </c>
      <c r="H38" s="256" t="str">
        <f t="shared" si="531"/>
        <v>[[110,1],[145,1],[180,1]]</v>
      </c>
      <c r="I38" s="265"/>
      <c r="J38" s="63">
        <f t="shared" si="533"/>
        <v>5</v>
      </c>
      <c r="K38" s="63">
        <f t="shared" si="534"/>
        <v>1</v>
      </c>
      <c r="L38" s="63">
        <v>0</v>
      </c>
      <c r="M38" s="266">
        <f>ROUND($BX$7/('全局参数|GlobalPar'!$B$19/10000/E38),6)*(7/5)</f>
        <v>0.10069499999999999</v>
      </c>
      <c r="N38" s="267">
        <v>3</v>
      </c>
      <c r="O38" s="268">
        <f>ROUND(IF(N38&lt;&gt;0,$BX$4/('全局参数|GlobalPar'!$B$19/10000/E38)/N38,0),6)</f>
        <v>0</v>
      </c>
      <c r="P38" s="270">
        <f t="shared" si="386"/>
        <v>2.9000000000000001E-2</v>
      </c>
      <c r="Q38" s="285">
        <f t="shared" si="535"/>
        <v>0</v>
      </c>
      <c r="R38" s="282">
        <v>14</v>
      </c>
      <c r="S38" s="283">
        <v>1</v>
      </c>
      <c r="T38" s="284" t="str">
        <f t="shared" si="21"/>
        <v>[[14,1],[14,1],[14,1],[14,1],[14,1],[14,1],[14,1],[14,1],[14,1],[14,1],[28,2],[56,4],[84,6],[112,8],[140,10],[280,20],[560,40],[840,60],[1120,80],[1400,100]]</v>
      </c>
      <c r="U38" s="284">
        <v>1</v>
      </c>
      <c r="V38" s="284">
        <v>1</v>
      </c>
      <c r="W38" s="284" t="str">
        <f t="shared" si="168"/>
        <v>[[1,1],[1,1],[1,1],[1,1],[1,1],[1,1],[1,1],[1,1],[1,1],[1,1],[1,1],[1,1],[1,1],[1,1],[1,1],[1,1],[1,1],[1,1],[1,1],[1,1]]</v>
      </c>
      <c r="X38" s="63">
        <v>0</v>
      </c>
      <c r="Y38" s="306">
        <v>1</v>
      </c>
      <c r="Z38" s="303">
        <f t="shared" si="22"/>
        <v>0.06</v>
      </c>
      <c r="AA38" s="303">
        <v>0.06</v>
      </c>
      <c r="AB38" s="303">
        <f t="shared" si="169"/>
        <v>0.1</v>
      </c>
      <c r="AC38" s="304">
        <f t="shared" si="213"/>
        <v>0.05</v>
      </c>
      <c r="AD38" s="304">
        <f t="shared" si="213"/>
        <v>0.02</v>
      </c>
      <c r="AE38" s="304">
        <f t="shared" si="213"/>
        <v>8.0000000000000002E-3</v>
      </c>
      <c r="AF38" s="304">
        <f t="shared" si="213"/>
        <v>2E-3</v>
      </c>
      <c r="AG38" s="63" t="str">
        <f t="shared" si="170"/>
        <v>[[2,5],[3,2],[4,1]]</v>
      </c>
      <c r="AH38" s="256" t="str">
        <f t="shared" si="171"/>
        <v>[0.773333,0.386667,0.257778]</v>
      </c>
      <c r="AI38" s="256">
        <v>0</v>
      </c>
      <c r="AJ38" s="256">
        <v>1</v>
      </c>
      <c r="AK38" s="256">
        <f t="shared" si="243"/>
        <v>1</v>
      </c>
      <c r="AL38" s="256">
        <v>1</v>
      </c>
      <c r="AM38" s="256">
        <f t="shared" si="172"/>
        <v>43.5</v>
      </c>
      <c r="AN38" s="256" t="s">
        <v>2549</v>
      </c>
      <c r="AO38" s="324">
        <v>11</v>
      </c>
      <c r="AP38" s="63">
        <f t="shared" si="528"/>
        <v>1</v>
      </c>
      <c r="AQ38" s="63">
        <v>0</v>
      </c>
      <c r="AR38" s="39">
        <v>2</v>
      </c>
      <c r="AS38" s="39">
        <v>4</v>
      </c>
      <c r="AT38" s="39">
        <v>1</v>
      </c>
      <c r="AU38" s="63">
        <v>1</v>
      </c>
      <c r="AV38" s="63">
        <f t="shared" si="536"/>
        <v>1.4925373134328357</v>
      </c>
      <c r="AW38" s="63">
        <v>1</v>
      </c>
      <c r="AX38" s="63">
        <v>1</v>
      </c>
      <c r="AY38" s="63" t="s">
        <v>1736</v>
      </c>
      <c r="AZ38" s="39"/>
      <c r="BA38" s="39"/>
      <c r="BB38" s="328">
        <v>0.75</v>
      </c>
      <c r="BC38" s="39">
        <v>140</v>
      </c>
      <c r="BD38" s="39">
        <v>0.18</v>
      </c>
      <c r="BE38" s="39">
        <v>0.8</v>
      </c>
      <c r="BF38" s="39">
        <v>1</v>
      </c>
      <c r="BG38" s="39" t="s">
        <v>1677</v>
      </c>
      <c r="BH38" s="331" t="s">
        <v>1737</v>
      </c>
      <c r="BI38" s="331" t="s">
        <v>1738</v>
      </c>
      <c r="BJ38" s="334" t="s">
        <v>399</v>
      </c>
      <c r="BK38" s="265" t="s">
        <v>280</v>
      </c>
      <c r="BL38" s="265"/>
      <c r="BM38" s="265"/>
      <c r="BN38" s="81">
        <f t="shared" si="387"/>
        <v>15.100000000000001</v>
      </c>
      <c r="BO38" s="343">
        <f t="shared" si="26"/>
        <v>9.9337748344370844</v>
      </c>
      <c r="BP38" s="81" t="s">
        <v>1606</v>
      </c>
      <c r="BQ38" s="81">
        <f t="shared" si="388"/>
        <v>0.746</v>
      </c>
      <c r="BR38" s="81"/>
      <c r="BS38" s="63">
        <f t="shared" si="28"/>
        <v>151</v>
      </c>
      <c r="BT38" s="63">
        <f t="shared" si="29"/>
        <v>159.70000000000002</v>
      </c>
      <c r="BV38" s="63">
        <f t="shared" si="30"/>
        <v>0</v>
      </c>
      <c r="BW38" s="268">
        <v>0.1</v>
      </c>
      <c r="BX38" s="360">
        <v>110</v>
      </c>
      <c r="BY38" s="39">
        <v>1</v>
      </c>
      <c r="BZ38" s="364">
        <v>145</v>
      </c>
      <c r="CA38" s="39">
        <v>1</v>
      </c>
      <c r="CB38" s="361">
        <v>180</v>
      </c>
      <c r="CC38" s="39">
        <v>1</v>
      </c>
      <c r="CD38" s="363">
        <f t="shared" si="529"/>
        <v>145</v>
      </c>
      <c r="CE38" s="39">
        <f t="shared" ref="CE38:CE39" si="540">(BY38+CA38+CC38)/CC38</f>
        <v>3</v>
      </c>
      <c r="CF38" s="39">
        <f t="shared" si="532"/>
        <v>0.30000000000000004</v>
      </c>
      <c r="CG38" s="371">
        <f t="shared" si="31"/>
        <v>159.5</v>
      </c>
      <c r="CH38" s="372">
        <f t="shared" si="214"/>
        <v>0.1</v>
      </c>
      <c r="CI38" s="373">
        <v>2</v>
      </c>
      <c r="CJ38" s="143">
        <v>5</v>
      </c>
      <c r="CK38" s="373">
        <v>3</v>
      </c>
      <c r="CL38" s="143">
        <v>2</v>
      </c>
      <c r="CM38" s="373">
        <v>4</v>
      </c>
      <c r="CN38" s="143">
        <v>1</v>
      </c>
      <c r="CO38" s="143">
        <f t="shared" si="174"/>
        <v>2.5</v>
      </c>
      <c r="CP38" s="143">
        <f t="shared" si="175"/>
        <v>7.5</v>
      </c>
      <c r="CQ38" s="377">
        <f t="shared" si="176"/>
        <v>0.77333300000000005</v>
      </c>
      <c r="CR38" s="143">
        <f t="shared" si="175"/>
        <v>15</v>
      </c>
      <c r="CS38" s="378">
        <f t="shared" si="177"/>
        <v>0.38666699999999998</v>
      </c>
      <c r="CT38" s="143">
        <f t="shared" si="175"/>
        <v>22.5</v>
      </c>
      <c r="CU38" s="392">
        <f t="shared" si="178"/>
        <v>0.25777800000000001</v>
      </c>
      <c r="CW38" s="241">
        <v>2E-3</v>
      </c>
      <c r="CX38" s="396">
        <f t="shared" si="215"/>
        <v>0</v>
      </c>
      <c r="CY38" s="270">
        <f t="shared" si="33"/>
        <v>0</v>
      </c>
      <c r="CZ38" s="394">
        <f t="shared" si="34"/>
        <v>0</v>
      </c>
      <c r="DA38" s="394">
        <f t="shared" si="35"/>
        <v>0</v>
      </c>
      <c r="DB38" s="395">
        <f t="shared" si="179"/>
        <v>0</v>
      </c>
      <c r="DC38" s="419">
        <f t="shared" si="36"/>
        <v>0</v>
      </c>
      <c r="DD38" s="394">
        <f t="shared" si="37"/>
        <v>0</v>
      </c>
      <c r="DE38" s="420" t="e">
        <f t="shared" si="38"/>
        <v>#DIV/0!</v>
      </c>
      <c r="DF38" s="421">
        <f t="shared" si="180"/>
        <v>14</v>
      </c>
      <c r="DG38" s="422">
        <f t="shared" si="181"/>
        <v>1</v>
      </c>
      <c r="DH38" s="284"/>
      <c r="DI38" s="282">
        <v>14</v>
      </c>
      <c r="DJ38" s="283">
        <v>1</v>
      </c>
      <c r="DL38" s="431"/>
      <c r="DM38" s="242"/>
      <c r="DQ38" s="427"/>
      <c r="DR38" s="421">
        <v>14</v>
      </c>
      <c r="DS38" s="270">
        <v>1</v>
      </c>
      <c r="DT38" s="427">
        <f t="shared" si="39"/>
        <v>1.726190476190478E-3</v>
      </c>
      <c r="DU38" s="421">
        <f t="shared" si="40"/>
        <v>14</v>
      </c>
      <c r="DV38" s="270">
        <f t="shared" si="182"/>
        <v>1</v>
      </c>
      <c r="DW38" s="427">
        <f t="shared" si="42"/>
        <v>3.4523809523809559E-3</v>
      </c>
      <c r="DX38" s="421">
        <f t="shared" si="43"/>
        <v>14</v>
      </c>
      <c r="DY38" s="270">
        <f t="shared" si="183"/>
        <v>1</v>
      </c>
      <c r="DZ38" s="427">
        <f t="shared" si="45"/>
        <v>5.1785714285714343E-3</v>
      </c>
      <c r="EA38" s="421">
        <f t="shared" si="184"/>
        <v>14</v>
      </c>
      <c r="EB38" s="270">
        <f t="shared" si="185"/>
        <v>1</v>
      </c>
      <c r="EC38" s="427">
        <f t="shared" si="48"/>
        <v>6.9047619047619118E-3</v>
      </c>
      <c r="ED38" s="421">
        <f t="shared" si="186"/>
        <v>14</v>
      </c>
      <c r="EE38" s="270">
        <f t="shared" si="187"/>
        <v>1</v>
      </c>
      <c r="EF38" s="427">
        <f t="shared" si="51"/>
        <v>8.6309523809523902E-3</v>
      </c>
      <c r="EG38" s="421">
        <f t="shared" si="188"/>
        <v>14</v>
      </c>
      <c r="EH38" s="270">
        <f t="shared" si="189"/>
        <v>1</v>
      </c>
      <c r="EI38" s="427">
        <f t="shared" si="54"/>
        <v>1.726190476190478E-2</v>
      </c>
      <c r="EJ38" s="421">
        <f t="shared" si="190"/>
        <v>14</v>
      </c>
      <c r="EK38" s="270">
        <f t="shared" si="191"/>
        <v>1</v>
      </c>
      <c r="EL38" s="427">
        <f t="shared" si="57"/>
        <v>3.4523809523809561E-2</v>
      </c>
      <c r="EM38" s="421">
        <f t="shared" si="192"/>
        <v>14</v>
      </c>
      <c r="EN38" s="270">
        <f t="shared" si="193"/>
        <v>1</v>
      </c>
      <c r="EO38" s="427">
        <f t="shared" si="60"/>
        <v>5.1785714285714345E-2</v>
      </c>
      <c r="EP38" s="421">
        <f t="shared" si="194"/>
        <v>14</v>
      </c>
      <c r="EQ38" s="270">
        <f t="shared" si="195"/>
        <v>1</v>
      </c>
      <c r="ER38" s="427">
        <f t="shared" si="63"/>
        <v>6.9047619047619122E-2</v>
      </c>
      <c r="ES38" s="421">
        <f t="shared" si="196"/>
        <v>14</v>
      </c>
      <c r="ET38" s="270">
        <f t="shared" si="197"/>
        <v>1</v>
      </c>
      <c r="EU38" s="427">
        <f t="shared" si="66"/>
        <v>8.6309523809523905E-2</v>
      </c>
      <c r="EV38" s="421">
        <f t="shared" si="67"/>
        <v>28</v>
      </c>
      <c r="EW38" s="270">
        <f t="shared" si="68"/>
        <v>2</v>
      </c>
      <c r="EX38" s="427">
        <f t="shared" si="69"/>
        <v>8.6309523809523905E-2</v>
      </c>
      <c r="EY38" s="421">
        <f t="shared" si="70"/>
        <v>56</v>
      </c>
      <c r="EZ38" s="270">
        <f t="shared" si="71"/>
        <v>4</v>
      </c>
      <c r="FA38" s="427">
        <f t="shared" si="72"/>
        <v>8.6309523809523905E-2</v>
      </c>
      <c r="FB38" s="421">
        <f t="shared" si="73"/>
        <v>84</v>
      </c>
      <c r="FC38" s="270">
        <f t="shared" si="74"/>
        <v>6</v>
      </c>
      <c r="FD38" s="427">
        <f t="shared" si="75"/>
        <v>8.6309523809523905E-2</v>
      </c>
      <c r="FE38" s="421">
        <f t="shared" si="76"/>
        <v>112</v>
      </c>
      <c r="FF38" s="270">
        <f t="shared" si="77"/>
        <v>8</v>
      </c>
      <c r="FG38" s="427">
        <f t="shared" si="78"/>
        <v>8.6309523809523905E-2</v>
      </c>
      <c r="FH38" s="421">
        <f t="shared" si="79"/>
        <v>140</v>
      </c>
      <c r="FI38" s="270">
        <f t="shared" si="80"/>
        <v>10</v>
      </c>
      <c r="FJ38" s="427">
        <f t="shared" si="81"/>
        <v>8.6309523809523905E-2</v>
      </c>
      <c r="FK38" s="421">
        <f t="shared" si="82"/>
        <v>280</v>
      </c>
      <c r="FL38" s="270">
        <f t="shared" si="83"/>
        <v>20</v>
      </c>
      <c r="FM38" s="427">
        <f t="shared" si="84"/>
        <v>8.6309523809523905E-2</v>
      </c>
      <c r="FN38" s="421">
        <f t="shared" si="85"/>
        <v>560</v>
      </c>
      <c r="FO38" s="270">
        <f t="shared" si="86"/>
        <v>40</v>
      </c>
      <c r="FP38" s="427">
        <f t="shared" si="87"/>
        <v>8.6309523809523905E-2</v>
      </c>
      <c r="FQ38" s="421">
        <f t="shared" si="88"/>
        <v>840</v>
      </c>
      <c r="FR38" s="270">
        <f t="shared" si="89"/>
        <v>60</v>
      </c>
      <c r="FS38" s="427">
        <f t="shared" si="90"/>
        <v>8.6309523809523905E-2</v>
      </c>
      <c r="FT38" s="421">
        <f t="shared" si="91"/>
        <v>1120</v>
      </c>
      <c r="FU38" s="270">
        <f t="shared" si="92"/>
        <v>80</v>
      </c>
      <c r="FV38" s="427">
        <f t="shared" si="93"/>
        <v>8.6309523809523905E-2</v>
      </c>
      <c r="FW38" s="421">
        <f t="shared" si="94"/>
        <v>1400</v>
      </c>
      <c r="FX38" s="270">
        <f t="shared" si="95"/>
        <v>100</v>
      </c>
      <c r="FY38" s="427">
        <f t="shared" si="96"/>
        <v>8.6309523809523905E-2</v>
      </c>
      <c r="GA38" s="431"/>
      <c r="GB38" s="242"/>
      <c r="GF38" s="427"/>
      <c r="GG38" s="421">
        <v>1</v>
      </c>
      <c r="GH38" s="270">
        <v>1</v>
      </c>
      <c r="GI38" s="427">
        <f t="shared" si="97"/>
        <v>1.6111111111111125E-5</v>
      </c>
      <c r="GJ38" s="421">
        <f t="shared" si="98"/>
        <v>1</v>
      </c>
      <c r="GK38" s="270">
        <f t="shared" si="99"/>
        <v>1</v>
      </c>
      <c r="GL38" s="427">
        <f t="shared" si="100"/>
        <v>3.222222222222225E-5</v>
      </c>
      <c r="GM38" s="421">
        <f t="shared" si="101"/>
        <v>1</v>
      </c>
      <c r="GN38" s="270">
        <f t="shared" si="102"/>
        <v>1</v>
      </c>
      <c r="GO38" s="427">
        <f t="shared" si="103"/>
        <v>4.8333333333333374E-5</v>
      </c>
      <c r="GP38" s="421">
        <f t="shared" si="104"/>
        <v>1</v>
      </c>
      <c r="GQ38" s="270">
        <f t="shared" si="105"/>
        <v>1</v>
      </c>
      <c r="GR38" s="427">
        <f t="shared" si="106"/>
        <v>6.4444444444444499E-5</v>
      </c>
      <c r="GS38" s="421">
        <f t="shared" si="107"/>
        <v>1</v>
      </c>
      <c r="GT38" s="270">
        <f t="shared" si="108"/>
        <v>1</v>
      </c>
      <c r="GU38" s="427">
        <f t="shared" si="109"/>
        <v>8.0555555555555624E-5</v>
      </c>
      <c r="GV38" s="421">
        <f t="shared" si="110"/>
        <v>1</v>
      </c>
      <c r="GW38" s="270">
        <f t="shared" si="111"/>
        <v>1</v>
      </c>
      <c r="GX38" s="427">
        <f t="shared" si="112"/>
        <v>1.6111111111111125E-4</v>
      </c>
      <c r="GY38" s="421">
        <f t="shared" si="113"/>
        <v>1</v>
      </c>
      <c r="GZ38" s="270">
        <f t="shared" si="114"/>
        <v>1</v>
      </c>
      <c r="HA38" s="427">
        <f t="shared" si="115"/>
        <v>3.222222222222225E-4</v>
      </c>
      <c r="HB38" s="421">
        <f t="shared" si="116"/>
        <v>1</v>
      </c>
      <c r="HC38" s="270">
        <f t="shared" si="117"/>
        <v>1</v>
      </c>
      <c r="HD38" s="427">
        <f t="shared" si="118"/>
        <v>4.8333333333333372E-4</v>
      </c>
      <c r="HE38" s="421">
        <f t="shared" si="119"/>
        <v>1</v>
      </c>
      <c r="HF38" s="270">
        <f t="shared" si="120"/>
        <v>1</v>
      </c>
      <c r="HG38" s="427">
        <f t="shared" si="121"/>
        <v>6.4444444444444499E-4</v>
      </c>
      <c r="HH38" s="421">
        <f t="shared" si="122"/>
        <v>1</v>
      </c>
      <c r="HI38" s="270">
        <f t="shared" si="123"/>
        <v>1</v>
      </c>
      <c r="HJ38" s="427">
        <f t="shared" si="124"/>
        <v>8.0555555555555621E-4</v>
      </c>
      <c r="HK38" s="421">
        <f t="shared" si="125"/>
        <v>1</v>
      </c>
      <c r="HL38" s="270">
        <f t="shared" si="125"/>
        <v>1</v>
      </c>
      <c r="HM38" s="427">
        <f t="shared" si="126"/>
        <v>1.6111111111111124E-3</v>
      </c>
      <c r="HN38" s="421">
        <f t="shared" si="127"/>
        <v>1</v>
      </c>
      <c r="HO38" s="270">
        <f t="shared" si="127"/>
        <v>1</v>
      </c>
      <c r="HP38" s="427">
        <f t="shared" si="128"/>
        <v>3.2222222222222248E-3</v>
      </c>
      <c r="HQ38" s="421">
        <f t="shared" si="129"/>
        <v>1</v>
      </c>
      <c r="HR38" s="270">
        <f t="shared" si="129"/>
        <v>1</v>
      </c>
      <c r="HS38" s="427">
        <f t="shared" si="130"/>
        <v>4.833333333333337E-3</v>
      </c>
      <c r="HT38" s="421">
        <f t="shared" si="131"/>
        <v>1</v>
      </c>
      <c r="HU38" s="270">
        <f t="shared" si="131"/>
        <v>1</v>
      </c>
      <c r="HV38" s="427">
        <f t="shared" si="132"/>
        <v>6.4444444444444497E-3</v>
      </c>
      <c r="HW38" s="421">
        <f t="shared" si="133"/>
        <v>1</v>
      </c>
      <c r="HX38" s="270">
        <f t="shared" si="133"/>
        <v>1</v>
      </c>
      <c r="HY38" s="427">
        <f t="shared" si="134"/>
        <v>8.0555555555555623E-3</v>
      </c>
      <c r="HZ38" s="421">
        <f t="shared" si="135"/>
        <v>1</v>
      </c>
      <c r="IA38" s="270">
        <f t="shared" si="135"/>
        <v>1</v>
      </c>
      <c r="IB38" s="427">
        <f t="shared" si="136"/>
        <v>1.6111111111111125E-2</v>
      </c>
      <c r="IC38" s="421">
        <f t="shared" si="137"/>
        <v>1</v>
      </c>
      <c r="ID38" s="270">
        <f t="shared" si="137"/>
        <v>1</v>
      </c>
      <c r="IE38" s="427">
        <f t="shared" si="138"/>
        <v>3.2222222222222249E-2</v>
      </c>
      <c r="IF38" s="421">
        <f t="shared" si="139"/>
        <v>1</v>
      </c>
      <c r="IG38" s="270">
        <f t="shared" si="139"/>
        <v>1</v>
      </c>
      <c r="IH38" s="427">
        <f t="shared" si="140"/>
        <v>4.8333333333333374E-2</v>
      </c>
      <c r="II38" s="421">
        <f t="shared" si="141"/>
        <v>1</v>
      </c>
      <c r="IJ38" s="270">
        <f t="shared" si="141"/>
        <v>1</v>
      </c>
      <c r="IK38" s="427">
        <f t="shared" si="142"/>
        <v>6.4444444444444499E-2</v>
      </c>
      <c r="IL38" s="421">
        <f t="shared" si="143"/>
        <v>1</v>
      </c>
      <c r="IM38" s="270">
        <f t="shared" si="143"/>
        <v>1</v>
      </c>
      <c r="IN38" s="427">
        <f t="shared" si="144"/>
        <v>8.0555555555555616E-2</v>
      </c>
      <c r="IS38" s="447">
        <f t="shared" si="538"/>
        <v>0</v>
      </c>
      <c r="IT38" s="447">
        <f t="shared" si="538"/>
        <v>0</v>
      </c>
      <c r="IU38" s="447">
        <f t="shared" si="538"/>
        <v>0</v>
      </c>
      <c r="IV38" s="447">
        <f t="shared" si="538"/>
        <v>5.7999999999999996E-3</v>
      </c>
      <c r="IW38" s="447">
        <f t="shared" si="538"/>
        <v>7.2500000000000004E-3</v>
      </c>
      <c r="IX38" s="447">
        <f t="shared" si="538"/>
        <v>1.4500000000000001E-2</v>
      </c>
      <c r="IY38" s="447">
        <f t="shared" si="538"/>
        <v>2.9000000000000001E-2</v>
      </c>
      <c r="IZ38" s="447">
        <f t="shared" si="538"/>
        <v>4.3499999999999997E-2</v>
      </c>
      <c r="JA38" s="447">
        <f t="shared" si="538"/>
        <v>5.8000000000000003E-2</v>
      </c>
      <c r="JB38" s="447">
        <f t="shared" si="538"/>
        <v>7.2499999999999995E-2</v>
      </c>
      <c r="JC38" s="447">
        <f t="shared" si="539"/>
        <v>0.14499999999999999</v>
      </c>
      <c r="JD38" s="447">
        <f t="shared" si="539"/>
        <v>0.18124999999999999</v>
      </c>
      <c r="JE38" s="447">
        <f t="shared" si="539"/>
        <v>0.18122100000000002</v>
      </c>
      <c r="JF38" s="447">
        <f t="shared" si="539"/>
        <v>0.18119200000000005</v>
      </c>
      <c r="JG38" s="447">
        <f t="shared" si="539"/>
        <v>0.18117749999999999</v>
      </c>
      <c r="JH38" s="447">
        <f t="shared" si="539"/>
        <v>0.18110500000000004</v>
      </c>
      <c r="JI38" s="447">
        <f t="shared" si="539"/>
        <v>0.18096000000000004</v>
      </c>
      <c r="JJ38" s="447">
        <f t="shared" si="539"/>
        <v>0.18096000000000004</v>
      </c>
      <c r="JK38" s="447">
        <f t="shared" si="539"/>
        <v>0.18096000000000004</v>
      </c>
      <c r="JL38" s="447">
        <f t="shared" si="539"/>
        <v>0.18052499999999999</v>
      </c>
      <c r="JU38" s="242">
        <f t="shared" si="198"/>
        <v>2900000</v>
      </c>
      <c r="JV38" s="242">
        <f t="shared" si="199"/>
        <v>2000000</v>
      </c>
      <c r="JW38" s="242">
        <f t="shared" si="216"/>
        <v>0.1</v>
      </c>
      <c r="JX38" s="242">
        <f t="shared" si="200"/>
        <v>3000000</v>
      </c>
      <c r="JY38" s="241">
        <f t="shared" si="217"/>
        <v>0.9</v>
      </c>
      <c r="JZ38" s="241">
        <f t="shared" si="218"/>
        <v>2900000</v>
      </c>
      <c r="KA38" s="241" t="str">
        <f t="shared" si="219"/>
        <v>期望符合预期</v>
      </c>
      <c r="KC38" s="242">
        <f t="shared" si="201"/>
        <v>5800000</v>
      </c>
      <c r="KD38" s="242">
        <f t="shared" si="202"/>
        <v>5000000</v>
      </c>
      <c r="KE38" s="242">
        <f t="shared" si="220"/>
        <v>0.84</v>
      </c>
      <c r="KF38" s="242">
        <f t="shared" si="203"/>
        <v>10000000</v>
      </c>
      <c r="KG38" s="241">
        <f t="shared" si="221"/>
        <v>0.16</v>
      </c>
      <c r="KH38" s="241">
        <f t="shared" si="222"/>
        <v>5800000</v>
      </c>
      <c r="KI38" s="241" t="str">
        <f t="shared" si="223"/>
        <v>期望符合预期</v>
      </c>
      <c r="KK38" s="242">
        <f t="shared" si="204"/>
        <v>8700000</v>
      </c>
      <c r="KL38" s="242">
        <f t="shared" si="205"/>
        <v>5000000</v>
      </c>
      <c r="KM38" s="242">
        <f t="shared" si="224"/>
        <v>0.26</v>
      </c>
      <c r="KN38" s="242">
        <f t="shared" si="206"/>
        <v>10000000</v>
      </c>
      <c r="KO38" s="241">
        <f t="shared" si="225"/>
        <v>0.74</v>
      </c>
      <c r="KP38" s="241">
        <f t="shared" si="226"/>
        <v>8700000</v>
      </c>
      <c r="KQ38" s="241" t="str">
        <f t="shared" si="227"/>
        <v>期望符合预期</v>
      </c>
      <c r="KS38" s="242">
        <f t="shared" si="207"/>
        <v>11600000</v>
      </c>
      <c r="KT38" s="242">
        <f t="shared" si="208"/>
        <v>10000000</v>
      </c>
      <c r="KU38" s="242">
        <f t="shared" si="228"/>
        <v>0.68</v>
      </c>
      <c r="KV38" s="242">
        <f t="shared" si="209"/>
        <v>15000000</v>
      </c>
      <c r="KW38" s="241">
        <f t="shared" si="229"/>
        <v>0.32</v>
      </c>
      <c r="KX38" s="241">
        <f t="shared" si="230"/>
        <v>11600000</v>
      </c>
      <c r="KY38" s="241" t="str">
        <f t="shared" si="231"/>
        <v>期望符合预期</v>
      </c>
      <c r="LA38" s="242">
        <f t="shared" si="210"/>
        <v>14500000</v>
      </c>
      <c r="LB38" s="242">
        <f t="shared" si="211"/>
        <v>10000000</v>
      </c>
      <c r="LC38" s="242">
        <f t="shared" si="232"/>
        <v>0.1</v>
      </c>
      <c r="LD38" s="242">
        <f t="shared" si="212"/>
        <v>15000000</v>
      </c>
      <c r="LE38" s="241">
        <f t="shared" si="233"/>
        <v>0.9</v>
      </c>
      <c r="LF38" s="241">
        <f t="shared" si="234"/>
        <v>14500000</v>
      </c>
      <c r="LG38" s="241" t="str">
        <f t="shared" si="235"/>
        <v>期望符合预期</v>
      </c>
    </row>
    <row r="39" spans="1:319" ht="16.2" x14ac:dyDescent="0.4">
      <c r="A39" s="63">
        <v>33</v>
      </c>
      <c r="B39" s="254" t="s">
        <v>1739</v>
      </c>
      <c r="C39" s="63">
        <v>4</v>
      </c>
      <c r="D39" s="63">
        <v>-1</v>
      </c>
      <c r="E39" s="39">
        <f t="shared" si="527"/>
        <v>150</v>
      </c>
      <c r="F39" s="63" t="str">
        <f t="shared" si="530"/>
        <v>120~180</v>
      </c>
      <c r="G39" s="63">
        <f t="shared" si="167"/>
        <v>150</v>
      </c>
      <c r="H39" s="256" t="str">
        <f t="shared" si="531"/>
        <v>[[120,1],[150,1],[180,1]]</v>
      </c>
      <c r="I39" s="265"/>
      <c r="J39" s="63">
        <f t="shared" si="533"/>
        <v>5</v>
      </c>
      <c r="K39" s="63">
        <f t="shared" si="534"/>
        <v>1</v>
      </c>
      <c r="L39" s="63">
        <v>0</v>
      </c>
      <c r="M39" s="266">
        <f>ROUND($BX$7/('全局参数|GlobalPar'!$B$19/10000/E39),6)*(7/5)</f>
        <v>0.104167</v>
      </c>
      <c r="N39" s="267">
        <v>3</v>
      </c>
      <c r="O39" s="268">
        <f>ROUND(IF(N39&lt;&gt;0,$BX$4/('全局参数|GlobalPar'!$B$19/10000/E39)/N39,0),6)</f>
        <v>0</v>
      </c>
      <c r="P39" s="270">
        <f t="shared" si="386"/>
        <v>0.03</v>
      </c>
      <c r="Q39" s="285">
        <f t="shared" si="535"/>
        <v>0</v>
      </c>
      <c r="R39" s="282">
        <v>14</v>
      </c>
      <c r="S39" s="283">
        <v>1</v>
      </c>
      <c r="T39" s="284" t="str">
        <f t="shared" si="21"/>
        <v>[[14,1],[14,1],[14,1],[14,1],[14,1],[14,1],[14,1],[14,1],[14,1],[14,1],[28,2],[56,4],[84,6],[112,8],[140,10],[280,20],[560,40],[840,60],[1120,80],[1400,100]]</v>
      </c>
      <c r="U39" s="284">
        <v>1</v>
      </c>
      <c r="V39" s="284">
        <v>1</v>
      </c>
      <c r="W39" s="284" t="str">
        <f t="shared" si="168"/>
        <v>[[1,1],[1,1],[1,1],[1,1],[1,1],[1,1],[1,1],[1,1],[1,1],[1,1],[1,1],[1,1],[1,1],[1,1],[1,1],[1,1],[1,1],[1,1],[1,1],[1,1]]</v>
      </c>
      <c r="X39" s="63">
        <v>0</v>
      </c>
      <c r="Y39" s="306">
        <v>1</v>
      </c>
      <c r="Z39" s="303">
        <f t="shared" ref="Z39:Z61" si="541">(J39+K39)/100</f>
        <v>0.06</v>
      </c>
      <c r="AA39" s="303">
        <v>0.06</v>
      </c>
      <c r="AB39" s="303">
        <f t="shared" si="169"/>
        <v>0.1</v>
      </c>
      <c r="AC39" s="304">
        <f t="shared" si="213"/>
        <v>0.05</v>
      </c>
      <c r="AD39" s="304">
        <f t="shared" si="213"/>
        <v>0.02</v>
      </c>
      <c r="AE39" s="304">
        <f t="shared" si="213"/>
        <v>8.0000000000000002E-3</v>
      </c>
      <c r="AF39" s="304">
        <f t="shared" si="213"/>
        <v>2E-3</v>
      </c>
      <c r="AG39" s="63" t="str">
        <f t="shared" si="170"/>
        <v>[[2,5],[3,2],[4,1]]</v>
      </c>
      <c r="AH39" s="256" t="str">
        <f t="shared" si="171"/>
        <v>[0.8,0.4,0.266667]</v>
      </c>
      <c r="AI39" s="256">
        <v>0</v>
      </c>
      <c r="AJ39" s="256">
        <v>1</v>
      </c>
      <c r="AK39" s="256">
        <f t="shared" si="243"/>
        <v>1</v>
      </c>
      <c r="AL39" s="256">
        <v>1</v>
      </c>
      <c r="AM39" s="256">
        <f t="shared" si="172"/>
        <v>45</v>
      </c>
      <c r="AN39" s="256" t="s">
        <v>2549</v>
      </c>
      <c r="AO39" s="324">
        <v>11</v>
      </c>
      <c r="AP39" s="63">
        <f t="shared" si="528"/>
        <v>1</v>
      </c>
      <c r="AQ39" s="63">
        <v>0</v>
      </c>
      <c r="AR39" s="39">
        <v>2</v>
      </c>
      <c r="AS39" s="39">
        <v>4</v>
      </c>
      <c r="AT39" s="39">
        <v>0</v>
      </c>
      <c r="AU39" s="63">
        <v>1</v>
      </c>
      <c r="AV39" s="63">
        <f t="shared" si="536"/>
        <v>1.4925373134328357</v>
      </c>
      <c r="AW39" s="63">
        <v>1</v>
      </c>
      <c r="AX39" s="63">
        <v>1</v>
      </c>
      <c r="AY39" s="63" t="s">
        <v>1736</v>
      </c>
      <c r="AZ39" s="39"/>
      <c r="BA39" s="39"/>
      <c r="BB39" s="328">
        <v>0.75</v>
      </c>
      <c r="BC39" s="39">
        <v>150</v>
      </c>
      <c r="BD39" s="39">
        <v>0.18</v>
      </c>
      <c r="BE39" s="39">
        <v>0.8</v>
      </c>
      <c r="BF39" s="39">
        <v>1</v>
      </c>
      <c r="BG39" s="39" t="s">
        <v>1677</v>
      </c>
      <c r="BH39" s="331" t="s">
        <v>1740</v>
      </c>
      <c r="BI39" s="331" t="s">
        <v>1741</v>
      </c>
      <c r="BJ39" s="334" t="s">
        <v>1122</v>
      </c>
      <c r="BK39" s="265" t="s">
        <v>280</v>
      </c>
      <c r="BL39" s="265"/>
      <c r="BM39" s="265"/>
      <c r="BN39" s="81">
        <f t="shared" si="387"/>
        <v>15.600000000000001</v>
      </c>
      <c r="BO39" s="343">
        <f t="shared" ref="BO39:BO61" si="542">IF(BN39=0,0,$BR$1/BN39)</f>
        <v>9.615384615384615</v>
      </c>
      <c r="BP39" s="81" t="s">
        <v>1606</v>
      </c>
      <c r="BQ39" s="81">
        <f t="shared" si="388"/>
        <v>0.746</v>
      </c>
      <c r="BR39" s="81"/>
      <c r="BS39" s="63">
        <f t="shared" ref="BS39:BS64" si="543">(E39+J39+K39)</f>
        <v>156</v>
      </c>
      <c r="BT39" s="63">
        <f t="shared" si="29"/>
        <v>165</v>
      </c>
      <c r="BV39" s="63">
        <f t="shared" ref="BV39:BV64" si="544">IF(N39&lt;&gt;0,$BX$4/(0.96/BS39)/N39,0)</f>
        <v>0</v>
      </c>
      <c r="BW39" s="268">
        <v>0.1</v>
      </c>
      <c r="BX39" s="360">
        <v>120</v>
      </c>
      <c r="BY39" s="39">
        <v>1</v>
      </c>
      <c r="BZ39" s="364">
        <v>150</v>
      </c>
      <c r="CA39" s="39">
        <v>1</v>
      </c>
      <c r="CB39" s="361">
        <v>180</v>
      </c>
      <c r="CC39" s="39">
        <v>1</v>
      </c>
      <c r="CD39" s="363">
        <f t="shared" si="529"/>
        <v>150</v>
      </c>
      <c r="CE39" s="39">
        <f t="shared" si="540"/>
        <v>3</v>
      </c>
      <c r="CF39" s="39">
        <f t="shared" si="532"/>
        <v>0.30000000000000004</v>
      </c>
      <c r="CG39" s="371">
        <f t="shared" ref="CG39:CG64" si="545">E39*(1+$CJ$1)</f>
        <v>165</v>
      </c>
      <c r="CH39" s="372">
        <f t="shared" si="214"/>
        <v>0.1</v>
      </c>
      <c r="CI39" s="373">
        <v>2</v>
      </c>
      <c r="CJ39" s="143">
        <v>5</v>
      </c>
      <c r="CK39" s="373">
        <v>3</v>
      </c>
      <c r="CL39" s="143">
        <v>2</v>
      </c>
      <c r="CM39" s="373">
        <v>4</v>
      </c>
      <c r="CN39" s="143">
        <v>1</v>
      </c>
      <c r="CO39" s="143">
        <f t="shared" si="174"/>
        <v>2.5</v>
      </c>
      <c r="CP39" s="143">
        <f t="shared" si="175"/>
        <v>7.5</v>
      </c>
      <c r="CQ39" s="377">
        <f t="shared" si="176"/>
        <v>0.8</v>
      </c>
      <c r="CR39" s="143">
        <f t="shared" si="175"/>
        <v>15</v>
      </c>
      <c r="CS39" s="378">
        <f t="shared" si="177"/>
        <v>0.4</v>
      </c>
      <c r="CT39" s="143">
        <f t="shared" si="175"/>
        <v>22.5</v>
      </c>
      <c r="CU39" s="392">
        <f t="shared" si="178"/>
        <v>0.26666699999999999</v>
      </c>
      <c r="CW39" s="241">
        <v>2E-3</v>
      </c>
      <c r="CX39" s="396">
        <f t="shared" si="215"/>
        <v>0</v>
      </c>
      <c r="CY39" s="270">
        <f t="shared" ref="CY39:CY64" si="546">E39*CX39</f>
        <v>0</v>
      </c>
      <c r="CZ39" s="394">
        <f t="shared" ref="CZ39:CZ64" si="547">$E39*$CX39/$CY$2</f>
        <v>0</v>
      </c>
      <c r="DA39" s="394">
        <f t="shared" si="35"/>
        <v>0</v>
      </c>
      <c r="DB39" s="395">
        <f t="shared" si="179"/>
        <v>0</v>
      </c>
      <c r="DC39" s="419">
        <f t="shared" ref="DC39:DC64" si="548">$E39*DB39/$CY$2</f>
        <v>0</v>
      </c>
      <c r="DD39" s="394">
        <f t="shared" si="37"/>
        <v>0</v>
      </c>
      <c r="DE39" s="420" t="e">
        <f t="shared" ref="DE39:DE64" si="549">1/($CX$2/($E39*(1+DB39))*DD39)</f>
        <v>#DIV/0!</v>
      </c>
      <c r="DF39" s="421">
        <f t="shared" si="180"/>
        <v>14</v>
      </c>
      <c r="DG39" s="422">
        <f t="shared" si="181"/>
        <v>1</v>
      </c>
      <c r="DH39" s="284"/>
      <c r="DI39" s="282">
        <v>14</v>
      </c>
      <c r="DJ39" s="283">
        <v>1</v>
      </c>
      <c r="DL39" s="431"/>
      <c r="DM39" s="242"/>
      <c r="DQ39" s="427"/>
      <c r="DR39" s="421">
        <v>14</v>
      </c>
      <c r="DS39" s="270">
        <v>1</v>
      </c>
      <c r="DT39" s="427">
        <f t="shared" si="39"/>
        <v>1.7857142857142876E-3</v>
      </c>
      <c r="DU39" s="421">
        <f t="shared" si="40"/>
        <v>14</v>
      </c>
      <c r="DV39" s="270">
        <f t="shared" si="182"/>
        <v>1</v>
      </c>
      <c r="DW39" s="427">
        <f t="shared" si="42"/>
        <v>3.5714285714285752E-3</v>
      </c>
      <c r="DX39" s="421">
        <f t="shared" si="43"/>
        <v>14</v>
      </c>
      <c r="DY39" s="270">
        <f t="shared" si="183"/>
        <v>1</v>
      </c>
      <c r="DZ39" s="427">
        <f t="shared" si="45"/>
        <v>5.3571428571428633E-3</v>
      </c>
      <c r="EA39" s="421">
        <f t="shared" si="184"/>
        <v>14</v>
      </c>
      <c r="EB39" s="270">
        <f t="shared" si="185"/>
        <v>1</v>
      </c>
      <c r="EC39" s="427">
        <f t="shared" si="48"/>
        <v>7.1428571428571504E-3</v>
      </c>
      <c r="ED39" s="421">
        <f t="shared" si="186"/>
        <v>14</v>
      </c>
      <c r="EE39" s="270">
        <f t="shared" si="187"/>
        <v>1</v>
      </c>
      <c r="EF39" s="427">
        <f t="shared" si="51"/>
        <v>8.9285714285714367E-3</v>
      </c>
      <c r="EG39" s="421">
        <f t="shared" si="188"/>
        <v>14</v>
      </c>
      <c r="EH39" s="270">
        <f t="shared" si="189"/>
        <v>1</v>
      </c>
      <c r="EI39" s="427">
        <f t="shared" si="54"/>
        <v>1.7857142857142873E-2</v>
      </c>
      <c r="EJ39" s="421">
        <f t="shared" si="190"/>
        <v>14</v>
      </c>
      <c r="EK39" s="270">
        <f t="shared" si="191"/>
        <v>1</v>
      </c>
      <c r="EL39" s="427">
        <f t="shared" si="57"/>
        <v>3.5714285714285747E-2</v>
      </c>
      <c r="EM39" s="421">
        <f t="shared" si="192"/>
        <v>14</v>
      </c>
      <c r="EN39" s="270">
        <f t="shared" si="193"/>
        <v>1</v>
      </c>
      <c r="EO39" s="427">
        <f t="shared" si="60"/>
        <v>5.3571428571428624E-2</v>
      </c>
      <c r="EP39" s="421">
        <f t="shared" si="194"/>
        <v>14</v>
      </c>
      <c r="EQ39" s="270">
        <f t="shared" si="195"/>
        <v>1</v>
      </c>
      <c r="ER39" s="427">
        <f t="shared" si="63"/>
        <v>7.1428571428571494E-2</v>
      </c>
      <c r="ES39" s="421">
        <f t="shared" si="196"/>
        <v>14</v>
      </c>
      <c r="ET39" s="270">
        <f t="shared" si="197"/>
        <v>1</v>
      </c>
      <c r="EU39" s="427">
        <f t="shared" si="66"/>
        <v>8.9285714285714371E-2</v>
      </c>
      <c r="EV39" s="421">
        <f t="shared" si="67"/>
        <v>28</v>
      </c>
      <c r="EW39" s="270">
        <f t="shared" si="68"/>
        <v>2</v>
      </c>
      <c r="EX39" s="427">
        <f t="shared" si="69"/>
        <v>8.9285714285714371E-2</v>
      </c>
      <c r="EY39" s="421">
        <f t="shared" si="70"/>
        <v>56</v>
      </c>
      <c r="EZ39" s="270">
        <f t="shared" si="71"/>
        <v>4</v>
      </c>
      <c r="FA39" s="427">
        <f t="shared" si="72"/>
        <v>8.9285714285714371E-2</v>
      </c>
      <c r="FB39" s="421">
        <f t="shared" si="73"/>
        <v>84</v>
      </c>
      <c r="FC39" s="270">
        <f t="shared" si="74"/>
        <v>6</v>
      </c>
      <c r="FD39" s="427">
        <f t="shared" si="75"/>
        <v>8.9285714285714371E-2</v>
      </c>
      <c r="FE39" s="421">
        <f t="shared" si="76"/>
        <v>112</v>
      </c>
      <c r="FF39" s="270">
        <f t="shared" si="77"/>
        <v>8</v>
      </c>
      <c r="FG39" s="427">
        <f t="shared" si="78"/>
        <v>8.9285714285714371E-2</v>
      </c>
      <c r="FH39" s="421">
        <f t="shared" si="79"/>
        <v>140</v>
      </c>
      <c r="FI39" s="270">
        <f t="shared" si="80"/>
        <v>10</v>
      </c>
      <c r="FJ39" s="427">
        <f t="shared" si="81"/>
        <v>8.9285714285714371E-2</v>
      </c>
      <c r="FK39" s="421">
        <f t="shared" si="82"/>
        <v>280</v>
      </c>
      <c r="FL39" s="270">
        <f t="shared" si="83"/>
        <v>20</v>
      </c>
      <c r="FM39" s="427">
        <f t="shared" si="84"/>
        <v>8.9285714285714371E-2</v>
      </c>
      <c r="FN39" s="421">
        <f t="shared" si="85"/>
        <v>560</v>
      </c>
      <c r="FO39" s="270">
        <f t="shared" si="86"/>
        <v>40</v>
      </c>
      <c r="FP39" s="427">
        <f t="shared" si="87"/>
        <v>8.9285714285714371E-2</v>
      </c>
      <c r="FQ39" s="421">
        <f t="shared" si="88"/>
        <v>840</v>
      </c>
      <c r="FR39" s="270">
        <f t="shared" si="89"/>
        <v>60</v>
      </c>
      <c r="FS39" s="427">
        <f t="shared" si="90"/>
        <v>8.9285714285714371E-2</v>
      </c>
      <c r="FT39" s="421">
        <f t="shared" si="91"/>
        <v>1120</v>
      </c>
      <c r="FU39" s="270">
        <f t="shared" si="92"/>
        <v>80</v>
      </c>
      <c r="FV39" s="427">
        <f t="shared" si="93"/>
        <v>8.9285714285714371E-2</v>
      </c>
      <c r="FW39" s="421">
        <f t="shared" si="94"/>
        <v>1400</v>
      </c>
      <c r="FX39" s="270">
        <f t="shared" si="95"/>
        <v>100</v>
      </c>
      <c r="FY39" s="427">
        <f t="shared" si="96"/>
        <v>8.9285714285714371E-2</v>
      </c>
      <c r="GA39" s="431"/>
      <c r="GB39" s="242"/>
      <c r="GF39" s="427"/>
      <c r="GG39" s="421">
        <v>1</v>
      </c>
      <c r="GH39" s="270">
        <v>1</v>
      </c>
      <c r="GI39" s="427">
        <f t="shared" si="97"/>
        <v>1.6666666666666681E-5</v>
      </c>
      <c r="GJ39" s="421">
        <f t="shared" si="98"/>
        <v>1</v>
      </c>
      <c r="GK39" s="270">
        <f t="shared" si="99"/>
        <v>1</v>
      </c>
      <c r="GL39" s="427">
        <f t="shared" si="100"/>
        <v>3.3333333333333362E-5</v>
      </c>
      <c r="GM39" s="421">
        <f t="shared" si="101"/>
        <v>1</v>
      </c>
      <c r="GN39" s="270">
        <f t="shared" si="102"/>
        <v>1</v>
      </c>
      <c r="GO39" s="427">
        <f t="shared" si="103"/>
        <v>5.0000000000000043E-5</v>
      </c>
      <c r="GP39" s="421">
        <f t="shared" si="104"/>
        <v>1</v>
      </c>
      <c r="GQ39" s="270">
        <f t="shared" si="105"/>
        <v>1</v>
      </c>
      <c r="GR39" s="427">
        <f t="shared" si="106"/>
        <v>6.6666666666666724E-5</v>
      </c>
      <c r="GS39" s="421">
        <f t="shared" si="107"/>
        <v>1</v>
      </c>
      <c r="GT39" s="270">
        <f t="shared" si="108"/>
        <v>1</v>
      </c>
      <c r="GU39" s="427">
        <f t="shared" si="109"/>
        <v>8.3333333333333398E-5</v>
      </c>
      <c r="GV39" s="421">
        <f t="shared" si="110"/>
        <v>1</v>
      </c>
      <c r="GW39" s="270">
        <f t="shared" si="111"/>
        <v>1</v>
      </c>
      <c r="GX39" s="427">
        <f t="shared" si="112"/>
        <v>1.666666666666668E-4</v>
      </c>
      <c r="GY39" s="421">
        <f t="shared" si="113"/>
        <v>1</v>
      </c>
      <c r="GZ39" s="270">
        <f t="shared" si="114"/>
        <v>1</v>
      </c>
      <c r="HA39" s="427">
        <f t="shared" si="115"/>
        <v>3.3333333333333359E-4</v>
      </c>
      <c r="HB39" s="421">
        <f t="shared" si="116"/>
        <v>1</v>
      </c>
      <c r="HC39" s="270">
        <f t="shared" si="117"/>
        <v>1</v>
      </c>
      <c r="HD39" s="427">
        <f t="shared" si="118"/>
        <v>5.0000000000000044E-4</v>
      </c>
      <c r="HE39" s="421">
        <f t="shared" si="119"/>
        <v>1</v>
      </c>
      <c r="HF39" s="270">
        <f t="shared" si="120"/>
        <v>1</v>
      </c>
      <c r="HG39" s="427">
        <f t="shared" si="121"/>
        <v>6.6666666666666719E-4</v>
      </c>
      <c r="HH39" s="421">
        <f t="shared" si="122"/>
        <v>1</v>
      </c>
      <c r="HI39" s="270">
        <f t="shared" si="123"/>
        <v>1</v>
      </c>
      <c r="HJ39" s="427">
        <f t="shared" si="124"/>
        <v>8.3333333333333404E-4</v>
      </c>
      <c r="HK39" s="421">
        <f t="shared" si="125"/>
        <v>1</v>
      </c>
      <c r="HL39" s="270">
        <f t="shared" si="125"/>
        <v>1</v>
      </c>
      <c r="HM39" s="427">
        <f t="shared" si="126"/>
        <v>1.6666666666666681E-3</v>
      </c>
      <c r="HN39" s="421">
        <f t="shared" si="127"/>
        <v>1</v>
      </c>
      <c r="HO39" s="270">
        <f t="shared" si="127"/>
        <v>1</v>
      </c>
      <c r="HP39" s="427">
        <f t="shared" si="128"/>
        <v>3.3333333333333361E-3</v>
      </c>
      <c r="HQ39" s="421">
        <f t="shared" si="129"/>
        <v>1</v>
      </c>
      <c r="HR39" s="270">
        <f t="shared" si="129"/>
        <v>1</v>
      </c>
      <c r="HS39" s="427">
        <f t="shared" si="130"/>
        <v>5.0000000000000044E-3</v>
      </c>
      <c r="HT39" s="421">
        <f t="shared" si="131"/>
        <v>1</v>
      </c>
      <c r="HU39" s="270">
        <f t="shared" si="131"/>
        <v>1</v>
      </c>
      <c r="HV39" s="427">
        <f t="shared" si="132"/>
        <v>6.6666666666666723E-3</v>
      </c>
      <c r="HW39" s="421">
        <f t="shared" si="133"/>
        <v>1</v>
      </c>
      <c r="HX39" s="270">
        <f t="shared" si="133"/>
        <v>1</v>
      </c>
      <c r="HY39" s="427">
        <f t="shared" si="134"/>
        <v>8.3333333333333402E-3</v>
      </c>
      <c r="HZ39" s="421">
        <f t="shared" si="135"/>
        <v>1</v>
      </c>
      <c r="IA39" s="270">
        <f t="shared" si="135"/>
        <v>1</v>
      </c>
      <c r="IB39" s="427">
        <f t="shared" si="136"/>
        <v>1.666666666666668E-2</v>
      </c>
      <c r="IC39" s="421">
        <f t="shared" si="137"/>
        <v>1</v>
      </c>
      <c r="ID39" s="270">
        <f t="shared" si="137"/>
        <v>1</v>
      </c>
      <c r="IE39" s="427">
        <f t="shared" si="138"/>
        <v>3.3333333333333361E-2</v>
      </c>
      <c r="IF39" s="421">
        <f t="shared" si="139"/>
        <v>1</v>
      </c>
      <c r="IG39" s="270">
        <f t="shared" si="139"/>
        <v>1</v>
      </c>
      <c r="IH39" s="427">
        <f t="shared" si="140"/>
        <v>5.0000000000000037E-2</v>
      </c>
      <c r="II39" s="421">
        <f t="shared" si="141"/>
        <v>1</v>
      </c>
      <c r="IJ39" s="270">
        <f t="shared" si="141"/>
        <v>1</v>
      </c>
      <c r="IK39" s="427">
        <f t="shared" si="142"/>
        <v>6.6666666666666721E-2</v>
      </c>
      <c r="IL39" s="421">
        <f t="shared" si="143"/>
        <v>1</v>
      </c>
      <c r="IM39" s="270">
        <f t="shared" si="143"/>
        <v>1</v>
      </c>
      <c r="IN39" s="427">
        <f t="shared" si="144"/>
        <v>8.3333333333333398E-2</v>
      </c>
      <c r="IS39" s="447">
        <f t="shared" si="538"/>
        <v>0</v>
      </c>
      <c r="IT39" s="447">
        <f t="shared" si="538"/>
        <v>0</v>
      </c>
      <c r="IU39" s="447">
        <f t="shared" si="538"/>
        <v>0</v>
      </c>
      <c r="IV39" s="447">
        <f t="shared" si="538"/>
        <v>6.0000000000000001E-3</v>
      </c>
      <c r="IW39" s="447">
        <f t="shared" si="538"/>
        <v>7.4999999999999997E-3</v>
      </c>
      <c r="IX39" s="447">
        <f t="shared" si="538"/>
        <v>1.4999999999999999E-2</v>
      </c>
      <c r="IY39" s="447">
        <f t="shared" si="538"/>
        <v>0.03</v>
      </c>
      <c r="IZ39" s="447">
        <f t="shared" si="538"/>
        <v>4.4999999999999998E-2</v>
      </c>
      <c r="JA39" s="447">
        <f t="shared" si="538"/>
        <v>0.06</v>
      </c>
      <c r="JB39" s="447">
        <f t="shared" si="538"/>
        <v>7.4999999999999997E-2</v>
      </c>
      <c r="JC39" s="447">
        <f t="shared" si="539"/>
        <v>0.15</v>
      </c>
      <c r="JD39" s="447">
        <f t="shared" si="539"/>
        <v>0.1875</v>
      </c>
      <c r="JE39" s="447">
        <f t="shared" si="539"/>
        <v>0.18747</v>
      </c>
      <c r="JF39" s="447">
        <f t="shared" si="539"/>
        <v>0.18744000000000002</v>
      </c>
      <c r="JG39" s="447">
        <f t="shared" si="539"/>
        <v>0.18742500000000004</v>
      </c>
      <c r="JH39" s="447">
        <f t="shared" si="539"/>
        <v>0.18734999999999999</v>
      </c>
      <c r="JI39" s="447">
        <f t="shared" si="539"/>
        <v>0.18720000000000003</v>
      </c>
      <c r="JJ39" s="447">
        <f t="shared" si="539"/>
        <v>0.18720000000000003</v>
      </c>
      <c r="JK39" s="447">
        <f t="shared" si="539"/>
        <v>0.18720000000000003</v>
      </c>
      <c r="JL39" s="447">
        <f t="shared" si="539"/>
        <v>0.18675</v>
      </c>
      <c r="JU39" s="242">
        <f t="shared" si="198"/>
        <v>3000000</v>
      </c>
      <c r="JV39" s="242">
        <f t="shared" si="199"/>
        <v>3000000</v>
      </c>
      <c r="JW39" s="242">
        <f t="shared" si="216"/>
        <v>1</v>
      </c>
      <c r="JX39" s="242">
        <f t="shared" si="200"/>
        <v>4000000</v>
      </c>
      <c r="JY39" s="241">
        <f t="shared" si="217"/>
        <v>0</v>
      </c>
      <c r="JZ39" s="241">
        <f t="shared" si="218"/>
        <v>3000000</v>
      </c>
      <c r="KA39" s="241" t="str">
        <f t="shared" si="219"/>
        <v>期望符合预期</v>
      </c>
      <c r="KC39" s="242">
        <f t="shared" si="201"/>
        <v>6000000</v>
      </c>
      <c r="KD39" s="242">
        <f t="shared" si="202"/>
        <v>5000000</v>
      </c>
      <c r="KE39" s="242">
        <f t="shared" si="220"/>
        <v>0.8</v>
      </c>
      <c r="KF39" s="242">
        <f t="shared" si="203"/>
        <v>10000000</v>
      </c>
      <c r="KG39" s="241">
        <f t="shared" si="221"/>
        <v>0.2</v>
      </c>
      <c r="KH39" s="241">
        <f t="shared" si="222"/>
        <v>6000000</v>
      </c>
      <c r="KI39" s="241" t="str">
        <f t="shared" si="223"/>
        <v>期望符合预期</v>
      </c>
      <c r="KK39" s="242">
        <f t="shared" si="204"/>
        <v>9000000</v>
      </c>
      <c r="KL39" s="242">
        <f t="shared" si="205"/>
        <v>5000000</v>
      </c>
      <c r="KM39" s="242">
        <f t="shared" si="224"/>
        <v>0.2</v>
      </c>
      <c r="KN39" s="242">
        <f t="shared" si="206"/>
        <v>10000000</v>
      </c>
      <c r="KO39" s="241">
        <f t="shared" si="225"/>
        <v>0.8</v>
      </c>
      <c r="KP39" s="241">
        <f t="shared" si="226"/>
        <v>9000000</v>
      </c>
      <c r="KQ39" s="241" t="str">
        <f t="shared" si="227"/>
        <v>期望符合预期</v>
      </c>
      <c r="KS39" s="242">
        <f t="shared" si="207"/>
        <v>12000000</v>
      </c>
      <c r="KT39" s="242">
        <f t="shared" si="208"/>
        <v>10000000</v>
      </c>
      <c r="KU39" s="242">
        <f t="shared" si="228"/>
        <v>0.6</v>
      </c>
      <c r="KV39" s="242">
        <f t="shared" si="209"/>
        <v>15000000</v>
      </c>
      <c r="KW39" s="241">
        <f t="shared" si="229"/>
        <v>0.4</v>
      </c>
      <c r="KX39" s="241">
        <f t="shared" si="230"/>
        <v>12000000</v>
      </c>
      <c r="KY39" s="241" t="str">
        <f t="shared" si="231"/>
        <v>期望符合预期</v>
      </c>
      <c r="LA39" s="242">
        <f t="shared" si="210"/>
        <v>15000000</v>
      </c>
      <c r="LB39" s="242">
        <f t="shared" si="211"/>
        <v>15000000</v>
      </c>
      <c r="LC39" s="242">
        <f t="shared" si="232"/>
        <v>1</v>
      </c>
      <c r="LD39" s="242">
        <f t="shared" si="212"/>
        <v>20000000</v>
      </c>
      <c r="LE39" s="241">
        <f t="shared" si="233"/>
        <v>0</v>
      </c>
      <c r="LF39" s="241">
        <f t="shared" si="234"/>
        <v>15000000</v>
      </c>
      <c r="LG39" s="241" t="str">
        <f t="shared" si="235"/>
        <v>期望符合预期</v>
      </c>
    </row>
    <row r="40" spans="1:319" ht="16.2" x14ac:dyDescent="0.4">
      <c r="A40" s="63">
        <v>34</v>
      </c>
      <c r="B40" s="254" t="s">
        <v>1742</v>
      </c>
      <c r="C40" s="63">
        <v>4</v>
      </c>
      <c r="D40" s="63">
        <v>-1</v>
      </c>
      <c r="E40" s="39">
        <f t="shared" si="527"/>
        <v>155</v>
      </c>
      <c r="F40" s="63" t="str">
        <f t="shared" si="530"/>
        <v>130~180</v>
      </c>
      <c r="G40" s="63">
        <f t="shared" si="167"/>
        <v>155</v>
      </c>
      <c r="H40" s="256" t="str">
        <f t="shared" si="531"/>
        <v>[[130,1],[155,1],[180,1]]</v>
      </c>
      <c r="I40" s="265"/>
      <c r="J40" s="63">
        <f t="shared" si="533"/>
        <v>5</v>
      </c>
      <c r="K40" s="63">
        <f t="shared" si="534"/>
        <v>1</v>
      </c>
      <c r="L40" s="63">
        <v>0</v>
      </c>
      <c r="M40" s="266">
        <f>ROUND($BX$7/('全局参数|GlobalPar'!$B$19/10000/E40),6)*(7/5)</f>
        <v>0.10763899999999998</v>
      </c>
      <c r="N40" s="267">
        <v>3</v>
      </c>
      <c r="O40" s="268">
        <f>ROUND(IF(N40&lt;&gt;0,$BX$4/('全局参数|GlobalPar'!$B$19/10000/E40)/N40,0),6)</f>
        <v>0</v>
      </c>
      <c r="P40" s="270">
        <f t="shared" si="386"/>
        <v>3.1E-2</v>
      </c>
      <c r="Q40" s="285">
        <f t="shared" si="535"/>
        <v>0</v>
      </c>
      <c r="R40" s="282">
        <v>14</v>
      </c>
      <c r="S40" s="283">
        <v>1</v>
      </c>
      <c r="T40" s="284" t="str">
        <f t="shared" si="21"/>
        <v>[[14,1],[14,1],[14,1],[14,1],[14,1],[14,1],[14,1],[14,1],[14,1],[14,1],[28,2],[56,4],[84,6],[112,8],[140,10],[280,20],[560,40],[840,60],[1120,80],[1400,100]]</v>
      </c>
      <c r="U40" s="284">
        <v>1</v>
      </c>
      <c r="V40" s="284">
        <v>1</v>
      </c>
      <c r="W40" s="284" t="str">
        <f t="shared" si="168"/>
        <v>[[1,1],[1,1],[1,1],[1,1],[1,1],[1,1],[1,1],[1,1],[1,1],[1,1],[1,1],[1,1],[1,1],[1,1],[1,1],[1,1],[1,1],[1,1],[1,1],[1,1]]</v>
      </c>
      <c r="X40" s="63">
        <v>0</v>
      </c>
      <c r="Y40" s="306">
        <v>1</v>
      </c>
      <c r="Z40" s="303">
        <f t="shared" si="541"/>
        <v>0.06</v>
      </c>
      <c r="AA40" s="303">
        <v>0.06</v>
      </c>
      <c r="AB40" s="303">
        <f t="shared" si="169"/>
        <v>0.1</v>
      </c>
      <c r="AC40" s="304">
        <f t="shared" si="213"/>
        <v>0.05</v>
      </c>
      <c r="AD40" s="304">
        <f t="shared" si="213"/>
        <v>0.02</v>
      </c>
      <c r="AE40" s="304">
        <f t="shared" si="213"/>
        <v>8.0000000000000002E-3</v>
      </c>
      <c r="AF40" s="304">
        <f t="shared" si="213"/>
        <v>2E-3</v>
      </c>
      <c r="AG40" s="63" t="str">
        <f t="shared" si="170"/>
        <v>[[2,5],[3,2],[4,3]]</v>
      </c>
      <c r="AH40" s="256" t="str">
        <f t="shared" si="171"/>
        <v>[0.738095,0.369048,0.246032]</v>
      </c>
      <c r="AI40" s="256">
        <v>0</v>
      </c>
      <c r="AJ40" s="256">
        <v>1</v>
      </c>
      <c r="AK40" s="256">
        <f t="shared" si="243"/>
        <v>1</v>
      </c>
      <c r="AL40" s="256">
        <v>1</v>
      </c>
      <c r="AM40" s="256">
        <f t="shared" si="172"/>
        <v>46.5</v>
      </c>
      <c r="AN40" s="256" t="s">
        <v>2549</v>
      </c>
      <c r="AO40" s="324">
        <v>11</v>
      </c>
      <c r="AP40" s="63">
        <f t="shared" si="528"/>
        <v>1</v>
      </c>
      <c r="AQ40" s="63">
        <v>0</v>
      </c>
      <c r="AR40" s="39">
        <v>2</v>
      </c>
      <c r="AS40" s="39">
        <v>4</v>
      </c>
      <c r="AT40" s="39">
        <v>1</v>
      </c>
      <c r="AU40" s="63">
        <v>1</v>
      </c>
      <c r="AV40" s="63">
        <f t="shared" si="536"/>
        <v>1.4925373134328357</v>
      </c>
      <c r="AW40" s="63">
        <v>1</v>
      </c>
      <c r="AX40" s="63">
        <v>1</v>
      </c>
      <c r="AY40" s="63" t="s">
        <v>1743</v>
      </c>
      <c r="AZ40" s="39"/>
      <c r="BA40" s="39"/>
      <c r="BB40" s="328">
        <v>0.75</v>
      </c>
      <c r="BC40" s="39">
        <v>180</v>
      </c>
      <c r="BD40" s="39">
        <v>0.18</v>
      </c>
      <c r="BE40" s="39">
        <v>0.8</v>
      </c>
      <c r="BF40" s="39">
        <v>1</v>
      </c>
      <c r="BG40" s="39" t="s">
        <v>1677</v>
      </c>
      <c r="BH40" s="332" t="s">
        <v>1744</v>
      </c>
      <c r="BI40" s="332" t="s">
        <v>1745</v>
      </c>
      <c r="BJ40" s="334" t="s">
        <v>158</v>
      </c>
      <c r="BK40" s="265" t="s">
        <v>280</v>
      </c>
      <c r="BL40" s="265"/>
      <c r="BM40" s="265"/>
      <c r="BN40" s="81">
        <f t="shared" si="387"/>
        <v>16.100000000000001</v>
      </c>
      <c r="BO40" s="343">
        <f t="shared" si="542"/>
        <v>9.3167701863354022</v>
      </c>
      <c r="BP40" s="81" t="s">
        <v>1606</v>
      </c>
      <c r="BQ40" s="81">
        <f t="shared" si="388"/>
        <v>0.746</v>
      </c>
      <c r="BR40" s="81"/>
      <c r="BS40" s="63">
        <f t="shared" si="543"/>
        <v>161</v>
      </c>
      <c r="BT40" s="63">
        <f t="shared" si="29"/>
        <v>170.3</v>
      </c>
      <c r="BV40" s="63">
        <f t="shared" si="544"/>
        <v>0</v>
      </c>
      <c r="BW40" s="268">
        <v>0.1</v>
      </c>
      <c r="BX40" s="360">
        <v>130</v>
      </c>
      <c r="BY40" s="39">
        <v>1</v>
      </c>
      <c r="BZ40" s="361">
        <v>155</v>
      </c>
      <c r="CA40" s="39">
        <v>1</v>
      </c>
      <c r="CB40" s="362">
        <v>180</v>
      </c>
      <c r="CC40" s="39">
        <v>1</v>
      </c>
      <c r="CD40" s="363">
        <f t="shared" si="529"/>
        <v>155</v>
      </c>
      <c r="CE40" s="39">
        <f>(BY40+CA40+CC40)/CA40</f>
        <v>3</v>
      </c>
      <c r="CF40" s="39">
        <f t="shared" si="532"/>
        <v>0.30000000000000004</v>
      </c>
      <c r="CG40" s="371">
        <f t="shared" si="545"/>
        <v>170.5</v>
      </c>
      <c r="CH40" s="372">
        <f t="shared" si="214"/>
        <v>0.1</v>
      </c>
      <c r="CI40" s="373">
        <v>2</v>
      </c>
      <c r="CJ40" s="143">
        <v>5</v>
      </c>
      <c r="CK40" s="373">
        <v>3</v>
      </c>
      <c r="CL40" s="143">
        <v>2</v>
      </c>
      <c r="CM40" s="373">
        <v>4</v>
      </c>
      <c r="CN40" s="143">
        <v>3</v>
      </c>
      <c r="CO40" s="143">
        <f t="shared" si="174"/>
        <v>2.8</v>
      </c>
      <c r="CP40" s="143">
        <f t="shared" ref="CP40:CT62" si="550">CP$3/10</f>
        <v>7.5</v>
      </c>
      <c r="CQ40" s="377">
        <f t="shared" si="176"/>
        <v>0.73809499999999995</v>
      </c>
      <c r="CR40" s="143">
        <f t="shared" si="550"/>
        <v>15</v>
      </c>
      <c r="CS40" s="378">
        <f t="shared" si="177"/>
        <v>0.36904799999999999</v>
      </c>
      <c r="CT40" s="143">
        <f t="shared" si="550"/>
        <v>22.5</v>
      </c>
      <c r="CU40" s="392">
        <f t="shared" si="178"/>
        <v>0.246032</v>
      </c>
      <c r="CW40" s="241">
        <v>2E-3</v>
      </c>
      <c r="CX40" s="396">
        <f t="shared" si="215"/>
        <v>0</v>
      </c>
      <c r="CY40" s="270">
        <f t="shared" si="546"/>
        <v>0</v>
      </c>
      <c r="CZ40" s="394">
        <f t="shared" si="547"/>
        <v>0</v>
      </c>
      <c r="DA40" s="394">
        <f t="shared" si="35"/>
        <v>0</v>
      </c>
      <c r="DB40" s="395">
        <f t="shared" si="179"/>
        <v>0</v>
      </c>
      <c r="DC40" s="419">
        <f t="shared" si="548"/>
        <v>0</v>
      </c>
      <c r="DD40" s="394">
        <f t="shared" si="37"/>
        <v>0</v>
      </c>
      <c r="DE40" s="420" t="e">
        <f t="shared" si="549"/>
        <v>#DIV/0!</v>
      </c>
      <c r="DF40" s="421">
        <f t="shared" si="180"/>
        <v>14</v>
      </c>
      <c r="DG40" s="422">
        <f t="shared" si="181"/>
        <v>1</v>
      </c>
      <c r="DH40" s="284"/>
      <c r="DI40" s="282">
        <v>14</v>
      </c>
      <c r="DJ40" s="283">
        <v>1</v>
      </c>
      <c r="DL40" s="431"/>
      <c r="DM40" s="242"/>
      <c r="DQ40" s="427"/>
      <c r="DR40" s="421">
        <v>14</v>
      </c>
      <c r="DS40" s="270">
        <v>1</v>
      </c>
      <c r="DT40" s="427">
        <f t="shared" si="39"/>
        <v>1.8452380952380971E-3</v>
      </c>
      <c r="DU40" s="421">
        <f t="shared" si="40"/>
        <v>14</v>
      </c>
      <c r="DV40" s="270">
        <f t="shared" si="182"/>
        <v>1</v>
      </c>
      <c r="DW40" s="427">
        <f t="shared" si="42"/>
        <v>3.6904761904761941E-3</v>
      </c>
      <c r="DX40" s="421">
        <f t="shared" si="43"/>
        <v>14</v>
      </c>
      <c r="DY40" s="270">
        <f t="shared" si="183"/>
        <v>1</v>
      </c>
      <c r="DZ40" s="427">
        <f t="shared" si="45"/>
        <v>5.5357142857142922E-3</v>
      </c>
      <c r="EA40" s="421">
        <f t="shared" si="184"/>
        <v>14</v>
      </c>
      <c r="EB40" s="270">
        <f t="shared" si="185"/>
        <v>1</v>
      </c>
      <c r="EC40" s="427">
        <f t="shared" si="48"/>
        <v>7.3809523809523882E-3</v>
      </c>
      <c r="ED40" s="421">
        <f t="shared" si="186"/>
        <v>14</v>
      </c>
      <c r="EE40" s="270">
        <f t="shared" si="187"/>
        <v>1</v>
      </c>
      <c r="EF40" s="427">
        <f t="shared" si="51"/>
        <v>9.226190476190485E-3</v>
      </c>
      <c r="EG40" s="421">
        <f t="shared" si="188"/>
        <v>14</v>
      </c>
      <c r="EH40" s="270">
        <f t="shared" si="189"/>
        <v>1</v>
      </c>
      <c r="EI40" s="427">
        <f t="shared" si="54"/>
        <v>1.845238095238097E-2</v>
      </c>
      <c r="EJ40" s="421">
        <f t="shared" si="190"/>
        <v>14</v>
      </c>
      <c r="EK40" s="270">
        <f t="shared" si="191"/>
        <v>1</v>
      </c>
      <c r="EL40" s="427">
        <f t="shared" si="57"/>
        <v>3.690476190476194E-2</v>
      </c>
      <c r="EM40" s="421">
        <f t="shared" si="192"/>
        <v>14</v>
      </c>
      <c r="EN40" s="270">
        <f t="shared" si="193"/>
        <v>1</v>
      </c>
      <c r="EO40" s="427">
        <f t="shared" si="60"/>
        <v>5.5357142857142917E-2</v>
      </c>
      <c r="EP40" s="421">
        <f t="shared" si="194"/>
        <v>14</v>
      </c>
      <c r="EQ40" s="270">
        <f t="shared" si="195"/>
        <v>1</v>
      </c>
      <c r="ER40" s="427">
        <f t="shared" si="63"/>
        <v>7.380952380952388E-2</v>
      </c>
      <c r="ES40" s="421">
        <f t="shared" si="196"/>
        <v>14</v>
      </c>
      <c r="ET40" s="270">
        <f t="shared" si="197"/>
        <v>1</v>
      </c>
      <c r="EU40" s="427">
        <f t="shared" si="66"/>
        <v>9.226190476190485E-2</v>
      </c>
      <c r="EV40" s="421">
        <f t="shared" si="67"/>
        <v>28</v>
      </c>
      <c r="EW40" s="270">
        <f t="shared" si="68"/>
        <v>2</v>
      </c>
      <c r="EX40" s="427">
        <f t="shared" si="69"/>
        <v>9.226190476190485E-2</v>
      </c>
      <c r="EY40" s="421">
        <f t="shared" si="70"/>
        <v>56</v>
      </c>
      <c r="EZ40" s="270">
        <f t="shared" si="71"/>
        <v>4</v>
      </c>
      <c r="FA40" s="427">
        <f t="shared" si="72"/>
        <v>9.226190476190485E-2</v>
      </c>
      <c r="FB40" s="421">
        <f t="shared" si="73"/>
        <v>84</v>
      </c>
      <c r="FC40" s="270">
        <f t="shared" si="74"/>
        <v>6</v>
      </c>
      <c r="FD40" s="427">
        <f t="shared" si="75"/>
        <v>9.226190476190485E-2</v>
      </c>
      <c r="FE40" s="421">
        <f t="shared" si="76"/>
        <v>112</v>
      </c>
      <c r="FF40" s="270">
        <f t="shared" si="77"/>
        <v>8</v>
      </c>
      <c r="FG40" s="427">
        <f t="shared" si="78"/>
        <v>9.226190476190485E-2</v>
      </c>
      <c r="FH40" s="421">
        <f t="shared" si="79"/>
        <v>140</v>
      </c>
      <c r="FI40" s="270">
        <f t="shared" si="80"/>
        <v>10</v>
      </c>
      <c r="FJ40" s="427">
        <f t="shared" si="81"/>
        <v>9.226190476190485E-2</v>
      </c>
      <c r="FK40" s="421">
        <f t="shared" si="82"/>
        <v>280</v>
      </c>
      <c r="FL40" s="270">
        <f t="shared" si="83"/>
        <v>20</v>
      </c>
      <c r="FM40" s="427">
        <f t="shared" si="84"/>
        <v>9.226190476190485E-2</v>
      </c>
      <c r="FN40" s="421">
        <f t="shared" si="85"/>
        <v>560</v>
      </c>
      <c r="FO40" s="270">
        <f t="shared" si="86"/>
        <v>40</v>
      </c>
      <c r="FP40" s="427">
        <f t="shared" si="87"/>
        <v>9.226190476190485E-2</v>
      </c>
      <c r="FQ40" s="421">
        <f t="shared" si="88"/>
        <v>840</v>
      </c>
      <c r="FR40" s="270">
        <f t="shared" si="89"/>
        <v>60</v>
      </c>
      <c r="FS40" s="427">
        <f t="shared" si="90"/>
        <v>9.226190476190485E-2</v>
      </c>
      <c r="FT40" s="421">
        <f t="shared" si="91"/>
        <v>1120</v>
      </c>
      <c r="FU40" s="270">
        <f t="shared" si="92"/>
        <v>80</v>
      </c>
      <c r="FV40" s="427">
        <f t="shared" si="93"/>
        <v>9.226190476190485E-2</v>
      </c>
      <c r="FW40" s="421">
        <f t="shared" si="94"/>
        <v>1400</v>
      </c>
      <c r="FX40" s="270">
        <f t="shared" si="95"/>
        <v>100</v>
      </c>
      <c r="FY40" s="427">
        <f t="shared" si="96"/>
        <v>9.226190476190485E-2</v>
      </c>
      <c r="GA40" s="431"/>
      <c r="GB40" s="242"/>
      <c r="GF40" s="427"/>
      <c r="GG40" s="421">
        <v>1</v>
      </c>
      <c r="GH40" s="270">
        <v>1</v>
      </c>
      <c r="GI40" s="427">
        <f t="shared" si="97"/>
        <v>1.7222222222222237E-5</v>
      </c>
      <c r="GJ40" s="421">
        <f t="shared" si="98"/>
        <v>1</v>
      </c>
      <c r="GK40" s="270">
        <f t="shared" si="99"/>
        <v>1</v>
      </c>
      <c r="GL40" s="427">
        <f t="shared" si="100"/>
        <v>3.4444444444444475E-5</v>
      </c>
      <c r="GM40" s="421">
        <f t="shared" si="101"/>
        <v>1</v>
      </c>
      <c r="GN40" s="270">
        <f t="shared" si="102"/>
        <v>1</v>
      </c>
      <c r="GO40" s="427">
        <f t="shared" si="103"/>
        <v>5.1666666666666712E-5</v>
      </c>
      <c r="GP40" s="421">
        <f t="shared" si="104"/>
        <v>1</v>
      </c>
      <c r="GQ40" s="270">
        <f t="shared" si="105"/>
        <v>1</v>
      </c>
      <c r="GR40" s="427">
        <f t="shared" si="106"/>
        <v>6.8888888888888949E-5</v>
      </c>
      <c r="GS40" s="421">
        <f t="shared" si="107"/>
        <v>1</v>
      </c>
      <c r="GT40" s="270">
        <f t="shared" si="108"/>
        <v>1</v>
      </c>
      <c r="GU40" s="427">
        <f t="shared" si="109"/>
        <v>8.6111111111111186E-5</v>
      </c>
      <c r="GV40" s="421">
        <f t="shared" si="110"/>
        <v>1</v>
      </c>
      <c r="GW40" s="270">
        <f t="shared" si="111"/>
        <v>1</v>
      </c>
      <c r="GX40" s="427">
        <f t="shared" si="112"/>
        <v>1.7222222222222237E-4</v>
      </c>
      <c r="GY40" s="421">
        <f t="shared" si="113"/>
        <v>1</v>
      </c>
      <c r="GZ40" s="270">
        <f t="shared" si="114"/>
        <v>1</v>
      </c>
      <c r="HA40" s="427">
        <f t="shared" si="115"/>
        <v>3.4444444444444475E-4</v>
      </c>
      <c r="HB40" s="421">
        <f t="shared" si="116"/>
        <v>1</v>
      </c>
      <c r="HC40" s="270">
        <f t="shared" si="117"/>
        <v>1</v>
      </c>
      <c r="HD40" s="427">
        <f t="shared" si="118"/>
        <v>5.1666666666666712E-4</v>
      </c>
      <c r="HE40" s="421">
        <f t="shared" si="119"/>
        <v>1</v>
      </c>
      <c r="HF40" s="270">
        <f t="shared" si="120"/>
        <v>1</v>
      </c>
      <c r="HG40" s="427">
        <f t="shared" si="121"/>
        <v>6.8888888888888949E-4</v>
      </c>
      <c r="HH40" s="421">
        <f t="shared" si="122"/>
        <v>1</v>
      </c>
      <c r="HI40" s="270">
        <f t="shared" si="123"/>
        <v>1</v>
      </c>
      <c r="HJ40" s="427">
        <f t="shared" si="124"/>
        <v>8.6111111111111186E-4</v>
      </c>
      <c r="HK40" s="421">
        <f t="shared" si="125"/>
        <v>1</v>
      </c>
      <c r="HL40" s="270">
        <f t="shared" si="125"/>
        <v>1</v>
      </c>
      <c r="HM40" s="427">
        <f t="shared" si="126"/>
        <v>1.7222222222222237E-3</v>
      </c>
      <c r="HN40" s="421">
        <f t="shared" si="127"/>
        <v>1</v>
      </c>
      <c r="HO40" s="270">
        <f t="shared" si="127"/>
        <v>1</v>
      </c>
      <c r="HP40" s="427">
        <f t="shared" si="128"/>
        <v>3.4444444444444475E-3</v>
      </c>
      <c r="HQ40" s="421">
        <f t="shared" si="129"/>
        <v>1</v>
      </c>
      <c r="HR40" s="270">
        <f t="shared" si="129"/>
        <v>1</v>
      </c>
      <c r="HS40" s="427">
        <f t="shared" si="130"/>
        <v>5.166666666666671E-3</v>
      </c>
      <c r="HT40" s="421">
        <f t="shared" si="131"/>
        <v>1</v>
      </c>
      <c r="HU40" s="270">
        <f t="shared" si="131"/>
        <v>1</v>
      </c>
      <c r="HV40" s="427">
        <f t="shared" si="132"/>
        <v>6.8888888888888949E-3</v>
      </c>
      <c r="HW40" s="421">
        <f t="shared" si="133"/>
        <v>1</v>
      </c>
      <c r="HX40" s="270">
        <f t="shared" si="133"/>
        <v>1</v>
      </c>
      <c r="HY40" s="427">
        <f t="shared" si="134"/>
        <v>8.611111111111118E-3</v>
      </c>
      <c r="HZ40" s="421">
        <f t="shared" si="135"/>
        <v>1</v>
      </c>
      <c r="IA40" s="270">
        <f t="shared" si="135"/>
        <v>1</v>
      </c>
      <c r="IB40" s="427">
        <f t="shared" si="136"/>
        <v>1.7222222222222236E-2</v>
      </c>
      <c r="IC40" s="421">
        <f t="shared" si="137"/>
        <v>1</v>
      </c>
      <c r="ID40" s="270">
        <f t="shared" si="137"/>
        <v>1</v>
      </c>
      <c r="IE40" s="427">
        <f t="shared" si="138"/>
        <v>3.4444444444444472E-2</v>
      </c>
      <c r="IF40" s="421">
        <f t="shared" si="139"/>
        <v>1</v>
      </c>
      <c r="IG40" s="270">
        <f t="shared" si="139"/>
        <v>1</v>
      </c>
      <c r="IH40" s="427">
        <f t="shared" si="140"/>
        <v>5.1666666666666708E-2</v>
      </c>
      <c r="II40" s="421">
        <f t="shared" si="141"/>
        <v>1</v>
      </c>
      <c r="IJ40" s="270">
        <f t="shared" si="141"/>
        <v>1</v>
      </c>
      <c r="IK40" s="427">
        <f t="shared" si="142"/>
        <v>6.8888888888888944E-2</v>
      </c>
      <c r="IL40" s="421">
        <f t="shared" si="143"/>
        <v>1</v>
      </c>
      <c r="IM40" s="270">
        <f t="shared" si="143"/>
        <v>1</v>
      </c>
      <c r="IN40" s="427">
        <f t="shared" si="144"/>
        <v>8.611111111111118E-2</v>
      </c>
      <c r="IS40" s="447">
        <f t="shared" si="538"/>
        <v>0</v>
      </c>
      <c r="IT40" s="447">
        <f t="shared" si="538"/>
        <v>0</v>
      </c>
      <c r="IU40" s="447">
        <f t="shared" si="538"/>
        <v>0</v>
      </c>
      <c r="IV40" s="447">
        <f t="shared" si="538"/>
        <v>6.1999999999999998E-3</v>
      </c>
      <c r="IW40" s="447">
        <f t="shared" si="538"/>
        <v>7.7499999999999999E-3</v>
      </c>
      <c r="IX40" s="447">
        <f t="shared" si="538"/>
        <v>1.55E-2</v>
      </c>
      <c r="IY40" s="447">
        <f t="shared" si="538"/>
        <v>3.1E-2</v>
      </c>
      <c r="IZ40" s="447">
        <f t="shared" si="538"/>
        <v>4.65E-2</v>
      </c>
      <c r="JA40" s="447">
        <f t="shared" si="538"/>
        <v>6.2E-2</v>
      </c>
      <c r="JB40" s="447">
        <f t="shared" si="538"/>
        <v>7.7499999999999999E-2</v>
      </c>
      <c r="JC40" s="447">
        <f t="shared" si="539"/>
        <v>0.155</v>
      </c>
      <c r="JD40" s="447">
        <f t="shared" si="539"/>
        <v>0.19375000000000001</v>
      </c>
      <c r="JE40" s="447">
        <f t="shared" si="539"/>
        <v>0.193719</v>
      </c>
      <c r="JF40" s="447">
        <f t="shared" si="539"/>
        <v>0.19368800000000003</v>
      </c>
      <c r="JG40" s="447">
        <f t="shared" si="539"/>
        <v>0.1936725</v>
      </c>
      <c r="JH40" s="447">
        <f t="shared" si="539"/>
        <v>0.19359499999999999</v>
      </c>
      <c r="JI40" s="447">
        <f t="shared" si="539"/>
        <v>0.19344000000000003</v>
      </c>
      <c r="JJ40" s="447">
        <f t="shared" si="539"/>
        <v>0.19344</v>
      </c>
      <c r="JK40" s="447">
        <f t="shared" si="539"/>
        <v>0.19344000000000003</v>
      </c>
      <c r="JL40" s="447">
        <f t="shared" si="539"/>
        <v>0.19297500000000001</v>
      </c>
      <c r="JU40" s="242">
        <f t="shared" si="198"/>
        <v>3100000</v>
      </c>
      <c r="JV40" s="242">
        <f t="shared" si="199"/>
        <v>3000000</v>
      </c>
      <c r="JW40" s="242">
        <f t="shared" si="216"/>
        <v>0.9</v>
      </c>
      <c r="JX40" s="242">
        <f t="shared" si="200"/>
        <v>4000000</v>
      </c>
      <c r="JY40" s="241">
        <f t="shared" si="217"/>
        <v>0.1</v>
      </c>
      <c r="JZ40" s="241">
        <f t="shared" si="218"/>
        <v>3100000</v>
      </c>
      <c r="KA40" s="241" t="str">
        <f t="shared" si="219"/>
        <v>期望符合预期</v>
      </c>
      <c r="KC40" s="242">
        <f t="shared" si="201"/>
        <v>6200000</v>
      </c>
      <c r="KD40" s="242">
        <f t="shared" si="202"/>
        <v>5000000</v>
      </c>
      <c r="KE40" s="242">
        <f t="shared" si="220"/>
        <v>0.76</v>
      </c>
      <c r="KF40" s="242">
        <f t="shared" si="203"/>
        <v>10000000</v>
      </c>
      <c r="KG40" s="241">
        <f t="shared" si="221"/>
        <v>0.24</v>
      </c>
      <c r="KH40" s="241">
        <f t="shared" si="222"/>
        <v>6200000</v>
      </c>
      <c r="KI40" s="241" t="str">
        <f t="shared" si="223"/>
        <v>期望符合预期</v>
      </c>
      <c r="KK40" s="242">
        <f t="shared" si="204"/>
        <v>9300000</v>
      </c>
      <c r="KL40" s="242">
        <f t="shared" si="205"/>
        <v>5000000</v>
      </c>
      <c r="KM40" s="242">
        <f t="shared" si="224"/>
        <v>0.14000000000000001</v>
      </c>
      <c r="KN40" s="242">
        <f t="shared" si="206"/>
        <v>10000000</v>
      </c>
      <c r="KO40" s="241">
        <f t="shared" si="225"/>
        <v>0.86</v>
      </c>
      <c r="KP40" s="241">
        <f t="shared" si="226"/>
        <v>9300000</v>
      </c>
      <c r="KQ40" s="241" t="str">
        <f t="shared" si="227"/>
        <v>期望符合预期</v>
      </c>
      <c r="KS40" s="242">
        <f t="shared" si="207"/>
        <v>12400000</v>
      </c>
      <c r="KT40" s="242">
        <f t="shared" si="208"/>
        <v>10000000</v>
      </c>
      <c r="KU40" s="242">
        <f t="shared" si="228"/>
        <v>0.52</v>
      </c>
      <c r="KV40" s="242">
        <f t="shared" si="209"/>
        <v>15000000</v>
      </c>
      <c r="KW40" s="241">
        <f t="shared" si="229"/>
        <v>0.48</v>
      </c>
      <c r="KX40" s="241">
        <f t="shared" si="230"/>
        <v>12400000</v>
      </c>
      <c r="KY40" s="241" t="str">
        <f t="shared" si="231"/>
        <v>期望符合预期</v>
      </c>
      <c r="LA40" s="242">
        <f t="shared" si="210"/>
        <v>15500000</v>
      </c>
      <c r="LB40" s="242">
        <f t="shared" si="211"/>
        <v>15000000</v>
      </c>
      <c r="LC40" s="242">
        <f t="shared" si="232"/>
        <v>0.9</v>
      </c>
      <c r="LD40" s="242">
        <f t="shared" si="212"/>
        <v>20000000</v>
      </c>
      <c r="LE40" s="241">
        <f t="shared" si="233"/>
        <v>0.1</v>
      </c>
      <c r="LF40" s="241">
        <f t="shared" si="234"/>
        <v>15500000</v>
      </c>
      <c r="LG40" s="241" t="str">
        <f t="shared" si="235"/>
        <v>期望符合预期</v>
      </c>
    </row>
    <row r="41" spans="1:319" ht="16.2" x14ac:dyDescent="0.4">
      <c r="A41" s="63">
        <v>35</v>
      </c>
      <c r="B41" s="257"/>
      <c r="C41" s="63">
        <v>4</v>
      </c>
      <c r="D41" s="63">
        <v>-1</v>
      </c>
      <c r="E41" s="258">
        <f>600*(('全局参数|GlobalPar'!B92/100)*2)</f>
        <v>240</v>
      </c>
      <c r="F41" s="63"/>
      <c r="G41" s="63">
        <f t="shared" si="167"/>
        <v>240</v>
      </c>
      <c r="H41" s="63"/>
      <c r="I41" s="265"/>
      <c r="J41" s="63">
        <f t="shared" ref="J41:J61" si="551">ROUND(IF(C41=4,E41*10%,0),0)</f>
        <v>24</v>
      </c>
      <c r="K41" s="63">
        <f t="shared" ref="K41:K61" si="552">ROUND(IF(C41=4,E41*2%,0),0)</f>
        <v>5</v>
      </c>
      <c r="L41" s="63">
        <v>0</v>
      </c>
      <c r="M41" s="266">
        <f>ROUND($BX$7/('全局参数|GlobalPar'!$B$19/10000/E41),6)*(7/5)</f>
        <v>0.16666719999999999</v>
      </c>
      <c r="N41" s="267">
        <v>3</v>
      </c>
      <c r="O41" s="268">
        <f>ROUND(IF(N41&lt;&gt;0,$BX$4/('全局参数|GlobalPar'!$B$19/10000/E41)/N41,0),6)</f>
        <v>0</v>
      </c>
      <c r="P41" s="270">
        <f t="shared" si="386"/>
        <v>0</v>
      </c>
      <c r="Q41" s="285">
        <f t="shared" si="535"/>
        <v>0</v>
      </c>
      <c r="R41" s="282">
        <v>15</v>
      </c>
      <c r="S41" s="283">
        <v>1</v>
      </c>
      <c r="T41" s="284" t="str">
        <f t="shared" si="21"/>
        <v>[[15,1],[15,1],[15,1],[15,1],[15,1],[15,1],[15,1],[15,1],[15,1],[15,1],[30,2],[60,4],[90,6],[120,8],[150,10],[300,20],[600,40],[900,60],[1200,80],[1500,100]]</v>
      </c>
      <c r="U41" s="284">
        <v>1</v>
      </c>
      <c r="V41" s="284">
        <v>1</v>
      </c>
      <c r="W41" s="284" t="str">
        <f t="shared" si="168"/>
        <v>[[1,1],[1,1],[1,1],[1,1],[1,1],[1,1],[1,1],[1,1],[1,1],[1,1],[1,1],[1,1],[1,1],[1,1],[1,1],[1,1],[1,1],[1,1],[1,1],[1,1]]</v>
      </c>
      <c r="X41" s="63">
        <v>0</v>
      </c>
      <c r="Y41" s="307">
        <v>0</v>
      </c>
      <c r="Z41" s="303">
        <f t="shared" si="541"/>
        <v>0.28999999999999998</v>
      </c>
      <c r="AA41" s="303">
        <v>0</v>
      </c>
      <c r="AB41" s="303">
        <f t="shared" si="169"/>
        <v>0.1</v>
      </c>
      <c r="AC41" s="304">
        <f t="shared" si="213"/>
        <v>0.05</v>
      </c>
      <c r="AD41" s="303">
        <v>0</v>
      </c>
      <c r="AE41" s="303">
        <v>0</v>
      </c>
      <c r="AF41" s="303">
        <v>0</v>
      </c>
      <c r="AG41" s="63" t="str">
        <f t="shared" si="170"/>
        <v>[[6,5],[6,2],[7,2]]</v>
      </c>
      <c r="AH41" s="256" t="str">
        <f t="shared" si="171"/>
        <v>[0.514286,0.257143,0.171429]</v>
      </c>
      <c r="AI41" s="256">
        <v>0</v>
      </c>
      <c r="AJ41" s="256">
        <v>1</v>
      </c>
      <c r="AK41" s="256">
        <f t="shared" si="243"/>
        <v>1</v>
      </c>
      <c r="AL41" s="256">
        <v>1</v>
      </c>
      <c r="AM41" s="256">
        <f t="shared" si="172"/>
        <v>72</v>
      </c>
      <c r="AN41" s="256" t="s">
        <v>2549</v>
      </c>
      <c r="AO41" s="324">
        <v>12</v>
      </c>
      <c r="AP41" s="63">
        <v>11</v>
      </c>
      <c r="AQ41" s="63">
        <v>0</v>
      </c>
      <c r="AR41" s="39">
        <v>3</v>
      </c>
      <c r="AS41" s="39"/>
      <c r="AT41" s="39">
        <v>0</v>
      </c>
      <c r="AU41" s="63">
        <v>1</v>
      </c>
      <c r="AV41" s="63">
        <f t="shared" si="536"/>
        <v>1.4925373134328357</v>
      </c>
      <c r="AW41" s="63">
        <v>1</v>
      </c>
      <c r="AX41" s="63">
        <v>1</v>
      </c>
      <c r="AY41" s="63" t="s">
        <v>1743</v>
      </c>
      <c r="AZ41" s="39"/>
      <c r="BA41" s="39"/>
      <c r="BB41" s="328">
        <v>1</v>
      </c>
      <c r="BC41" s="39">
        <v>180</v>
      </c>
      <c r="BD41" s="39">
        <v>0.18</v>
      </c>
      <c r="BE41" s="39">
        <v>0.8</v>
      </c>
      <c r="BF41" s="39">
        <v>1</v>
      </c>
      <c r="BG41" s="39" t="s">
        <v>1746</v>
      </c>
      <c r="BH41" s="331" t="s">
        <v>1747</v>
      </c>
      <c r="BI41" s="331" t="s">
        <v>1747</v>
      </c>
      <c r="BJ41" s="334" t="s">
        <v>412</v>
      </c>
      <c r="BK41" s="334" t="s">
        <v>280</v>
      </c>
      <c r="BL41" s="334"/>
      <c r="BM41" s="334"/>
      <c r="BN41" s="81">
        <f t="shared" si="387"/>
        <v>26.900000000000002</v>
      </c>
      <c r="BO41" s="343">
        <f t="shared" si="542"/>
        <v>5.5762081784386615</v>
      </c>
      <c r="BP41" s="81"/>
      <c r="BQ41" s="81">
        <f t="shared" si="388"/>
        <v>0.746</v>
      </c>
      <c r="BR41" s="81"/>
      <c r="BS41" s="63">
        <f t="shared" si="543"/>
        <v>269</v>
      </c>
      <c r="BT41" s="63">
        <f>IF(P41=0,BS41,BS41*(1+$CA$1))</f>
        <v>269</v>
      </c>
      <c r="BV41" s="63">
        <f t="shared" si="544"/>
        <v>0</v>
      </c>
      <c r="CD41" s="365"/>
      <c r="CG41" s="371">
        <f t="shared" si="545"/>
        <v>264</v>
      </c>
      <c r="CH41" s="372">
        <f t="shared" si="214"/>
        <v>0.1</v>
      </c>
      <c r="CI41" s="373">
        <v>6</v>
      </c>
      <c r="CJ41" s="143">
        <v>5</v>
      </c>
      <c r="CK41" s="373">
        <v>6</v>
      </c>
      <c r="CL41" s="143">
        <v>2</v>
      </c>
      <c r="CM41" s="373">
        <v>7</v>
      </c>
      <c r="CN41" s="143">
        <v>2</v>
      </c>
      <c r="CO41" s="143">
        <f t="shared" si="174"/>
        <v>6.2222222222222223</v>
      </c>
      <c r="CP41" s="143">
        <f t="shared" si="550"/>
        <v>7.5</v>
      </c>
      <c r="CQ41" s="377">
        <f t="shared" si="176"/>
        <v>0.51428600000000002</v>
      </c>
      <c r="CR41" s="143">
        <f t="shared" si="550"/>
        <v>15</v>
      </c>
      <c r="CS41" s="378">
        <f t="shared" si="177"/>
        <v>0.25714300000000001</v>
      </c>
      <c r="CT41" s="143">
        <f t="shared" si="550"/>
        <v>22.5</v>
      </c>
      <c r="CU41" s="392">
        <f t="shared" si="178"/>
        <v>0.171429</v>
      </c>
      <c r="CW41" s="241">
        <v>2E-3</v>
      </c>
      <c r="CX41" s="396">
        <f t="shared" si="215"/>
        <v>0</v>
      </c>
      <c r="CY41" s="270">
        <f t="shared" si="546"/>
        <v>0</v>
      </c>
      <c r="CZ41" s="394">
        <f t="shared" si="547"/>
        <v>0</v>
      </c>
      <c r="DA41" s="394">
        <f t="shared" si="35"/>
        <v>0</v>
      </c>
      <c r="DB41" s="395">
        <f t="shared" si="179"/>
        <v>0</v>
      </c>
      <c r="DC41" s="419">
        <f t="shared" si="548"/>
        <v>0</v>
      </c>
      <c r="DD41" s="394">
        <f t="shared" si="37"/>
        <v>0</v>
      </c>
      <c r="DE41" s="420" t="e">
        <f t="shared" si="549"/>
        <v>#DIV/0!</v>
      </c>
      <c r="DF41" s="421">
        <f t="shared" si="180"/>
        <v>15</v>
      </c>
      <c r="DG41" s="422">
        <f t="shared" si="181"/>
        <v>1</v>
      </c>
      <c r="DH41" s="284"/>
      <c r="DI41" s="282">
        <v>15</v>
      </c>
      <c r="DJ41" s="283">
        <v>1</v>
      </c>
      <c r="DL41" s="431"/>
      <c r="DM41" s="242"/>
      <c r="DQ41" s="427"/>
      <c r="DR41" s="421">
        <v>15</v>
      </c>
      <c r="DS41" s="270">
        <v>1</v>
      </c>
      <c r="DT41" s="427">
        <f t="shared" si="39"/>
        <v>2.6666666666666696E-3</v>
      </c>
      <c r="DU41" s="421">
        <f t="shared" si="40"/>
        <v>15</v>
      </c>
      <c r="DV41" s="270">
        <f t="shared" si="182"/>
        <v>1</v>
      </c>
      <c r="DW41" s="427">
        <f t="shared" si="42"/>
        <v>5.3333333333333392E-3</v>
      </c>
      <c r="DX41" s="421">
        <f t="shared" si="43"/>
        <v>15</v>
      </c>
      <c r="DY41" s="270">
        <f t="shared" si="183"/>
        <v>1</v>
      </c>
      <c r="DZ41" s="427">
        <f t="shared" si="45"/>
        <v>8.0000000000000088E-3</v>
      </c>
      <c r="EA41" s="421">
        <f t="shared" si="184"/>
        <v>15</v>
      </c>
      <c r="EB41" s="270">
        <f t="shared" si="185"/>
        <v>1</v>
      </c>
      <c r="EC41" s="427">
        <f t="shared" si="48"/>
        <v>1.0666666666666678E-2</v>
      </c>
      <c r="ED41" s="421">
        <f t="shared" si="186"/>
        <v>15</v>
      </c>
      <c r="EE41" s="270">
        <f t="shared" si="187"/>
        <v>1</v>
      </c>
      <c r="EF41" s="427">
        <f t="shared" si="51"/>
        <v>1.3333333333333348E-2</v>
      </c>
      <c r="EG41" s="421">
        <f t="shared" si="188"/>
        <v>15</v>
      </c>
      <c r="EH41" s="270">
        <f t="shared" si="189"/>
        <v>1</v>
      </c>
      <c r="EI41" s="427">
        <f t="shared" si="54"/>
        <v>2.6666666666666696E-2</v>
      </c>
      <c r="EJ41" s="421">
        <f t="shared" si="190"/>
        <v>15</v>
      </c>
      <c r="EK41" s="270">
        <f t="shared" si="191"/>
        <v>1</v>
      </c>
      <c r="EL41" s="427">
        <f t="shared" si="57"/>
        <v>5.3333333333333392E-2</v>
      </c>
      <c r="EM41" s="421">
        <f t="shared" si="192"/>
        <v>15</v>
      </c>
      <c r="EN41" s="270">
        <f t="shared" si="193"/>
        <v>1</v>
      </c>
      <c r="EO41" s="427">
        <f t="shared" si="60"/>
        <v>8.0000000000000085E-2</v>
      </c>
      <c r="EP41" s="421">
        <f t="shared" si="194"/>
        <v>15</v>
      </c>
      <c r="EQ41" s="270">
        <f t="shared" si="195"/>
        <v>1</v>
      </c>
      <c r="ER41" s="427">
        <f t="shared" si="63"/>
        <v>0.10666666666666678</v>
      </c>
      <c r="ES41" s="421">
        <f t="shared" si="196"/>
        <v>15</v>
      </c>
      <c r="ET41" s="270">
        <f t="shared" si="197"/>
        <v>1</v>
      </c>
      <c r="EU41" s="427">
        <f t="shared" si="66"/>
        <v>0.13333333333333347</v>
      </c>
      <c r="EV41" s="421">
        <f t="shared" si="67"/>
        <v>30</v>
      </c>
      <c r="EW41" s="270">
        <f t="shared" si="68"/>
        <v>2</v>
      </c>
      <c r="EX41" s="427">
        <f t="shared" si="69"/>
        <v>0.13333333333333347</v>
      </c>
      <c r="EY41" s="421">
        <f t="shared" si="70"/>
        <v>60</v>
      </c>
      <c r="EZ41" s="270">
        <f t="shared" si="71"/>
        <v>4</v>
      </c>
      <c r="FA41" s="427">
        <f t="shared" si="72"/>
        <v>0.13333333333333347</v>
      </c>
      <c r="FB41" s="421">
        <f t="shared" si="73"/>
        <v>90</v>
      </c>
      <c r="FC41" s="270">
        <f t="shared" si="74"/>
        <v>6</v>
      </c>
      <c r="FD41" s="427">
        <f t="shared" si="75"/>
        <v>0.13333333333333347</v>
      </c>
      <c r="FE41" s="421">
        <f t="shared" si="76"/>
        <v>120</v>
      </c>
      <c r="FF41" s="270">
        <f t="shared" si="77"/>
        <v>8</v>
      </c>
      <c r="FG41" s="427">
        <f t="shared" si="78"/>
        <v>0.13333333333333347</v>
      </c>
      <c r="FH41" s="421">
        <f t="shared" si="79"/>
        <v>150</v>
      </c>
      <c r="FI41" s="270">
        <f t="shared" si="80"/>
        <v>10</v>
      </c>
      <c r="FJ41" s="427">
        <f t="shared" si="81"/>
        <v>0.13333333333333347</v>
      </c>
      <c r="FK41" s="421">
        <f t="shared" si="82"/>
        <v>300</v>
      </c>
      <c r="FL41" s="270">
        <f t="shared" si="83"/>
        <v>20</v>
      </c>
      <c r="FM41" s="427">
        <f t="shared" si="84"/>
        <v>0.13333333333333347</v>
      </c>
      <c r="FN41" s="421">
        <f t="shared" si="85"/>
        <v>600</v>
      </c>
      <c r="FO41" s="270">
        <f t="shared" si="86"/>
        <v>40</v>
      </c>
      <c r="FP41" s="427">
        <f t="shared" si="87"/>
        <v>0.13333333333333347</v>
      </c>
      <c r="FQ41" s="421">
        <f t="shared" si="88"/>
        <v>900</v>
      </c>
      <c r="FR41" s="270">
        <f t="shared" si="89"/>
        <v>60</v>
      </c>
      <c r="FS41" s="427">
        <f t="shared" si="90"/>
        <v>0.13333333333333347</v>
      </c>
      <c r="FT41" s="421">
        <f t="shared" si="91"/>
        <v>1200</v>
      </c>
      <c r="FU41" s="270">
        <f t="shared" si="92"/>
        <v>80</v>
      </c>
      <c r="FV41" s="427">
        <f t="shared" si="93"/>
        <v>0.13333333333333347</v>
      </c>
      <c r="FW41" s="421">
        <f t="shared" si="94"/>
        <v>1500</v>
      </c>
      <c r="FX41" s="270">
        <f t="shared" si="95"/>
        <v>100</v>
      </c>
      <c r="FY41" s="427">
        <f t="shared" si="96"/>
        <v>0.13333333333333347</v>
      </c>
      <c r="GA41" s="431"/>
      <c r="GB41" s="242"/>
      <c r="GF41" s="427"/>
      <c r="GG41" s="421">
        <v>1</v>
      </c>
      <c r="GH41" s="270">
        <v>1</v>
      </c>
      <c r="GI41" s="427">
        <f t="shared" si="97"/>
        <v>2.6666666666666687E-5</v>
      </c>
      <c r="GJ41" s="421">
        <f t="shared" si="98"/>
        <v>1</v>
      </c>
      <c r="GK41" s="270">
        <f t="shared" si="99"/>
        <v>1</v>
      </c>
      <c r="GL41" s="427">
        <f t="shared" si="100"/>
        <v>5.3333333333333374E-5</v>
      </c>
      <c r="GM41" s="421">
        <f t="shared" si="101"/>
        <v>1</v>
      </c>
      <c r="GN41" s="270">
        <f t="shared" si="102"/>
        <v>1</v>
      </c>
      <c r="GO41" s="427">
        <f t="shared" si="103"/>
        <v>8.0000000000000061E-5</v>
      </c>
      <c r="GP41" s="421">
        <f t="shared" si="104"/>
        <v>1</v>
      </c>
      <c r="GQ41" s="270">
        <f t="shared" si="105"/>
        <v>1</v>
      </c>
      <c r="GR41" s="427">
        <f t="shared" si="106"/>
        <v>1.0666666666666675E-4</v>
      </c>
      <c r="GS41" s="421">
        <f t="shared" si="107"/>
        <v>1</v>
      </c>
      <c r="GT41" s="270">
        <f t="shared" si="108"/>
        <v>1</v>
      </c>
      <c r="GU41" s="427">
        <f t="shared" si="109"/>
        <v>1.3333333333333345E-4</v>
      </c>
      <c r="GV41" s="421">
        <f t="shared" si="110"/>
        <v>1</v>
      </c>
      <c r="GW41" s="270">
        <f t="shared" si="111"/>
        <v>1</v>
      </c>
      <c r="GX41" s="427">
        <f t="shared" si="112"/>
        <v>2.666666666666669E-4</v>
      </c>
      <c r="GY41" s="421">
        <f t="shared" si="113"/>
        <v>1</v>
      </c>
      <c r="GZ41" s="270">
        <f t="shared" si="114"/>
        <v>1</v>
      </c>
      <c r="HA41" s="427">
        <f t="shared" si="115"/>
        <v>5.3333333333333379E-4</v>
      </c>
      <c r="HB41" s="421">
        <f t="shared" si="116"/>
        <v>1</v>
      </c>
      <c r="HC41" s="270">
        <f t="shared" si="117"/>
        <v>1</v>
      </c>
      <c r="HD41" s="427">
        <f t="shared" si="118"/>
        <v>8.0000000000000069E-4</v>
      </c>
      <c r="HE41" s="421">
        <f t="shared" si="119"/>
        <v>1</v>
      </c>
      <c r="HF41" s="270">
        <f t="shared" si="120"/>
        <v>1</v>
      </c>
      <c r="HG41" s="427">
        <f t="shared" si="121"/>
        <v>1.0666666666666676E-3</v>
      </c>
      <c r="HH41" s="421">
        <f t="shared" si="122"/>
        <v>1</v>
      </c>
      <c r="HI41" s="270">
        <f t="shared" si="123"/>
        <v>1</v>
      </c>
      <c r="HJ41" s="427">
        <f t="shared" si="124"/>
        <v>1.3333333333333344E-3</v>
      </c>
      <c r="HK41" s="421">
        <f t="shared" si="125"/>
        <v>1</v>
      </c>
      <c r="HL41" s="270">
        <f t="shared" si="125"/>
        <v>1</v>
      </c>
      <c r="HM41" s="427">
        <f t="shared" si="126"/>
        <v>2.6666666666666687E-3</v>
      </c>
      <c r="HN41" s="421">
        <f t="shared" si="127"/>
        <v>1</v>
      </c>
      <c r="HO41" s="270">
        <f t="shared" si="127"/>
        <v>1</v>
      </c>
      <c r="HP41" s="427">
        <f t="shared" si="128"/>
        <v>5.3333333333333375E-3</v>
      </c>
      <c r="HQ41" s="421">
        <f t="shared" si="129"/>
        <v>1</v>
      </c>
      <c r="HR41" s="270">
        <f t="shared" si="129"/>
        <v>1</v>
      </c>
      <c r="HS41" s="427">
        <f t="shared" si="130"/>
        <v>8.0000000000000071E-3</v>
      </c>
      <c r="HT41" s="421">
        <f t="shared" si="131"/>
        <v>1</v>
      </c>
      <c r="HU41" s="270">
        <f t="shared" si="131"/>
        <v>1</v>
      </c>
      <c r="HV41" s="427">
        <f t="shared" si="132"/>
        <v>1.0666666666666675E-2</v>
      </c>
      <c r="HW41" s="421">
        <f t="shared" si="133"/>
        <v>1</v>
      </c>
      <c r="HX41" s="270">
        <f t="shared" si="133"/>
        <v>1</v>
      </c>
      <c r="HY41" s="427">
        <f t="shared" si="134"/>
        <v>1.3333333333333345E-2</v>
      </c>
      <c r="HZ41" s="421">
        <f t="shared" si="135"/>
        <v>1</v>
      </c>
      <c r="IA41" s="270">
        <f t="shared" si="135"/>
        <v>1</v>
      </c>
      <c r="IB41" s="427">
        <f t="shared" si="136"/>
        <v>2.6666666666666689E-2</v>
      </c>
      <c r="IC41" s="421">
        <f t="shared" si="137"/>
        <v>1</v>
      </c>
      <c r="ID41" s="270">
        <f t="shared" si="137"/>
        <v>1</v>
      </c>
      <c r="IE41" s="427">
        <f t="shared" si="138"/>
        <v>5.3333333333333378E-2</v>
      </c>
      <c r="IF41" s="421">
        <f t="shared" si="139"/>
        <v>1</v>
      </c>
      <c r="IG41" s="270">
        <f t="shared" si="139"/>
        <v>1</v>
      </c>
      <c r="IH41" s="427">
        <f t="shared" si="140"/>
        <v>8.0000000000000071E-2</v>
      </c>
      <c r="II41" s="421">
        <f t="shared" si="141"/>
        <v>1</v>
      </c>
      <c r="IJ41" s="270">
        <f t="shared" si="141"/>
        <v>1</v>
      </c>
      <c r="IK41" s="427">
        <f t="shared" si="142"/>
        <v>0.10666666666666676</v>
      </c>
      <c r="IL41" s="421">
        <f t="shared" si="143"/>
        <v>1</v>
      </c>
      <c r="IM41" s="270">
        <f t="shared" si="143"/>
        <v>1</v>
      </c>
      <c r="IN41" s="427">
        <f t="shared" si="144"/>
        <v>0.13333333333333344</v>
      </c>
      <c r="IS41" s="447">
        <f t="shared" si="538"/>
        <v>0</v>
      </c>
      <c r="IT41" s="447">
        <f t="shared" si="538"/>
        <v>0</v>
      </c>
      <c r="IU41" s="447">
        <f t="shared" si="538"/>
        <v>0</v>
      </c>
      <c r="IV41" s="447">
        <f t="shared" si="538"/>
        <v>9.5999999999999992E-3</v>
      </c>
      <c r="IW41" s="447">
        <f t="shared" si="538"/>
        <v>1.2E-2</v>
      </c>
      <c r="IX41" s="447">
        <f t="shared" si="538"/>
        <v>2.4E-2</v>
      </c>
      <c r="IY41" s="447">
        <f t="shared" si="538"/>
        <v>4.8000000000000001E-2</v>
      </c>
      <c r="IZ41" s="447">
        <f t="shared" si="538"/>
        <v>7.1999999999999995E-2</v>
      </c>
      <c r="JA41" s="447">
        <f t="shared" si="538"/>
        <v>9.6000000000000002E-2</v>
      </c>
      <c r="JB41" s="447">
        <f t="shared" si="538"/>
        <v>0.12</v>
      </c>
      <c r="JC41" s="447">
        <f t="shared" si="539"/>
        <v>0.24</v>
      </c>
      <c r="JD41" s="447">
        <f t="shared" si="539"/>
        <v>0.3</v>
      </c>
      <c r="JE41" s="447">
        <f t="shared" si="539"/>
        <v>0.299952</v>
      </c>
      <c r="JF41" s="447">
        <f t="shared" si="539"/>
        <v>0.29990400000000006</v>
      </c>
      <c r="JG41" s="447">
        <f t="shared" si="539"/>
        <v>0.29987999999999998</v>
      </c>
      <c r="JH41" s="447">
        <f t="shared" si="539"/>
        <v>0.29976000000000003</v>
      </c>
      <c r="JI41" s="447">
        <f t="shared" si="539"/>
        <v>0.29952000000000006</v>
      </c>
      <c r="JJ41" s="447">
        <f t="shared" si="539"/>
        <v>0.29952000000000006</v>
      </c>
      <c r="JK41" s="447">
        <f t="shared" si="539"/>
        <v>0.29952000000000006</v>
      </c>
      <c r="JL41" s="447">
        <f t="shared" si="539"/>
        <v>0.29880000000000001</v>
      </c>
      <c r="JU41" s="242">
        <f t="shared" si="198"/>
        <v>4800000</v>
      </c>
      <c r="JV41" s="242">
        <f t="shared" si="199"/>
        <v>4000000</v>
      </c>
      <c r="JW41" s="242">
        <f t="shared" si="216"/>
        <v>0.2</v>
      </c>
      <c r="JX41" s="242">
        <f t="shared" si="200"/>
        <v>5000000</v>
      </c>
      <c r="JY41" s="241">
        <f t="shared" si="217"/>
        <v>0.8</v>
      </c>
      <c r="JZ41" s="241">
        <f t="shared" si="218"/>
        <v>4800000</v>
      </c>
      <c r="KA41" s="241" t="str">
        <f t="shared" si="219"/>
        <v>期望符合预期</v>
      </c>
      <c r="KC41" s="242">
        <f t="shared" si="201"/>
        <v>9600000</v>
      </c>
      <c r="KD41" s="242">
        <f t="shared" si="202"/>
        <v>5000000</v>
      </c>
      <c r="KE41" s="242">
        <f t="shared" si="220"/>
        <v>0.08</v>
      </c>
      <c r="KF41" s="242">
        <f t="shared" si="203"/>
        <v>10000000</v>
      </c>
      <c r="KG41" s="241">
        <f t="shared" si="221"/>
        <v>0.92</v>
      </c>
      <c r="KH41" s="241">
        <f t="shared" si="222"/>
        <v>9600000</v>
      </c>
      <c r="KI41" s="241" t="str">
        <f t="shared" si="223"/>
        <v>期望符合预期</v>
      </c>
      <c r="KK41" s="242">
        <f t="shared" si="204"/>
        <v>14400000</v>
      </c>
      <c r="KL41" s="242">
        <f t="shared" si="205"/>
        <v>10000000</v>
      </c>
      <c r="KM41" s="242">
        <f t="shared" si="224"/>
        <v>0.12</v>
      </c>
      <c r="KN41" s="242">
        <f t="shared" si="206"/>
        <v>15000000</v>
      </c>
      <c r="KO41" s="241">
        <f t="shared" si="225"/>
        <v>0.88</v>
      </c>
      <c r="KP41" s="241">
        <f t="shared" si="226"/>
        <v>14400000</v>
      </c>
      <c r="KQ41" s="241" t="str">
        <f t="shared" si="227"/>
        <v>期望符合预期</v>
      </c>
      <c r="KS41" s="242">
        <f t="shared" si="207"/>
        <v>19200000</v>
      </c>
      <c r="KT41" s="242">
        <f t="shared" si="208"/>
        <v>15000000</v>
      </c>
      <c r="KU41" s="242">
        <f t="shared" si="228"/>
        <v>0.16</v>
      </c>
      <c r="KV41" s="242">
        <f t="shared" si="209"/>
        <v>20000000</v>
      </c>
      <c r="KW41" s="241">
        <f t="shared" si="229"/>
        <v>0.84</v>
      </c>
      <c r="KX41" s="241">
        <f t="shared" si="230"/>
        <v>19200000</v>
      </c>
      <c r="KY41" s="241" t="str">
        <f t="shared" si="231"/>
        <v>期望符合预期</v>
      </c>
      <c r="LA41" s="242">
        <f t="shared" si="210"/>
        <v>24000000</v>
      </c>
      <c r="LB41" s="242">
        <f t="shared" si="211"/>
        <v>20000000</v>
      </c>
      <c r="LC41" s="242">
        <f t="shared" si="232"/>
        <v>0.6</v>
      </c>
      <c r="LD41" s="242">
        <f t="shared" si="212"/>
        <v>30000000</v>
      </c>
      <c r="LE41" s="241">
        <f t="shared" si="233"/>
        <v>0.4</v>
      </c>
      <c r="LF41" s="241">
        <f t="shared" si="234"/>
        <v>24000000</v>
      </c>
      <c r="LG41" s="241" t="str">
        <f t="shared" si="235"/>
        <v>期望符合预期</v>
      </c>
    </row>
    <row r="42" spans="1:319" x14ac:dyDescent="0.35">
      <c r="A42" s="63">
        <v>36</v>
      </c>
      <c r="C42" s="63">
        <v>6</v>
      </c>
      <c r="D42" s="63">
        <v>-1</v>
      </c>
      <c r="E42" s="63">
        <v>240</v>
      </c>
      <c r="F42" s="63">
        <f t="shared" ref="F42" si="553">IF(C42=4,BX42,E42)</f>
        <v>240</v>
      </c>
      <c r="G42" s="63">
        <f t="shared" si="167"/>
        <v>240</v>
      </c>
      <c r="H42" s="63"/>
      <c r="I42" s="265"/>
      <c r="J42" s="63">
        <f t="shared" si="551"/>
        <v>0</v>
      </c>
      <c r="K42" s="63">
        <f t="shared" si="552"/>
        <v>0</v>
      </c>
      <c r="L42" s="63">
        <v>0</v>
      </c>
      <c r="M42" s="266">
        <f>ROUND($BX$7/('全局参数|GlobalPar'!$B$19/10000/E42),6)*(7/5)</f>
        <v>0.16666719999999999</v>
      </c>
      <c r="N42" s="267">
        <v>3</v>
      </c>
      <c r="O42" s="268">
        <f>ROUND(IF(N42&lt;&gt;0,$BX$4/('全局参数|GlobalPar'!$B$19/10000/E42)/N42,0),6)</f>
        <v>0</v>
      </c>
      <c r="P42" s="270">
        <f t="shared" si="386"/>
        <v>4.8000000000000001E-2</v>
      </c>
      <c r="Q42" s="285">
        <f t="shared" si="535"/>
        <v>0</v>
      </c>
      <c r="R42" s="282">
        <v>15</v>
      </c>
      <c r="S42" s="283">
        <v>1</v>
      </c>
      <c r="T42" s="284" t="str">
        <f t="shared" si="21"/>
        <v>[[15,1],[15,1],[15,1],[15,1],[15,1],[15,1],[15,1],[15,1],[15,1],[15,1],[30,2],[60,4],[90,6],[120,8],[150,10],[300,20],[600,40],[900,60],[1200,80],[1500,100]]</v>
      </c>
      <c r="U42" s="284">
        <v>1</v>
      </c>
      <c r="V42" s="284">
        <v>1</v>
      </c>
      <c r="W42" s="284" t="str">
        <f t="shared" si="168"/>
        <v>[[1,1],[1,1],[1,1],[1,1],[1,1],[1,1],[1,1],[1,1],[1,1],[1,1],[1,1],[1,1],[1,1],[1,1],[1,1],[1,1],[1,1],[1,1],[1,1],[1,1]]</v>
      </c>
      <c r="X42" s="63">
        <v>0</v>
      </c>
      <c r="Y42" s="268">
        <v>0</v>
      </c>
      <c r="Z42" s="303">
        <f t="shared" si="541"/>
        <v>0</v>
      </c>
      <c r="AA42" s="303">
        <v>0.06</v>
      </c>
      <c r="AB42" s="303">
        <f t="shared" si="169"/>
        <v>0.1</v>
      </c>
      <c r="AC42" s="304">
        <f t="shared" si="213"/>
        <v>0.05</v>
      </c>
      <c r="AD42" s="303">
        <v>0</v>
      </c>
      <c r="AE42" s="303">
        <v>0</v>
      </c>
      <c r="AF42" s="303">
        <v>0</v>
      </c>
      <c r="AG42" s="63" t="str">
        <f t="shared" si="170"/>
        <v>[[6,5],[6,2],[7,2]]</v>
      </c>
      <c r="AH42" s="256" t="str">
        <f t="shared" si="171"/>
        <v>[0.514286,0.257143,0.171429]</v>
      </c>
      <c r="AI42" s="256">
        <v>0</v>
      </c>
      <c r="AJ42" s="256">
        <v>1</v>
      </c>
      <c r="AK42" s="256">
        <f t="shared" si="243"/>
        <v>1</v>
      </c>
      <c r="AL42" s="256">
        <v>1</v>
      </c>
      <c r="AM42" s="256">
        <f t="shared" si="172"/>
        <v>72</v>
      </c>
      <c r="AN42" s="256" t="s">
        <v>2550</v>
      </c>
      <c r="AO42" s="324">
        <v>12</v>
      </c>
      <c r="AP42" s="63">
        <f>IF(C42=4,1,IF(C42=6,2,-1))</f>
        <v>2</v>
      </c>
      <c r="AQ42" s="63">
        <v>0</v>
      </c>
      <c r="AR42" s="39"/>
      <c r="AS42" s="39"/>
      <c r="AT42" s="39">
        <v>0</v>
      </c>
      <c r="AU42" s="63">
        <v>1</v>
      </c>
      <c r="AV42" s="63">
        <f t="shared" si="536"/>
        <v>1.4925373134328357</v>
      </c>
      <c r="AW42" s="63">
        <v>1</v>
      </c>
      <c r="AX42" s="63">
        <v>1</v>
      </c>
      <c r="AY42" s="63" t="s">
        <v>1743</v>
      </c>
      <c r="BB42" s="328">
        <v>1</v>
      </c>
      <c r="BC42" s="39">
        <v>180</v>
      </c>
      <c r="BD42" s="39">
        <v>0.18</v>
      </c>
      <c r="BE42" s="39">
        <v>0.8</v>
      </c>
      <c r="BF42" s="39">
        <v>1</v>
      </c>
      <c r="BG42" s="39" t="s">
        <v>1746</v>
      </c>
      <c r="BH42" s="245"/>
      <c r="BI42" s="245"/>
      <c r="BJ42" s="334"/>
      <c r="BK42" s="334"/>
      <c r="BL42" s="334"/>
      <c r="BM42" s="334"/>
      <c r="BN42" s="81">
        <f t="shared" si="387"/>
        <v>24</v>
      </c>
      <c r="BO42" s="343">
        <f t="shared" si="542"/>
        <v>6.25</v>
      </c>
      <c r="BP42" s="81"/>
      <c r="BQ42" s="81">
        <f t="shared" si="388"/>
        <v>0.746</v>
      </c>
      <c r="BR42" s="81"/>
      <c r="BS42" s="63">
        <f t="shared" si="543"/>
        <v>240</v>
      </c>
      <c r="BT42" s="63">
        <f>E42*(1+$CA$1)+J42+K42</f>
        <v>254.4</v>
      </c>
      <c r="BV42" s="63">
        <f t="shared" si="544"/>
        <v>0</v>
      </c>
      <c r="CG42" s="371">
        <f t="shared" si="545"/>
        <v>264</v>
      </c>
      <c r="CH42" s="372">
        <f t="shared" si="214"/>
        <v>0.1</v>
      </c>
      <c r="CI42" s="373">
        <v>6</v>
      </c>
      <c r="CJ42" s="143">
        <v>5</v>
      </c>
      <c r="CK42" s="373">
        <v>6</v>
      </c>
      <c r="CL42" s="143">
        <v>2</v>
      </c>
      <c r="CM42" s="373">
        <v>7</v>
      </c>
      <c r="CN42" s="143">
        <v>2</v>
      </c>
      <c r="CO42" s="143">
        <f t="shared" si="174"/>
        <v>6.2222222222222223</v>
      </c>
      <c r="CP42" s="143">
        <f t="shared" si="550"/>
        <v>7.5</v>
      </c>
      <c r="CQ42" s="377">
        <f t="shared" si="176"/>
        <v>0.51428600000000002</v>
      </c>
      <c r="CR42" s="143">
        <f t="shared" si="550"/>
        <v>15</v>
      </c>
      <c r="CS42" s="378">
        <f t="shared" si="177"/>
        <v>0.25714300000000001</v>
      </c>
      <c r="CT42" s="143">
        <f t="shared" si="550"/>
        <v>22.5</v>
      </c>
      <c r="CU42" s="392">
        <f t="shared" si="178"/>
        <v>0.171429</v>
      </c>
      <c r="CW42" s="241">
        <v>2E-3</v>
      </c>
      <c r="CX42" s="396">
        <f t="shared" si="215"/>
        <v>0</v>
      </c>
      <c r="CY42" s="270">
        <f t="shared" si="546"/>
        <v>0</v>
      </c>
      <c r="CZ42" s="394">
        <f t="shared" si="547"/>
        <v>0</v>
      </c>
      <c r="DA42" s="394">
        <f t="shared" si="35"/>
        <v>0</v>
      </c>
      <c r="DB42" s="395">
        <f t="shared" si="179"/>
        <v>0</v>
      </c>
      <c r="DC42" s="419">
        <f t="shared" si="548"/>
        <v>0</v>
      </c>
      <c r="DD42" s="394">
        <f t="shared" si="37"/>
        <v>0</v>
      </c>
      <c r="DE42" s="420" t="e">
        <f t="shared" si="549"/>
        <v>#DIV/0!</v>
      </c>
      <c r="DF42" s="421">
        <f t="shared" si="180"/>
        <v>15</v>
      </c>
      <c r="DG42" s="422">
        <f t="shared" si="181"/>
        <v>1</v>
      </c>
      <c r="DH42" s="284"/>
      <c r="DI42" s="282">
        <v>15</v>
      </c>
      <c r="DJ42" s="283">
        <v>1</v>
      </c>
      <c r="DL42" s="431"/>
      <c r="DM42" s="242"/>
      <c r="DQ42" s="427"/>
      <c r="DR42" s="421">
        <v>15</v>
      </c>
      <c r="DS42" s="270">
        <v>1</v>
      </c>
      <c r="DT42" s="427">
        <f t="shared" si="39"/>
        <v>2.6666666666666696E-3</v>
      </c>
      <c r="DU42" s="421">
        <f t="shared" si="40"/>
        <v>15</v>
      </c>
      <c r="DV42" s="270">
        <f t="shared" si="182"/>
        <v>1</v>
      </c>
      <c r="DW42" s="427">
        <f t="shared" si="42"/>
        <v>5.3333333333333392E-3</v>
      </c>
      <c r="DX42" s="421">
        <f t="shared" si="43"/>
        <v>15</v>
      </c>
      <c r="DY42" s="270">
        <f t="shared" si="183"/>
        <v>1</v>
      </c>
      <c r="DZ42" s="427">
        <f t="shared" si="45"/>
        <v>8.0000000000000088E-3</v>
      </c>
      <c r="EA42" s="421">
        <f t="shared" si="184"/>
        <v>15</v>
      </c>
      <c r="EB42" s="270">
        <f t="shared" si="185"/>
        <v>1</v>
      </c>
      <c r="EC42" s="427">
        <f t="shared" si="48"/>
        <v>1.0666666666666678E-2</v>
      </c>
      <c r="ED42" s="421">
        <f t="shared" si="186"/>
        <v>15</v>
      </c>
      <c r="EE42" s="270">
        <f t="shared" si="187"/>
        <v>1</v>
      </c>
      <c r="EF42" s="427">
        <f t="shared" si="51"/>
        <v>1.3333333333333348E-2</v>
      </c>
      <c r="EG42" s="421">
        <f t="shared" si="188"/>
        <v>15</v>
      </c>
      <c r="EH42" s="270">
        <f t="shared" si="189"/>
        <v>1</v>
      </c>
      <c r="EI42" s="427">
        <f t="shared" si="54"/>
        <v>2.6666666666666696E-2</v>
      </c>
      <c r="EJ42" s="421">
        <f t="shared" si="190"/>
        <v>15</v>
      </c>
      <c r="EK42" s="270">
        <f t="shared" si="191"/>
        <v>1</v>
      </c>
      <c r="EL42" s="427">
        <f t="shared" si="57"/>
        <v>5.3333333333333392E-2</v>
      </c>
      <c r="EM42" s="421">
        <f t="shared" si="192"/>
        <v>15</v>
      </c>
      <c r="EN42" s="270">
        <f t="shared" si="193"/>
        <v>1</v>
      </c>
      <c r="EO42" s="427">
        <f t="shared" si="60"/>
        <v>8.0000000000000085E-2</v>
      </c>
      <c r="EP42" s="421">
        <f t="shared" si="194"/>
        <v>15</v>
      </c>
      <c r="EQ42" s="270">
        <f t="shared" si="195"/>
        <v>1</v>
      </c>
      <c r="ER42" s="427">
        <f t="shared" si="63"/>
        <v>0.10666666666666678</v>
      </c>
      <c r="ES42" s="421">
        <f t="shared" si="196"/>
        <v>15</v>
      </c>
      <c r="ET42" s="270">
        <f t="shared" si="197"/>
        <v>1</v>
      </c>
      <c r="EU42" s="427">
        <f t="shared" si="66"/>
        <v>0.13333333333333347</v>
      </c>
      <c r="EV42" s="421">
        <f t="shared" si="67"/>
        <v>30</v>
      </c>
      <c r="EW42" s="270">
        <f t="shared" si="68"/>
        <v>2</v>
      </c>
      <c r="EX42" s="427">
        <f t="shared" si="69"/>
        <v>0.13333333333333347</v>
      </c>
      <c r="EY42" s="421">
        <f t="shared" si="70"/>
        <v>60</v>
      </c>
      <c r="EZ42" s="270">
        <f t="shared" si="71"/>
        <v>4</v>
      </c>
      <c r="FA42" s="427">
        <f t="shared" si="72"/>
        <v>0.13333333333333347</v>
      </c>
      <c r="FB42" s="421">
        <f t="shared" si="73"/>
        <v>90</v>
      </c>
      <c r="FC42" s="270">
        <f t="shared" si="74"/>
        <v>6</v>
      </c>
      <c r="FD42" s="427">
        <f t="shared" si="75"/>
        <v>0.13333333333333347</v>
      </c>
      <c r="FE42" s="421">
        <f t="shared" si="76"/>
        <v>120</v>
      </c>
      <c r="FF42" s="270">
        <f t="shared" si="77"/>
        <v>8</v>
      </c>
      <c r="FG42" s="427">
        <f t="shared" si="78"/>
        <v>0.13333333333333347</v>
      </c>
      <c r="FH42" s="421">
        <f t="shared" si="79"/>
        <v>150</v>
      </c>
      <c r="FI42" s="270">
        <f t="shared" si="80"/>
        <v>10</v>
      </c>
      <c r="FJ42" s="427">
        <f t="shared" si="81"/>
        <v>0.13333333333333347</v>
      </c>
      <c r="FK42" s="421">
        <f t="shared" si="82"/>
        <v>300</v>
      </c>
      <c r="FL42" s="270">
        <f t="shared" si="83"/>
        <v>20</v>
      </c>
      <c r="FM42" s="427">
        <f t="shared" si="84"/>
        <v>0.13333333333333347</v>
      </c>
      <c r="FN42" s="421">
        <f t="shared" si="85"/>
        <v>600</v>
      </c>
      <c r="FO42" s="270">
        <f t="shared" si="86"/>
        <v>40</v>
      </c>
      <c r="FP42" s="427">
        <f t="shared" si="87"/>
        <v>0.13333333333333347</v>
      </c>
      <c r="FQ42" s="421">
        <f t="shared" si="88"/>
        <v>900</v>
      </c>
      <c r="FR42" s="270">
        <f t="shared" si="89"/>
        <v>60</v>
      </c>
      <c r="FS42" s="427">
        <f t="shared" si="90"/>
        <v>0.13333333333333347</v>
      </c>
      <c r="FT42" s="421">
        <f t="shared" si="91"/>
        <v>1200</v>
      </c>
      <c r="FU42" s="270">
        <f t="shared" si="92"/>
        <v>80</v>
      </c>
      <c r="FV42" s="427">
        <f t="shared" si="93"/>
        <v>0.13333333333333347</v>
      </c>
      <c r="FW42" s="421">
        <f t="shared" si="94"/>
        <v>1500</v>
      </c>
      <c r="FX42" s="270">
        <f t="shared" si="95"/>
        <v>100</v>
      </c>
      <c r="FY42" s="427">
        <f t="shared" si="96"/>
        <v>0.13333333333333347</v>
      </c>
      <c r="GA42" s="431"/>
      <c r="GB42" s="242"/>
      <c r="GF42" s="427"/>
      <c r="GG42" s="421">
        <v>1</v>
      </c>
      <c r="GH42" s="270">
        <v>1</v>
      </c>
      <c r="GI42" s="427">
        <f t="shared" si="97"/>
        <v>2.6666666666666687E-5</v>
      </c>
      <c r="GJ42" s="421">
        <f t="shared" si="98"/>
        <v>1</v>
      </c>
      <c r="GK42" s="270">
        <f t="shared" si="99"/>
        <v>1</v>
      </c>
      <c r="GL42" s="427">
        <f t="shared" si="100"/>
        <v>5.3333333333333374E-5</v>
      </c>
      <c r="GM42" s="421">
        <f t="shared" si="101"/>
        <v>1</v>
      </c>
      <c r="GN42" s="270">
        <f t="shared" si="102"/>
        <v>1</v>
      </c>
      <c r="GO42" s="427">
        <f t="shared" si="103"/>
        <v>8.0000000000000061E-5</v>
      </c>
      <c r="GP42" s="421">
        <f t="shared" si="104"/>
        <v>1</v>
      </c>
      <c r="GQ42" s="270">
        <f t="shared" si="105"/>
        <v>1</v>
      </c>
      <c r="GR42" s="427">
        <f t="shared" si="106"/>
        <v>1.0666666666666675E-4</v>
      </c>
      <c r="GS42" s="421">
        <f t="shared" si="107"/>
        <v>1</v>
      </c>
      <c r="GT42" s="270">
        <f t="shared" si="108"/>
        <v>1</v>
      </c>
      <c r="GU42" s="427">
        <f t="shared" si="109"/>
        <v>1.3333333333333345E-4</v>
      </c>
      <c r="GV42" s="421">
        <f t="shared" si="110"/>
        <v>1</v>
      </c>
      <c r="GW42" s="270">
        <f t="shared" si="111"/>
        <v>1</v>
      </c>
      <c r="GX42" s="427">
        <f t="shared" si="112"/>
        <v>2.666666666666669E-4</v>
      </c>
      <c r="GY42" s="421">
        <f t="shared" si="113"/>
        <v>1</v>
      </c>
      <c r="GZ42" s="270">
        <f t="shared" si="114"/>
        <v>1</v>
      </c>
      <c r="HA42" s="427">
        <f t="shared" si="115"/>
        <v>5.3333333333333379E-4</v>
      </c>
      <c r="HB42" s="421">
        <f t="shared" si="116"/>
        <v>1</v>
      </c>
      <c r="HC42" s="270">
        <f t="shared" si="117"/>
        <v>1</v>
      </c>
      <c r="HD42" s="427">
        <f t="shared" si="118"/>
        <v>8.0000000000000069E-4</v>
      </c>
      <c r="HE42" s="421">
        <f t="shared" si="119"/>
        <v>1</v>
      </c>
      <c r="HF42" s="270">
        <f t="shared" si="120"/>
        <v>1</v>
      </c>
      <c r="HG42" s="427">
        <f t="shared" si="121"/>
        <v>1.0666666666666676E-3</v>
      </c>
      <c r="HH42" s="421">
        <f t="shared" si="122"/>
        <v>1</v>
      </c>
      <c r="HI42" s="270">
        <f t="shared" si="123"/>
        <v>1</v>
      </c>
      <c r="HJ42" s="427">
        <f t="shared" si="124"/>
        <v>1.3333333333333344E-3</v>
      </c>
      <c r="HK42" s="421">
        <f t="shared" si="125"/>
        <v>1</v>
      </c>
      <c r="HL42" s="270">
        <f t="shared" si="125"/>
        <v>1</v>
      </c>
      <c r="HM42" s="427">
        <f t="shared" si="126"/>
        <v>2.6666666666666687E-3</v>
      </c>
      <c r="HN42" s="421">
        <f t="shared" si="127"/>
        <v>1</v>
      </c>
      <c r="HO42" s="270">
        <f t="shared" si="127"/>
        <v>1</v>
      </c>
      <c r="HP42" s="427">
        <f t="shared" si="128"/>
        <v>5.3333333333333375E-3</v>
      </c>
      <c r="HQ42" s="421">
        <f t="shared" si="129"/>
        <v>1</v>
      </c>
      <c r="HR42" s="270">
        <f t="shared" si="129"/>
        <v>1</v>
      </c>
      <c r="HS42" s="427">
        <f t="shared" si="130"/>
        <v>8.0000000000000071E-3</v>
      </c>
      <c r="HT42" s="421">
        <f t="shared" si="131"/>
        <v>1</v>
      </c>
      <c r="HU42" s="270">
        <f t="shared" si="131"/>
        <v>1</v>
      </c>
      <c r="HV42" s="427">
        <f t="shared" si="132"/>
        <v>1.0666666666666675E-2</v>
      </c>
      <c r="HW42" s="421">
        <f t="shared" si="133"/>
        <v>1</v>
      </c>
      <c r="HX42" s="270">
        <f t="shared" si="133"/>
        <v>1</v>
      </c>
      <c r="HY42" s="427">
        <f t="shared" si="134"/>
        <v>1.3333333333333345E-2</v>
      </c>
      <c r="HZ42" s="421">
        <f t="shared" si="135"/>
        <v>1</v>
      </c>
      <c r="IA42" s="270">
        <f t="shared" si="135"/>
        <v>1</v>
      </c>
      <c r="IB42" s="427">
        <f t="shared" si="136"/>
        <v>2.6666666666666689E-2</v>
      </c>
      <c r="IC42" s="421">
        <f t="shared" si="137"/>
        <v>1</v>
      </c>
      <c r="ID42" s="270">
        <f t="shared" si="137"/>
        <v>1</v>
      </c>
      <c r="IE42" s="427">
        <f t="shared" si="138"/>
        <v>5.3333333333333378E-2</v>
      </c>
      <c r="IF42" s="421">
        <f t="shared" si="139"/>
        <v>1</v>
      </c>
      <c r="IG42" s="270">
        <f t="shared" si="139"/>
        <v>1</v>
      </c>
      <c r="IH42" s="427">
        <f t="shared" si="140"/>
        <v>8.0000000000000071E-2</v>
      </c>
      <c r="II42" s="421">
        <f t="shared" si="141"/>
        <v>1</v>
      </c>
      <c r="IJ42" s="270">
        <f t="shared" si="141"/>
        <v>1</v>
      </c>
      <c r="IK42" s="427">
        <f t="shared" si="142"/>
        <v>0.10666666666666676</v>
      </c>
      <c r="IL42" s="421">
        <f t="shared" si="143"/>
        <v>1</v>
      </c>
      <c r="IM42" s="270">
        <f t="shared" si="143"/>
        <v>1</v>
      </c>
      <c r="IN42" s="427">
        <f t="shared" si="144"/>
        <v>0.13333333333333344</v>
      </c>
      <c r="IS42" s="447">
        <f t="shared" si="538"/>
        <v>0</v>
      </c>
      <c r="IT42" s="447">
        <f t="shared" si="538"/>
        <v>0</v>
      </c>
      <c r="IU42" s="447">
        <f t="shared" si="538"/>
        <v>0</v>
      </c>
      <c r="IV42" s="447">
        <f t="shared" si="538"/>
        <v>9.5999999999999992E-3</v>
      </c>
      <c r="IW42" s="447">
        <f t="shared" si="538"/>
        <v>1.2E-2</v>
      </c>
      <c r="IX42" s="447">
        <f t="shared" si="538"/>
        <v>2.4E-2</v>
      </c>
      <c r="IY42" s="447">
        <f t="shared" si="538"/>
        <v>4.8000000000000001E-2</v>
      </c>
      <c r="IZ42" s="447">
        <f t="shared" si="538"/>
        <v>7.1999999999999995E-2</v>
      </c>
      <c r="JA42" s="447">
        <f t="shared" si="538"/>
        <v>9.6000000000000002E-2</v>
      </c>
      <c r="JB42" s="447">
        <f t="shared" si="538"/>
        <v>0.12</v>
      </c>
      <c r="JC42" s="447">
        <f t="shared" si="539"/>
        <v>0.24</v>
      </c>
      <c r="JD42" s="447">
        <f t="shared" si="539"/>
        <v>0.3</v>
      </c>
      <c r="JE42" s="447">
        <f t="shared" si="539"/>
        <v>0.299952</v>
      </c>
      <c r="JF42" s="447">
        <f t="shared" si="539"/>
        <v>0.29990400000000006</v>
      </c>
      <c r="JG42" s="447">
        <f t="shared" si="539"/>
        <v>0.29987999999999998</v>
      </c>
      <c r="JH42" s="447">
        <f t="shared" si="539"/>
        <v>0.29976000000000003</v>
      </c>
      <c r="JI42" s="447">
        <f t="shared" si="539"/>
        <v>0.29952000000000006</v>
      </c>
      <c r="JJ42" s="447">
        <f t="shared" si="539"/>
        <v>0.29952000000000006</v>
      </c>
      <c r="JK42" s="447">
        <f t="shared" si="539"/>
        <v>0.29952000000000006</v>
      </c>
      <c r="JL42" s="447">
        <f t="shared" si="539"/>
        <v>0.29880000000000001</v>
      </c>
      <c r="JU42" s="242">
        <f t="shared" si="198"/>
        <v>4800000</v>
      </c>
      <c r="JV42" s="242">
        <f t="shared" si="199"/>
        <v>4000000</v>
      </c>
      <c r="JW42" s="242">
        <f t="shared" si="216"/>
        <v>0.2</v>
      </c>
      <c r="JX42" s="242">
        <f t="shared" si="200"/>
        <v>5000000</v>
      </c>
      <c r="JY42" s="241">
        <f t="shared" si="217"/>
        <v>0.8</v>
      </c>
      <c r="JZ42" s="241">
        <f t="shared" si="218"/>
        <v>4800000</v>
      </c>
      <c r="KA42" s="241" t="str">
        <f t="shared" si="219"/>
        <v>期望符合预期</v>
      </c>
      <c r="KC42" s="242">
        <f t="shared" si="201"/>
        <v>9600000</v>
      </c>
      <c r="KD42" s="242">
        <f t="shared" si="202"/>
        <v>5000000</v>
      </c>
      <c r="KE42" s="242">
        <f t="shared" si="220"/>
        <v>0.08</v>
      </c>
      <c r="KF42" s="242">
        <f t="shared" si="203"/>
        <v>10000000</v>
      </c>
      <c r="KG42" s="241">
        <f t="shared" si="221"/>
        <v>0.92</v>
      </c>
      <c r="KH42" s="241">
        <f t="shared" si="222"/>
        <v>9600000</v>
      </c>
      <c r="KI42" s="241" t="str">
        <f t="shared" si="223"/>
        <v>期望符合预期</v>
      </c>
      <c r="KK42" s="242">
        <f t="shared" si="204"/>
        <v>14400000</v>
      </c>
      <c r="KL42" s="242">
        <f t="shared" si="205"/>
        <v>10000000</v>
      </c>
      <c r="KM42" s="242">
        <f t="shared" si="224"/>
        <v>0.12</v>
      </c>
      <c r="KN42" s="242">
        <f t="shared" si="206"/>
        <v>15000000</v>
      </c>
      <c r="KO42" s="241">
        <f t="shared" si="225"/>
        <v>0.88</v>
      </c>
      <c r="KP42" s="241">
        <f t="shared" si="226"/>
        <v>14400000</v>
      </c>
      <c r="KQ42" s="241" t="str">
        <f t="shared" si="227"/>
        <v>期望符合预期</v>
      </c>
      <c r="KS42" s="242">
        <f t="shared" si="207"/>
        <v>19200000</v>
      </c>
      <c r="KT42" s="242">
        <f t="shared" si="208"/>
        <v>15000000</v>
      </c>
      <c r="KU42" s="242">
        <f t="shared" si="228"/>
        <v>0.16</v>
      </c>
      <c r="KV42" s="242">
        <f t="shared" si="209"/>
        <v>20000000</v>
      </c>
      <c r="KW42" s="241">
        <f t="shared" si="229"/>
        <v>0.84</v>
      </c>
      <c r="KX42" s="241">
        <f t="shared" si="230"/>
        <v>19200000</v>
      </c>
      <c r="KY42" s="241" t="str">
        <f t="shared" si="231"/>
        <v>期望符合预期</v>
      </c>
      <c r="LA42" s="242">
        <f t="shared" si="210"/>
        <v>24000000</v>
      </c>
      <c r="LB42" s="242">
        <f t="shared" si="211"/>
        <v>20000000</v>
      </c>
      <c r="LC42" s="242">
        <f t="shared" si="232"/>
        <v>0.6</v>
      </c>
      <c r="LD42" s="242">
        <f t="shared" si="212"/>
        <v>30000000</v>
      </c>
      <c r="LE42" s="241">
        <f t="shared" si="233"/>
        <v>0.4</v>
      </c>
      <c r="LF42" s="241">
        <f t="shared" si="234"/>
        <v>24000000</v>
      </c>
      <c r="LG42" s="241" t="str">
        <f t="shared" si="235"/>
        <v>期望符合预期</v>
      </c>
    </row>
    <row r="43" spans="1:319" ht="16.2" x14ac:dyDescent="0.4">
      <c r="A43" s="63">
        <v>37</v>
      </c>
      <c r="B43" s="254" t="s">
        <v>1748</v>
      </c>
      <c r="C43" s="63">
        <v>6</v>
      </c>
      <c r="D43" s="63">
        <v>11</v>
      </c>
      <c r="E43" s="63">
        <v>650</v>
      </c>
      <c r="F43" s="256" t="s">
        <v>1749</v>
      </c>
      <c r="G43" s="63">
        <f t="shared" si="167"/>
        <v>650</v>
      </c>
      <c r="H43" s="63"/>
      <c r="I43" s="265"/>
      <c r="J43" s="63">
        <f t="shared" si="551"/>
        <v>0</v>
      </c>
      <c r="K43" s="63">
        <f t="shared" si="552"/>
        <v>0</v>
      </c>
      <c r="L43" s="63">
        <v>0</v>
      </c>
      <c r="M43" s="271">
        <f>ROUND($BX$7/('全局参数|GlobalPar'!$B$19/10000/E43),6)*(7/5)*0</f>
        <v>0</v>
      </c>
      <c r="N43" s="267">
        <v>5</v>
      </c>
      <c r="O43" s="268">
        <f>ROUND(IF(N43&lt;&gt;0,$BX$4/('全局参数|GlobalPar'!$B$19/10000/E43)/N43,0),6)</f>
        <v>0</v>
      </c>
      <c r="P43" s="270">
        <f t="shared" si="386"/>
        <v>0</v>
      </c>
      <c r="Q43" s="285">
        <f t="shared" si="535"/>
        <v>0</v>
      </c>
      <c r="R43" s="282">
        <v>15</v>
      </c>
      <c r="S43" s="283">
        <v>1</v>
      </c>
      <c r="T43" s="284" t="str">
        <f t="shared" si="21"/>
        <v>[[0,1],[0,1],[0,1],[0,1],[0,1],[0,1],[0,1],[0,1],[0,1],[0,1],[0,2],[0,4],[0,6],[0,8],[0,10],[0,20],[0,40],[0,60],[0,80],[0,100]]</v>
      </c>
      <c r="U43" s="284">
        <v>1</v>
      </c>
      <c r="V43" s="284">
        <v>1</v>
      </c>
      <c r="W43" s="284" t="str">
        <f t="shared" si="168"/>
        <v>[[0,1],[0,1],[0,1],[0,1],[0,1],[0,1],[0,1],[0,1],[0,1],[0,1],[0,1],[0,1],[0,1],[0,1],[0,1],[0,1],[0,1],[0,1],[0,1],[0,1]]</v>
      </c>
      <c r="X43" s="63">
        <v>0</v>
      </c>
      <c r="Y43" s="305">
        <v>0</v>
      </c>
      <c r="Z43" s="303">
        <f t="shared" si="541"/>
        <v>0</v>
      </c>
      <c r="AA43" s="303">
        <v>0</v>
      </c>
      <c r="AB43" s="303">
        <f t="shared" si="169"/>
        <v>0</v>
      </c>
      <c r="AC43" s="304">
        <v>0</v>
      </c>
      <c r="AD43" s="303">
        <v>0</v>
      </c>
      <c r="AE43" s="303">
        <v>0</v>
      </c>
      <c r="AF43" s="303">
        <v>0</v>
      </c>
      <c r="AG43" s="63" t="str">
        <f t="shared" si="170"/>
        <v>[[6,5],[6,2],[7,2]]</v>
      </c>
      <c r="AH43" s="256" t="str">
        <f t="shared" si="171"/>
        <v>[0,0,0]</v>
      </c>
      <c r="AI43" s="256">
        <v>0</v>
      </c>
      <c r="AJ43" s="256">
        <v>1</v>
      </c>
      <c r="AK43" s="256">
        <f t="shared" si="243"/>
        <v>1</v>
      </c>
      <c r="AL43" s="256">
        <v>1</v>
      </c>
      <c r="AM43" s="256">
        <f t="shared" si="172"/>
        <v>195</v>
      </c>
      <c r="AN43" s="256" t="s">
        <v>2550</v>
      </c>
      <c r="AO43" s="324">
        <v>12</v>
      </c>
      <c r="AP43" s="63">
        <v>5</v>
      </c>
      <c r="AQ43" s="63">
        <v>0</v>
      </c>
      <c r="AR43" s="39">
        <v>3</v>
      </c>
      <c r="AS43" s="39">
        <v>6</v>
      </c>
      <c r="AT43" s="39">
        <v>0</v>
      </c>
      <c r="AU43" s="63">
        <v>1.2</v>
      </c>
      <c r="AV43" s="63">
        <f t="shared" si="536"/>
        <v>1.7910447761194028</v>
      </c>
      <c r="AW43" s="63">
        <v>1</v>
      </c>
      <c r="AX43" s="63">
        <v>1</v>
      </c>
      <c r="AY43" s="63" t="s">
        <v>1750</v>
      </c>
      <c r="AZ43" s="39">
        <v>2</v>
      </c>
      <c r="BA43" s="39">
        <v>1</v>
      </c>
      <c r="BB43" s="328">
        <v>1</v>
      </c>
      <c r="BC43" s="39">
        <v>650</v>
      </c>
      <c r="BD43" s="39">
        <v>0.18</v>
      </c>
      <c r="BE43" s="39">
        <v>0.8</v>
      </c>
      <c r="BF43" s="39">
        <v>1</v>
      </c>
      <c r="BG43" s="39" t="s">
        <v>1751</v>
      </c>
      <c r="BH43" s="331" t="s">
        <v>1752</v>
      </c>
      <c r="BI43" s="331" t="s">
        <v>1753</v>
      </c>
      <c r="BJ43" s="265" t="s">
        <v>548</v>
      </c>
      <c r="BK43" s="265" t="s">
        <v>425</v>
      </c>
      <c r="BL43" s="265" t="s">
        <v>1754</v>
      </c>
      <c r="BM43" s="265" t="s">
        <v>1755</v>
      </c>
      <c r="BN43" s="81">
        <f t="shared" si="387"/>
        <v>65</v>
      </c>
      <c r="BO43" s="343">
        <f t="shared" si="542"/>
        <v>2.3076923076923075</v>
      </c>
      <c r="BP43" s="81" t="s">
        <v>1606</v>
      </c>
      <c r="BQ43" s="81">
        <f t="shared" si="388"/>
        <v>0.89600000000000002</v>
      </c>
      <c r="BR43" s="81"/>
      <c r="BS43" s="63">
        <f t="shared" si="543"/>
        <v>650</v>
      </c>
      <c r="BT43" s="63">
        <f>E43*(1+$CA$1)+J43+K43</f>
        <v>689</v>
      </c>
      <c r="BV43" s="63">
        <f t="shared" si="544"/>
        <v>0</v>
      </c>
      <c r="CG43" s="371">
        <f t="shared" si="545"/>
        <v>715.00000000000011</v>
      </c>
      <c r="CH43" s="372">
        <v>0</v>
      </c>
      <c r="CI43" s="373">
        <v>6</v>
      </c>
      <c r="CJ43" s="143">
        <v>5</v>
      </c>
      <c r="CK43" s="373">
        <v>6</v>
      </c>
      <c r="CL43" s="143">
        <v>2</v>
      </c>
      <c r="CM43" s="373">
        <v>7</v>
      </c>
      <c r="CN43" s="143">
        <v>2</v>
      </c>
      <c r="CO43" s="143">
        <f t="shared" si="174"/>
        <v>6.2222222222222223</v>
      </c>
      <c r="CP43" s="143">
        <f t="shared" si="550"/>
        <v>7.5</v>
      </c>
      <c r="CQ43" s="377">
        <f t="shared" si="176"/>
        <v>0</v>
      </c>
      <c r="CR43" s="143">
        <f t="shared" si="550"/>
        <v>15</v>
      </c>
      <c r="CS43" s="378">
        <f t="shared" si="177"/>
        <v>0</v>
      </c>
      <c r="CT43" s="143">
        <f t="shared" si="550"/>
        <v>22.5</v>
      </c>
      <c r="CU43" s="392">
        <f t="shared" si="178"/>
        <v>0</v>
      </c>
      <c r="CW43" s="241">
        <v>2E-3</v>
      </c>
      <c r="CX43" s="396">
        <f t="shared" si="215"/>
        <v>0</v>
      </c>
      <c r="CY43" s="270">
        <f t="shared" si="546"/>
        <v>0</v>
      </c>
      <c r="CZ43" s="394">
        <f t="shared" si="547"/>
        <v>0</v>
      </c>
      <c r="DA43" s="394">
        <f t="shared" si="35"/>
        <v>0</v>
      </c>
      <c r="DB43" s="395">
        <f t="shared" si="179"/>
        <v>0</v>
      </c>
      <c r="DC43" s="419">
        <f t="shared" si="548"/>
        <v>0</v>
      </c>
      <c r="DD43" s="394">
        <f t="shared" si="37"/>
        <v>0</v>
      </c>
      <c r="DE43" s="420" t="e">
        <f t="shared" si="549"/>
        <v>#DIV/0!</v>
      </c>
      <c r="DF43" s="421">
        <f t="shared" si="180"/>
        <v>15</v>
      </c>
      <c r="DG43" s="422">
        <f t="shared" si="181"/>
        <v>1</v>
      </c>
      <c r="DH43" s="284"/>
      <c r="DI43" s="282">
        <v>15</v>
      </c>
      <c r="DJ43" s="283">
        <v>1</v>
      </c>
      <c r="DL43" s="431"/>
      <c r="DM43" s="242"/>
      <c r="DQ43" s="427"/>
      <c r="DR43" s="421">
        <v>0</v>
      </c>
      <c r="DS43" s="270">
        <v>1</v>
      </c>
      <c r="DT43" s="427">
        <f t="shared" si="39"/>
        <v>0</v>
      </c>
      <c r="DU43" s="421">
        <f t="shared" si="40"/>
        <v>0</v>
      </c>
      <c r="DV43" s="270">
        <f t="shared" si="182"/>
        <v>1</v>
      </c>
      <c r="DW43" s="427">
        <f t="shared" si="42"/>
        <v>0</v>
      </c>
      <c r="DX43" s="421">
        <f t="shared" si="43"/>
        <v>0</v>
      </c>
      <c r="DY43" s="270">
        <f t="shared" si="183"/>
        <v>1</v>
      </c>
      <c r="DZ43" s="427">
        <f t="shared" si="45"/>
        <v>0</v>
      </c>
      <c r="EA43" s="421">
        <f t="shared" si="184"/>
        <v>0</v>
      </c>
      <c r="EB43" s="270">
        <f t="shared" si="185"/>
        <v>1</v>
      </c>
      <c r="EC43" s="427">
        <f t="shared" si="48"/>
        <v>0</v>
      </c>
      <c r="ED43" s="421">
        <f t="shared" si="186"/>
        <v>0</v>
      </c>
      <c r="EE43" s="270">
        <f t="shared" si="187"/>
        <v>1</v>
      </c>
      <c r="EF43" s="427">
        <f t="shared" si="51"/>
        <v>0</v>
      </c>
      <c r="EG43" s="421">
        <f t="shared" si="188"/>
        <v>0</v>
      </c>
      <c r="EH43" s="270">
        <f t="shared" si="189"/>
        <v>1</v>
      </c>
      <c r="EI43" s="427">
        <f t="shared" si="54"/>
        <v>0</v>
      </c>
      <c r="EJ43" s="421">
        <f t="shared" si="190"/>
        <v>0</v>
      </c>
      <c r="EK43" s="270">
        <f t="shared" si="191"/>
        <v>1</v>
      </c>
      <c r="EL43" s="427">
        <f t="shared" si="57"/>
        <v>0</v>
      </c>
      <c r="EM43" s="421">
        <f t="shared" si="192"/>
        <v>0</v>
      </c>
      <c r="EN43" s="270">
        <f t="shared" si="193"/>
        <v>1</v>
      </c>
      <c r="EO43" s="427">
        <f t="shared" si="60"/>
        <v>0</v>
      </c>
      <c r="EP43" s="421">
        <f t="shared" si="194"/>
        <v>0</v>
      </c>
      <c r="EQ43" s="270">
        <f t="shared" si="195"/>
        <v>1</v>
      </c>
      <c r="ER43" s="427">
        <f t="shared" si="63"/>
        <v>0</v>
      </c>
      <c r="ES43" s="421">
        <f t="shared" si="196"/>
        <v>0</v>
      </c>
      <c r="ET43" s="270">
        <f t="shared" si="197"/>
        <v>1</v>
      </c>
      <c r="EU43" s="427">
        <f t="shared" si="66"/>
        <v>0</v>
      </c>
      <c r="EV43" s="421">
        <f t="shared" si="67"/>
        <v>0</v>
      </c>
      <c r="EW43" s="270">
        <f t="shared" si="68"/>
        <v>2</v>
      </c>
      <c r="EX43" s="427">
        <f t="shared" si="69"/>
        <v>0</v>
      </c>
      <c r="EY43" s="421">
        <f t="shared" si="70"/>
        <v>0</v>
      </c>
      <c r="EZ43" s="270">
        <f t="shared" si="71"/>
        <v>4</v>
      </c>
      <c r="FA43" s="427">
        <f t="shared" si="72"/>
        <v>0</v>
      </c>
      <c r="FB43" s="421">
        <f t="shared" si="73"/>
        <v>0</v>
      </c>
      <c r="FC43" s="270">
        <f t="shared" si="74"/>
        <v>6</v>
      </c>
      <c r="FD43" s="427">
        <f t="shared" si="75"/>
        <v>0</v>
      </c>
      <c r="FE43" s="421">
        <f t="shared" si="76"/>
        <v>0</v>
      </c>
      <c r="FF43" s="270">
        <f t="shared" si="77"/>
        <v>8</v>
      </c>
      <c r="FG43" s="427">
        <f t="shared" si="78"/>
        <v>0</v>
      </c>
      <c r="FH43" s="421">
        <f t="shared" si="79"/>
        <v>0</v>
      </c>
      <c r="FI43" s="270">
        <f t="shared" si="80"/>
        <v>10</v>
      </c>
      <c r="FJ43" s="427">
        <f t="shared" si="81"/>
        <v>0</v>
      </c>
      <c r="FK43" s="421">
        <f t="shared" si="82"/>
        <v>0</v>
      </c>
      <c r="FL43" s="270">
        <f t="shared" si="83"/>
        <v>20</v>
      </c>
      <c r="FM43" s="427">
        <f t="shared" si="84"/>
        <v>0</v>
      </c>
      <c r="FN43" s="421">
        <f t="shared" si="85"/>
        <v>0</v>
      </c>
      <c r="FO43" s="270">
        <f t="shared" si="86"/>
        <v>40</v>
      </c>
      <c r="FP43" s="427">
        <f t="shared" si="87"/>
        <v>0</v>
      </c>
      <c r="FQ43" s="421">
        <f t="shared" si="88"/>
        <v>0</v>
      </c>
      <c r="FR43" s="270">
        <f t="shared" si="89"/>
        <v>60</v>
      </c>
      <c r="FS43" s="427">
        <f t="shared" si="90"/>
        <v>0</v>
      </c>
      <c r="FT43" s="421">
        <f t="shared" si="91"/>
        <v>0</v>
      </c>
      <c r="FU43" s="270">
        <f t="shared" si="92"/>
        <v>80</v>
      </c>
      <c r="FV43" s="427">
        <f t="shared" si="93"/>
        <v>0</v>
      </c>
      <c r="FW43" s="421">
        <f t="shared" si="94"/>
        <v>0</v>
      </c>
      <c r="FX43" s="270">
        <f t="shared" si="95"/>
        <v>100</v>
      </c>
      <c r="FY43" s="427">
        <f t="shared" si="96"/>
        <v>0</v>
      </c>
      <c r="GA43" s="431"/>
      <c r="GB43" s="242"/>
      <c r="GF43" s="427"/>
      <c r="GG43" s="421">
        <v>0</v>
      </c>
      <c r="GH43" s="270">
        <v>1</v>
      </c>
      <c r="GI43" s="427">
        <f t="shared" si="97"/>
        <v>0</v>
      </c>
      <c r="GJ43" s="421">
        <f t="shared" si="98"/>
        <v>0</v>
      </c>
      <c r="GK43" s="270">
        <f t="shared" si="99"/>
        <v>1</v>
      </c>
      <c r="GL43" s="427">
        <f t="shared" si="100"/>
        <v>0</v>
      </c>
      <c r="GM43" s="421">
        <f t="shared" si="101"/>
        <v>0</v>
      </c>
      <c r="GN43" s="270">
        <f t="shared" si="102"/>
        <v>1</v>
      </c>
      <c r="GO43" s="427">
        <f t="shared" si="103"/>
        <v>0</v>
      </c>
      <c r="GP43" s="421">
        <f t="shared" si="104"/>
        <v>0</v>
      </c>
      <c r="GQ43" s="270">
        <f t="shared" si="105"/>
        <v>1</v>
      </c>
      <c r="GR43" s="427">
        <f t="shared" si="106"/>
        <v>0</v>
      </c>
      <c r="GS43" s="421">
        <f t="shared" si="107"/>
        <v>0</v>
      </c>
      <c r="GT43" s="270">
        <f t="shared" si="108"/>
        <v>1</v>
      </c>
      <c r="GU43" s="427">
        <f t="shared" si="109"/>
        <v>0</v>
      </c>
      <c r="GV43" s="421">
        <f t="shared" si="110"/>
        <v>0</v>
      </c>
      <c r="GW43" s="270">
        <f t="shared" si="111"/>
        <v>1</v>
      </c>
      <c r="GX43" s="427">
        <f t="shared" si="112"/>
        <v>0</v>
      </c>
      <c r="GY43" s="421">
        <f t="shared" si="113"/>
        <v>0</v>
      </c>
      <c r="GZ43" s="270">
        <f t="shared" si="114"/>
        <v>1</v>
      </c>
      <c r="HA43" s="427">
        <f t="shared" si="115"/>
        <v>0</v>
      </c>
      <c r="HB43" s="421">
        <f t="shared" si="116"/>
        <v>0</v>
      </c>
      <c r="HC43" s="270">
        <f t="shared" si="117"/>
        <v>1</v>
      </c>
      <c r="HD43" s="427">
        <f t="shared" si="118"/>
        <v>0</v>
      </c>
      <c r="HE43" s="421">
        <f t="shared" si="119"/>
        <v>0</v>
      </c>
      <c r="HF43" s="270">
        <f t="shared" si="120"/>
        <v>1</v>
      </c>
      <c r="HG43" s="427">
        <f t="shared" si="121"/>
        <v>0</v>
      </c>
      <c r="HH43" s="421">
        <f t="shared" si="122"/>
        <v>0</v>
      </c>
      <c r="HI43" s="270">
        <f t="shared" si="123"/>
        <v>1</v>
      </c>
      <c r="HJ43" s="427">
        <f t="shared" si="124"/>
        <v>0</v>
      </c>
      <c r="HK43" s="421">
        <f t="shared" si="125"/>
        <v>0</v>
      </c>
      <c r="HL43" s="270">
        <f t="shared" si="125"/>
        <v>1</v>
      </c>
      <c r="HM43" s="427">
        <f t="shared" si="126"/>
        <v>0</v>
      </c>
      <c r="HN43" s="421">
        <f t="shared" si="127"/>
        <v>0</v>
      </c>
      <c r="HO43" s="270">
        <f t="shared" si="127"/>
        <v>1</v>
      </c>
      <c r="HP43" s="427">
        <f t="shared" si="128"/>
        <v>0</v>
      </c>
      <c r="HQ43" s="421">
        <f t="shared" si="129"/>
        <v>0</v>
      </c>
      <c r="HR43" s="270">
        <f t="shared" si="129"/>
        <v>1</v>
      </c>
      <c r="HS43" s="427">
        <f t="shared" si="130"/>
        <v>0</v>
      </c>
      <c r="HT43" s="421">
        <f t="shared" si="131"/>
        <v>0</v>
      </c>
      <c r="HU43" s="270">
        <f t="shared" si="131"/>
        <v>1</v>
      </c>
      <c r="HV43" s="427">
        <f t="shared" si="132"/>
        <v>0</v>
      </c>
      <c r="HW43" s="421">
        <f t="shared" si="133"/>
        <v>0</v>
      </c>
      <c r="HX43" s="270">
        <f t="shared" si="133"/>
        <v>1</v>
      </c>
      <c r="HY43" s="427">
        <f t="shared" si="134"/>
        <v>0</v>
      </c>
      <c r="HZ43" s="421">
        <f t="shared" si="135"/>
        <v>0</v>
      </c>
      <c r="IA43" s="270">
        <f t="shared" si="135"/>
        <v>1</v>
      </c>
      <c r="IB43" s="427">
        <f t="shared" si="136"/>
        <v>0</v>
      </c>
      <c r="IC43" s="421">
        <f t="shared" si="137"/>
        <v>0</v>
      </c>
      <c r="ID43" s="270">
        <f t="shared" si="137"/>
        <v>1</v>
      </c>
      <c r="IE43" s="427">
        <f t="shared" si="138"/>
        <v>0</v>
      </c>
      <c r="IF43" s="421">
        <f t="shared" si="139"/>
        <v>0</v>
      </c>
      <c r="IG43" s="270">
        <f t="shared" si="139"/>
        <v>1</v>
      </c>
      <c r="IH43" s="427">
        <f t="shared" si="140"/>
        <v>0</v>
      </c>
      <c r="II43" s="421">
        <f t="shared" si="141"/>
        <v>0</v>
      </c>
      <c r="IJ43" s="270">
        <f t="shared" si="141"/>
        <v>1</v>
      </c>
      <c r="IK43" s="427">
        <f t="shared" si="142"/>
        <v>0</v>
      </c>
      <c r="IL43" s="421">
        <f t="shared" si="143"/>
        <v>0</v>
      </c>
      <c r="IM43" s="270">
        <f t="shared" si="143"/>
        <v>1</v>
      </c>
      <c r="IN43" s="427">
        <f t="shared" si="144"/>
        <v>0</v>
      </c>
      <c r="IS43" s="447">
        <f t="shared" si="538"/>
        <v>0</v>
      </c>
      <c r="IT43" s="447">
        <f t="shared" si="538"/>
        <v>0</v>
      </c>
      <c r="IU43" s="447">
        <f t="shared" si="538"/>
        <v>0</v>
      </c>
      <c r="IV43" s="447">
        <f t="shared" si="538"/>
        <v>0</v>
      </c>
      <c r="IW43" s="447">
        <f t="shared" si="538"/>
        <v>0</v>
      </c>
      <c r="IX43" s="447">
        <f t="shared" si="538"/>
        <v>0</v>
      </c>
      <c r="IY43" s="447">
        <f t="shared" si="538"/>
        <v>0</v>
      </c>
      <c r="IZ43" s="447">
        <f t="shared" si="538"/>
        <v>0</v>
      </c>
      <c r="JA43" s="447">
        <f t="shared" si="538"/>
        <v>0</v>
      </c>
      <c r="JB43" s="447">
        <f t="shared" si="538"/>
        <v>0</v>
      </c>
      <c r="JC43" s="447">
        <f t="shared" si="539"/>
        <v>0</v>
      </c>
      <c r="JD43" s="447">
        <f t="shared" si="539"/>
        <v>0</v>
      </c>
      <c r="JE43" s="447">
        <f t="shared" si="539"/>
        <v>0</v>
      </c>
      <c r="JF43" s="447">
        <f t="shared" si="539"/>
        <v>0</v>
      </c>
      <c r="JG43" s="447">
        <f t="shared" si="539"/>
        <v>0</v>
      </c>
      <c r="JH43" s="447">
        <f t="shared" si="539"/>
        <v>0</v>
      </c>
      <c r="JI43" s="447">
        <f t="shared" si="539"/>
        <v>0</v>
      </c>
      <c r="JJ43" s="447">
        <f t="shared" si="539"/>
        <v>0</v>
      </c>
      <c r="JK43" s="447">
        <f t="shared" si="539"/>
        <v>0</v>
      </c>
      <c r="JL43" s="447">
        <f t="shared" si="539"/>
        <v>0</v>
      </c>
      <c r="JU43" s="242">
        <f t="shared" si="198"/>
        <v>13000000</v>
      </c>
      <c r="JV43" s="242">
        <f t="shared" si="199"/>
        <v>10000000</v>
      </c>
      <c r="JW43" s="242">
        <f t="shared" si="216"/>
        <v>0.4</v>
      </c>
      <c r="JX43" s="242">
        <f t="shared" si="200"/>
        <v>15000000</v>
      </c>
      <c r="JY43" s="241">
        <f t="shared" si="217"/>
        <v>0.6</v>
      </c>
      <c r="JZ43" s="241">
        <f t="shared" si="218"/>
        <v>13000000</v>
      </c>
      <c r="KA43" s="241" t="str">
        <f t="shared" si="219"/>
        <v>期望符合预期</v>
      </c>
      <c r="KC43" s="242">
        <f t="shared" si="201"/>
        <v>26000000</v>
      </c>
      <c r="KD43" s="242">
        <f t="shared" si="202"/>
        <v>20000000</v>
      </c>
      <c r="KE43" s="242">
        <f t="shared" si="220"/>
        <v>0.4</v>
      </c>
      <c r="KF43" s="242">
        <f t="shared" si="203"/>
        <v>30000000</v>
      </c>
      <c r="KG43" s="241">
        <f t="shared" si="221"/>
        <v>0.6</v>
      </c>
      <c r="KH43" s="241">
        <f t="shared" si="222"/>
        <v>26000000</v>
      </c>
      <c r="KI43" s="241" t="str">
        <f t="shared" si="223"/>
        <v>期望符合预期</v>
      </c>
      <c r="KK43" s="242">
        <f t="shared" si="204"/>
        <v>39000000</v>
      </c>
      <c r="KL43" s="242">
        <f t="shared" si="205"/>
        <v>30000000</v>
      </c>
      <c r="KM43" s="242">
        <f t="shared" si="224"/>
        <v>0.1</v>
      </c>
      <c r="KN43" s="242">
        <f t="shared" si="206"/>
        <v>40000000</v>
      </c>
      <c r="KO43" s="241">
        <f t="shared" si="225"/>
        <v>0.9</v>
      </c>
      <c r="KP43" s="241">
        <f t="shared" si="226"/>
        <v>39000000</v>
      </c>
      <c r="KQ43" s="241" t="str">
        <f t="shared" si="227"/>
        <v>期望符合预期</v>
      </c>
      <c r="KS43" s="242">
        <f t="shared" si="207"/>
        <v>52000000</v>
      </c>
      <c r="KT43" s="242">
        <f t="shared" si="208"/>
        <v>50000000</v>
      </c>
      <c r="KU43" s="242">
        <f t="shared" si="228"/>
        <v>0.8</v>
      </c>
      <c r="KV43" s="242">
        <f t="shared" si="209"/>
        <v>60000000</v>
      </c>
      <c r="KW43" s="241">
        <f t="shared" si="229"/>
        <v>0.2</v>
      </c>
      <c r="KX43" s="241">
        <f t="shared" si="230"/>
        <v>52000000</v>
      </c>
      <c r="KY43" s="241" t="str">
        <f t="shared" si="231"/>
        <v>期望符合预期</v>
      </c>
      <c r="LA43" s="242">
        <f t="shared" si="210"/>
        <v>65000000</v>
      </c>
      <c r="LB43" s="242">
        <f t="shared" si="211"/>
        <v>60000000</v>
      </c>
      <c r="LC43" s="242">
        <f t="shared" si="232"/>
        <v>0.5</v>
      </c>
      <c r="LD43" s="242">
        <f t="shared" si="212"/>
        <v>70000000</v>
      </c>
      <c r="LE43" s="241">
        <f t="shared" si="233"/>
        <v>0.5</v>
      </c>
      <c r="LF43" s="241">
        <f t="shared" si="234"/>
        <v>65000000</v>
      </c>
      <c r="LG43" s="241" t="str">
        <f t="shared" si="235"/>
        <v>期望符合预期</v>
      </c>
    </row>
    <row r="44" spans="1:319" x14ac:dyDescent="0.35">
      <c r="A44" s="63">
        <v>38</v>
      </c>
      <c r="B44" s="254" t="s">
        <v>1756</v>
      </c>
      <c r="C44" s="63">
        <v>6</v>
      </c>
      <c r="D44" s="63">
        <v>-1</v>
      </c>
      <c r="E44" s="63">
        <v>300</v>
      </c>
      <c r="F44" s="63" t="s">
        <v>1757</v>
      </c>
      <c r="G44" s="63">
        <f t="shared" si="167"/>
        <v>300</v>
      </c>
      <c r="H44" s="63"/>
      <c r="I44" s="265" t="s">
        <v>1758</v>
      </c>
      <c r="J44" s="63">
        <f t="shared" si="551"/>
        <v>0</v>
      </c>
      <c r="K44" s="63">
        <f t="shared" si="552"/>
        <v>0</v>
      </c>
      <c r="L44" s="63">
        <v>0</v>
      </c>
      <c r="M44" s="266">
        <f>ROUND($BX$7/('全局参数|GlobalPar'!$B$19/10000/E44),6)*(7/5)</f>
        <v>0.20833399999999999</v>
      </c>
      <c r="N44" s="267">
        <v>5</v>
      </c>
      <c r="O44" s="268">
        <f>ROUND(IF(N44&lt;&gt;0,$BX$4/('全局参数|GlobalPar'!$B$19/10000/E44)/N44,0),6)</f>
        <v>0</v>
      </c>
      <c r="P44" s="270">
        <f t="shared" si="386"/>
        <v>0.06</v>
      </c>
      <c r="Q44" s="285">
        <f t="shared" si="535"/>
        <v>0</v>
      </c>
      <c r="R44" s="282">
        <v>15</v>
      </c>
      <c r="S44" s="283">
        <v>1</v>
      </c>
      <c r="T44" s="284" t="str">
        <f t="shared" si="21"/>
        <v>[[15,1],[15,1],[15,1],[15,1],[15,1],[15,1],[15,1],[15,1],[15,1],[15,1],[30,2],[60,4],[90,6],[120,8],[150,10],[300,20],[600,40],[900,60],[1200,80],[1500,100]]</v>
      </c>
      <c r="U44" s="284">
        <v>1</v>
      </c>
      <c r="V44" s="284">
        <v>1</v>
      </c>
      <c r="W44" s="284" t="str">
        <f t="shared" si="168"/>
        <v>[[1,1],[1,1],[1,1],[1,1],[1,1],[1,1],[1,1],[1,1],[1,1],[1,1],[1,1],[1,1],[1,1],[1,1],[1,1],[1,1],[1,1],[1,1],[1,1],[1,1]]</v>
      </c>
      <c r="X44" s="63">
        <v>0</v>
      </c>
      <c r="Y44" s="268">
        <v>0.25</v>
      </c>
      <c r="Z44" s="303">
        <f t="shared" si="541"/>
        <v>0</v>
      </c>
      <c r="AA44" s="303">
        <v>0.06</v>
      </c>
      <c r="AB44" s="303">
        <f t="shared" si="169"/>
        <v>0.1</v>
      </c>
      <c r="AC44" s="304">
        <v>0.05</v>
      </c>
      <c r="AD44" s="304">
        <v>0.02</v>
      </c>
      <c r="AE44" s="304">
        <v>8.0000000000000002E-3</v>
      </c>
      <c r="AF44" s="304">
        <v>2E-3</v>
      </c>
      <c r="AG44" s="63" t="str">
        <f t="shared" si="170"/>
        <v>[[10,5],[12,2],[15,2]]</v>
      </c>
      <c r="AH44" s="256" t="str">
        <f t="shared" si="171"/>
        <v>[0.346154,0.173077,0.115385]</v>
      </c>
      <c r="AI44" s="256">
        <v>0</v>
      </c>
      <c r="AJ44" s="256">
        <v>1</v>
      </c>
      <c r="AK44" s="256">
        <f t="shared" si="243"/>
        <v>1</v>
      </c>
      <c r="AL44" s="256">
        <v>1</v>
      </c>
      <c r="AM44" s="256">
        <f t="shared" si="172"/>
        <v>90</v>
      </c>
      <c r="AN44" s="256" t="s">
        <v>2550</v>
      </c>
      <c r="AO44" s="324">
        <v>12</v>
      </c>
      <c r="AP44" s="63">
        <v>1</v>
      </c>
      <c r="AQ44" s="63">
        <v>0</v>
      </c>
      <c r="AR44" s="39">
        <v>3</v>
      </c>
      <c r="AS44" s="39">
        <v>6</v>
      </c>
      <c r="AT44" s="39">
        <v>0</v>
      </c>
      <c r="AU44" s="63">
        <v>1</v>
      </c>
      <c r="AV44" s="63">
        <f t="shared" si="536"/>
        <v>1.4925373134328357</v>
      </c>
      <c r="AW44" s="63">
        <v>1</v>
      </c>
      <c r="AX44" s="63">
        <v>1</v>
      </c>
      <c r="AY44" s="63" t="s">
        <v>1743</v>
      </c>
      <c r="AZ44" s="39">
        <v>1</v>
      </c>
      <c r="BA44" s="39">
        <v>1</v>
      </c>
      <c r="BB44" s="328">
        <v>1</v>
      </c>
      <c r="BC44" s="39">
        <v>300</v>
      </c>
      <c r="BD44" s="39">
        <v>0.18</v>
      </c>
      <c r="BE44" s="39">
        <v>0.8</v>
      </c>
      <c r="BF44" s="39">
        <v>1</v>
      </c>
      <c r="BG44" s="39" t="s">
        <v>1751</v>
      </c>
      <c r="BH44" s="331" t="s">
        <v>1759</v>
      </c>
      <c r="BI44" s="331" t="s">
        <v>1760</v>
      </c>
      <c r="BJ44" s="334" t="s">
        <v>266</v>
      </c>
      <c r="BK44" s="265" t="s">
        <v>425</v>
      </c>
      <c r="BL44" s="265" t="s">
        <v>518</v>
      </c>
      <c r="BM44" s="725" t="s">
        <v>2450</v>
      </c>
      <c r="BN44" s="81">
        <f t="shared" si="387"/>
        <v>30</v>
      </c>
      <c r="BO44" s="343">
        <f t="shared" si="542"/>
        <v>5</v>
      </c>
      <c r="BP44" s="81" t="s">
        <v>1606</v>
      </c>
      <c r="BQ44" s="81">
        <f t="shared" si="388"/>
        <v>0.746</v>
      </c>
      <c r="BR44" s="81"/>
      <c r="BS44" s="63">
        <f t="shared" si="543"/>
        <v>300</v>
      </c>
      <c r="BT44" s="63">
        <f>E44*(1+$CA$1)+J44+K44</f>
        <v>318</v>
      </c>
      <c r="BV44" s="63">
        <f t="shared" si="544"/>
        <v>0</v>
      </c>
      <c r="CG44" s="371">
        <f t="shared" si="545"/>
        <v>330</v>
      </c>
      <c r="CH44" s="372">
        <v>0.1</v>
      </c>
      <c r="CI44" s="373">
        <v>10</v>
      </c>
      <c r="CJ44" s="143">
        <v>5</v>
      </c>
      <c r="CK44" s="373">
        <v>12</v>
      </c>
      <c r="CL44" s="143">
        <v>2</v>
      </c>
      <c r="CM44" s="373">
        <v>15</v>
      </c>
      <c r="CN44" s="143">
        <v>2</v>
      </c>
      <c r="CO44" s="143">
        <f t="shared" si="174"/>
        <v>11.555555555555555</v>
      </c>
      <c r="CP44" s="143">
        <f t="shared" si="550"/>
        <v>7.5</v>
      </c>
      <c r="CQ44" s="377">
        <f t="shared" si="176"/>
        <v>0.34615400000000002</v>
      </c>
      <c r="CR44" s="143">
        <f t="shared" si="550"/>
        <v>15</v>
      </c>
      <c r="CS44" s="378">
        <f t="shared" si="177"/>
        <v>0.17307700000000001</v>
      </c>
      <c r="CT44" s="143">
        <f t="shared" si="550"/>
        <v>22.5</v>
      </c>
      <c r="CU44" s="392">
        <f t="shared" si="178"/>
        <v>0.115385</v>
      </c>
      <c r="CW44" s="241">
        <v>2E-3</v>
      </c>
      <c r="CX44" s="396">
        <f t="shared" si="215"/>
        <v>0</v>
      </c>
      <c r="CY44" s="270">
        <f t="shared" si="546"/>
        <v>0</v>
      </c>
      <c r="CZ44" s="394">
        <f t="shared" si="547"/>
        <v>0</v>
      </c>
      <c r="DA44" s="394">
        <f t="shared" si="35"/>
        <v>0</v>
      </c>
      <c r="DB44" s="395">
        <f t="shared" si="179"/>
        <v>0</v>
      </c>
      <c r="DC44" s="419">
        <f t="shared" si="548"/>
        <v>0</v>
      </c>
      <c r="DD44" s="394">
        <f t="shared" si="37"/>
        <v>0</v>
      </c>
      <c r="DE44" s="420" t="e">
        <f t="shared" si="549"/>
        <v>#DIV/0!</v>
      </c>
      <c r="DF44" s="421">
        <f t="shared" si="180"/>
        <v>15</v>
      </c>
      <c r="DG44" s="422">
        <f t="shared" si="181"/>
        <v>1</v>
      </c>
      <c r="DH44" s="284"/>
      <c r="DI44" s="282">
        <v>15</v>
      </c>
      <c r="DJ44" s="283">
        <v>1</v>
      </c>
      <c r="DL44" s="431"/>
      <c r="DM44" s="242"/>
      <c r="DQ44" s="427"/>
      <c r="DR44" s="421">
        <v>15</v>
      </c>
      <c r="DS44" s="270">
        <v>1</v>
      </c>
      <c r="DT44" s="427">
        <f t="shared" si="39"/>
        <v>3.333333333333337E-3</v>
      </c>
      <c r="DU44" s="421">
        <f t="shared" si="40"/>
        <v>15</v>
      </c>
      <c r="DV44" s="270">
        <f t="shared" si="182"/>
        <v>1</v>
      </c>
      <c r="DW44" s="427">
        <f t="shared" si="42"/>
        <v>6.666666666666674E-3</v>
      </c>
      <c r="DX44" s="421">
        <f t="shared" si="43"/>
        <v>15</v>
      </c>
      <c r="DY44" s="270">
        <f t="shared" si="183"/>
        <v>1</v>
      </c>
      <c r="DZ44" s="427">
        <f t="shared" si="45"/>
        <v>1.0000000000000011E-2</v>
      </c>
      <c r="EA44" s="421">
        <f t="shared" si="184"/>
        <v>15</v>
      </c>
      <c r="EB44" s="270">
        <f t="shared" si="185"/>
        <v>1</v>
      </c>
      <c r="EC44" s="427">
        <f t="shared" si="48"/>
        <v>1.3333333333333348E-2</v>
      </c>
      <c r="ED44" s="421">
        <f t="shared" si="186"/>
        <v>15</v>
      </c>
      <c r="EE44" s="270">
        <f t="shared" si="187"/>
        <v>1</v>
      </c>
      <c r="EF44" s="427">
        <f t="shared" si="51"/>
        <v>1.6666666666666684E-2</v>
      </c>
      <c r="EG44" s="421">
        <f t="shared" si="188"/>
        <v>15</v>
      </c>
      <c r="EH44" s="270">
        <f t="shared" si="189"/>
        <v>1</v>
      </c>
      <c r="EI44" s="427">
        <f t="shared" si="54"/>
        <v>3.3333333333333368E-2</v>
      </c>
      <c r="EJ44" s="421">
        <f t="shared" si="190"/>
        <v>15</v>
      </c>
      <c r="EK44" s="270">
        <f t="shared" si="191"/>
        <v>1</v>
      </c>
      <c r="EL44" s="427">
        <f t="shared" si="57"/>
        <v>6.6666666666666735E-2</v>
      </c>
      <c r="EM44" s="421">
        <f t="shared" si="192"/>
        <v>15</v>
      </c>
      <c r="EN44" s="270">
        <f t="shared" si="193"/>
        <v>1</v>
      </c>
      <c r="EO44" s="427">
        <f t="shared" si="60"/>
        <v>0.1000000000000001</v>
      </c>
      <c r="EP44" s="421">
        <f t="shared" si="194"/>
        <v>15</v>
      </c>
      <c r="EQ44" s="270">
        <f t="shared" si="195"/>
        <v>1</v>
      </c>
      <c r="ER44" s="427">
        <f t="shared" si="63"/>
        <v>0.13333333333333347</v>
      </c>
      <c r="ES44" s="421">
        <f t="shared" si="196"/>
        <v>15</v>
      </c>
      <c r="ET44" s="270">
        <f t="shared" si="197"/>
        <v>1</v>
      </c>
      <c r="EU44" s="427">
        <f t="shared" si="66"/>
        <v>0.16666666666666685</v>
      </c>
      <c r="EV44" s="421">
        <f t="shared" si="67"/>
        <v>30</v>
      </c>
      <c r="EW44" s="270">
        <f t="shared" si="68"/>
        <v>2</v>
      </c>
      <c r="EX44" s="427">
        <f t="shared" si="69"/>
        <v>0.16666666666666685</v>
      </c>
      <c r="EY44" s="421">
        <f t="shared" si="70"/>
        <v>60</v>
      </c>
      <c r="EZ44" s="270">
        <f t="shared" si="71"/>
        <v>4</v>
      </c>
      <c r="FA44" s="427">
        <f t="shared" si="72"/>
        <v>0.16666666666666685</v>
      </c>
      <c r="FB44" s="421">
        <f t="shared" si="73"/>
        <v>90</v>
      </c>
      <c r="FC44" s="270">
        <f t="shared" si="74"/>
        <v>6</v>
      </c>
      <c r="FD44" s="427">
        <f t="shared" si="75"/>
        <v>0.16666666666666685</v>
      </c>
      <c r="FE44" s="421">
        <f t="shared" si="76"/>
        <v>120</v>
      </c>
      <c r="FF44" s="270">
        <f t="shared" si="77"/>
        <v>8</v>
      </c>
      <c r="FG44" s="427">
        <f t="shared" si="78"/>
        <v>0.16666666666666685</v>
      </c>
      <c r="FH44" s="421">
        <f t="shared" si="79"/>
        <v>150</v>
      </c>
      <c r="FI44" s="270">
        <f t="shared" si="80"/>
        <v>10</v>
      </c>
      <c r="FJ44" s="427">
        <f t="shared" si="81"/>
        <v>0.16666666666666685</v>
      </c>
      <c r="FK44" s="421">
        <f t="shared" si="82"/>
        <v>300</v>
      </c>
      <c r="FL44" s="270">
        <f t="shared" si="83"/>
        <v>20</v>
      </c>
      <c r="FM44" s="427">
        <f t="shared" si="84"/>
        <v>0.16666666666666685</v>
      </c>
      <c r="FN44" s="421">
        <f t="shared" si="85"/>
        <v>600</v>
      </c>
      <c r="FO44" s="270">
        <f t="shared" si="86"/>
        <v>40</v>
      </c>
      <c r="FP44" s="427">
        <f t="shared" si="87"/>
        <v>0.16666666666666685</v>
      </c>
      <c r="FQ44" s="421">
        <f t="shared" si="88"/>
        <v>900</v>
      </c>
      <c r="FR44" s="270">
        <f t="shared" si="89"/>
        <v>60</v>
      </c>
      <c r="FS44" s="427">
        <f t="shared" si="90"/>
        <v>0.16666666666666685</v>
      </c>
      <c r="FT44" s="421">
        <f t="shared" si="91"/>
        <v>1200</v>
      </c>
      <c r="FU44" s="270">
        <f t="shared" si="92"/>
        <v>80</v>
      </c>
      <c r="FV44" s="427">
        <f t="shared" si="93"/>
        <v>0.16666666666666685</v>
      </c>
      <c r="FW44" s="421">
        <f t="shared" si="94"/>
        <v>1500</v>
      </c>
      <c r="FX44" s="270">
        <f t="shared" si="95"/>
        <v>100</v>
      </c>
      <c r="FY44" s="427">
        <f t="shared" si="96"/>
        <v>0.16666666666666685</v>
      </c>
      <c r="GA44" s="431"/>
      <c r="GB44" s="242"/>
      <c r="GF44" s="427"/>
      <c r="GG44" s="421">
        <v>1</v>
      </c>
      <c r="GH44" s="270">
        <v>1</v>
      </c>
      <c r="GI44" s="427">
        <f t="shared" si="97"/>
        <v>3.3333333333333362E-5</v>
      </c>
      <c r="GJ44" s="421">
        <f t="shared" si="98"/>
        <v>1</v>
      </c>
      <c r="GK44" s="270">
        <f t="shared" si="99"/>
        <v>1</v>
      </c>
      <c r="GL44" s="427">
        <f t="shared" si="100"/>
        <v>6.6666666666666724E-5</v>
      </c>
      <c r="GM44" s="421">
        <f t="shared" si="101"/>
        <v>1</v>
      </c>
      <c r="GN44" s="270">
        <f t="shared" si="102"/>
        <v>1</v>
      </c>
      <c r="GO44" s="427">
        <f t="shared" si="103"/>
        <v>1.0000000000000009E-4</v>
      </c>
      <c r="GP44" s="421">
        <f t="shared" si="104"/>
        <v>1</v>
      </c>
      <c r="GQ44" s="270">
        <f t="shared" si="105"/>
        <v>1</v>
      </c>
      <c r="GR44" s="427">
        <f t="shared" si="106"/>
        <v>1.3333333333333345E-4</v>
      </c>
      <c r="GS44" s="421">
        <f t="shared" si="107"/>
        <v>1</v>
      </c>
      <c r="GT44" s="270">
        <f t="shared" si="108"/>
        <v>1</v>
      </c>
      <c r="GU44" s="427">
        <f t="shared" si="109"/>
        <v>1.666666666666668E-4</v>
      </c>
      <c r="GV44" s="421">
        <f t="shared" si="110"/>
        <v>1</v>
      </c>
      <c r="GW44" s="270">
        <f t="shared" si="111"/>
        <v>1</v>
      </c>
      <c r="GX44" s="427">
        <f t="shared" si="112"/>
        <v>3.3333333333333359E-4</v>
      </c>
      <c r="GY44" s="421">
        <f t="shared" si="113"/>
        <v>1</v>
      </c>
      <c r="GZ44" s="270">
        <f t="shared" si="114"/>
        <v>1</v>
      </c>
      <c r="HA44" s="427">
        <f t="shared" si="115"/>
        <v>6.6666666666666719E-4</v>
      </c>
      <c r="HB44" s="421">
        <f t="shared" si="116"/>
        <v>1</v>
      </c>
      <c r="HC44" s="270">
        <f t="shared" si="117"/>
        <v>1</v>
      </c>
      <c r="HD44" s="427">
        <f t="shared" si="118"/>
        <v>1.0000000000000009E-3</v>
      </c>
      <c r="HE44" s="421">
        <f t="shared" si="119"/>
        <v>1</v>
      </c>
      <c r="HF44" s="270">
        <f t="shared" si="120"/>
        <v>1</v>
      </c>
      <c r="HG44" s="427">
        <f t="shared" si="121"/>
        <v>1.3333333333333344E-3</v>
      </c>
      <c r="HH44" s="421">
        <f t="shared" si="122"/>
        <v>1</v>
      </c>
      <c r="HI44" s="270">
        <f t="shared" si="123"/>
        <v>1</v>
      </c>
      <c r="HJ44" s="427">
        <f t="shared" si="124"/>
        <v>1.6666666666666681E-3</v>
      </c>
      <c r="HK44" s="421">
        <f t="shared" si="125"/>
        <v>1</v>
      </c>
      <c r="HL44" s="270">
        <f t="shared" si="125"/>
        <v>1</v>
      </c>
      <c r="HM44" s="427">
        <f t="shared" si="126"/>
        <v>3.3333333333333361E-3</v>
      </c>
      <c r="HN44" s="421">
        <f t="shared" si="127"/>
        <v>1</v>
      </c>
      <c r="HO44" s="270">
        <f t="shared" si="127"/>
        <v>1</v>
      </c>
      <c r="HP44" s="427">
        <f t="shared" si="128"/>
        <v>6.6666666666666723E-3</v>
      </c>
      <c r="HQ44" s="421">
        <f t="shared" si="129"/>
        <v>1</v>
      </c>
      <c r="HR44" s="270">
        <f t="shared" si="129"/>
        <v>1</v>
      </c>
      <c r="HS44" s="427">
        <f t="shared" si="130"/>
        <v>1.0000000000000009E-2</v>
      </c>
      <c r="HT44" s="421">
        <f t="shared" si="131"/>
        <v>1</v>
      </c>
      <c r="HU44" s="270">
        <f t="shared" si="131"/>
        <v>1</v>
      </c>
      <c r="HV44" s="427">
        <f t="shared" si="132"/>
        <v>1.3333333333333345E-2</v>
      </c>
      <c r="HW44" s="421">
        <f t="shared" si="133"/>
        <v>1</v>
      </c>
      <c r="HX44" s="270">
        <f t="shared" si="133"/>
        <v>1</v>
      </c>
      <c r="HY44" s="427">
        <f t="shared" si="134"/>
        <v>1.666666666666668E-2</v>
      </c>
      <c r="HZ44" s="421">
        <f t="shared" si="135"/>
        <v>1</v>
      </c>
      <c r="IA44" s="270">
        <f t="shared" si="135"/>
        <v>1</v>
      </c>
      <c r="IB44" s="427">
        <f t="shared" si="136"/>
        <v>3.3333333333333361E-2</v>
      </c>
      <c r="IC44" s="421">
        <f t="shared" si="137"/>
        <v>1</v>
      </c>
      <c r="ID44" s="270">
        <f t="shared" si="137"/>
        <v>1</v>
      </c>
      <c r="IE44" s="427">
        <f t="shared" si="138"/>
        <v>6.6666666666666721E-2</v>
      </c>
      <c r="IF44" s="421">
        <f t="shared" si="139"/>
        <v>1</v>
      </c>
      <c r="IG44" s="270">
        <f t="shared" si="139"/>
        <v>1</v>
      </c>
      <c r="IH44" s="427">
        <f t="shared" si="140"/>
        <v>0.10000000000000007</v>
      </c>
      <c r="II44" s="421">
        <f t="shared" si="141"/>
        <v>1</v>
      </c>
      <c r="IJ44" s="270">
        <f t="shared" si="141"/>
        <v>1</v>
      </c>
      <c r="IK44" s="427">
        <f t="shared" si="142"/>
        <v>0.13333333333333344</v>
      </c>
      <c r="IL44" s="421">
        <f t="shared" si="143"/>
        <v>1</v>
      </c>
      <c r="IM44" s="270">
        <f t="shared" si="143"/>
        <v>1</v>
      </c>
      <c r="IN44" s="427">
        <f t="shared" si="144"/>
        <v>0.1666666666666668</v>
      </c>
      <c r="IS44" s="447">
        <f t="shared" si="538"/>
        <v>0</v>
      </c>
      <c r="IT44" s="447">
        <f t="shared" si="538"/>
        <v>0</v>
      </c>
      <c r="IU44" s="447">
        <f t="shared" si="538"/>
        <v>0</v>
      </c>
      <c r="IV44" s="447">
        <f t="shared" si="538"/>
        <v>1.2E-2</v>
      </c>
      <c r="IW44" s="447">
        <f t="shared" si="538"/>
        <v>1.4999999999999999E-2</v>
      </c>
      <c r="IX44" s="447">
        <f t="shared" si="538"/>
        <v>0.03</v>
      </c>
      <c r="IY44" s="447">
        <f t="shared" si="538"/>
        <v>0.06</v>
      </c>
      <c r="IZ44" s="447">
        <f t="shared" si="538"/>
        <v>0.09</v>
      </c>
      <c r="JA44" s="447">
        <f t="shared" si="538"/>
        <v>0.12</v>
      </c>
      <c r="JB44" s="447">
        <f t="shared" si="538"/>
        <v>0.15</v>
      </c>
      <c r="JC44" s="447">
        <f t="shared" si="539"/>
        <v>0.3</v>
      </c>
      <c r="JD44" s="447">
        <f t="shared" si="539"/>
        <v>0.375</v>
      </c>
      <c r="JE44" s="447">
        <f t="shared" si="539"/>
        <v>0.37494</v>
      </c>
      <c r="JF44" s="447">
        <f t="shared" si="539"/>
        <v>0.37488000000000005</v>
      </c>
      <c r="JG44" s="447">
        <f t="shared" si="539"/>
        <v>0.37485000000000007</v>
      </c>
      <c r="JH44" s="447">
        <f t="shared" si="539"/>
        <v>0.37469999999999998</v>
      </c>
      <c r="JI44" s="447">
        <f t="shared" si="539"/>
        <v>0.37440000000000007</v>
      </c>
      <c r="JJ44" s="447">
        <f t="shared" si="539"/>
        <v>0.37440000000000007</v>
      </c>
      <c r="JK44" s="447">
        <f t="shared" si="539"/>
        <v>0.37440000000000007</v>
      </c>
      <c r="JL44" s="447">
        <f t="shared" si="539"/>
        <v>0.3735</v>
      </c>
      <c r="JU44" s="242">
        <f t="shared" si="198"/>
        <v>6000000</v>
      </c>
      <c r="JV44" s="242">
        <f t="shared" si="199"/>
        <v>5000000</v>
      </c>
      <c r="JW44" s="242">
        <f t="shared" si="216"/>
        <v>0.8</v>
      </c>
      <c r="JX44" s="242">
        <f t="shared" si="200"/>
        <v>10000000</v>
      </c>
      <c r="JY44" s="241">
        <f t="shared" si="217"/>
        <v>0.2</v>
      </c>
      <c r="JZ44" s="241">
        <f t="shared" si="218"/>
        <v>6000000</v>
      </c>
      <c r="KA44" s="241" t="str">
        <f t="shared" si="219"/>
        <v>期望符合预期</v>
      </c>
      <c r="KC44" s="242">
        <f t="shared" si="201"/>
        <v>12000000</v>
      </c>
      <c r="KD44" s="242">
        <f t="shared" si="202"/>
        <v>10000000</v>
      </c>
      <c r="KE44" s="242">
        <f t="shared" si="220"/>
        <v>0.6</v>
      </c>
      <c r="KF44" s="242">
        <f t="shared" si="203"/>
        <v>15000000</v>
      </c>
      <c r="KG44" s="241">
        <f t="shared" si="221"/>
        <v>0.4</v>
      </c>
      <c r="KH44" s="241">
        <f t="shared" si="222"/>
        <v>12000000</v>
      </c>
      <c r="KI44" s="241" t="str">
        <f t="shared" si="223"/>
        <v>期望符合预期</v>
      </c>
      <c r="KK44" s="242">
        <f t="shared" si="204"/>
        <v>18000000</v>
      </c>
      <c r="KL44" s="242">
        <f t="shared" si="205"/>
        <v>15000000</v>
      </c>
      <c r="KM44" s="242">
        <f t="shared" si="224"/>
        <v>0.4</v>
      </c>
      <c r="KN44" s="242">
        <f t="shared" si="206"/>
        <v>20000000</v>
      </c>
      <c r="KO44" s="241">
        <f t="shared" si="225"/>
        <v>0.6</v>
      </c>
      <c r="KP44" s="241">
        <f t="shared" si="226"/>
        <v>18000000</v>
      </c>
      <c r="KQ44" s="241" t="str">
        <f t="shared" si="227"/>
        <v>期望符合预期</v>
      </c>
      <c r="KS44" s="242">
        <f t="shared" si="207"/>
        <v>24000000</v>
      </c>
      <c r="KT44" s="242">
        <f t="shared" si="208"/>
        <v>20000000</v>
      </c>
      <c r="KU44" s="242">
        <f t="shared" si="228"/>
        <v>0.6</v>
      </c>
      <c r="KV44" s="242">
        <f t="shared" si="209"/>
        <v>30000000</v>
      </c>
      <c r="KW44" s="241">
        <f t="shared" si="229"/>
        <v>0.4</v>
      </c>
      <c r="KX44" s="241">
        <f t="shared" si="230"/>
        <v>24000000</v>
      </c>
      <c r="KY44" s="241" t="str">
        <f t="shared" si="231"/>
        <v>期望符合预期</v>
      </c>
      <c r="LA44" s="242">
        <f t="shared" si="210"/>
        <v>30000000</v>
      </c>
      <c r="LB44" s="242">
        <f t="shared" si="211"/>
        <v>30000000</v>
      </c>
      <c r="LC44" s="242">
        <f t="shared" si="232"/>
        <v>1</v>
      </c>
      <c r="LD44" s="242">
        <f t="shared" si="212"/>
        <v>40000000</v>
      </c>
      <c r="LE44" s="241">
        <f t="shared" si="233"/>
        <v>0</v>
      </c>
      <c r="LF44" s="241">
        <f t="shared" si="234"/>
        <v>30000000</v>
      </c>
      <c r="LG44" s="241" t="str">
        <f t="shared" si="235"/>
        <v>期望符合预期</v>
      </c>
    </row>
    <row r="45" spans="1:319" ht="16.2" x14ac:dyDescent="0.4">
      <c r="A45" s="63">
        <v>39</v>
      </c>
      <c r="B45" s="254" t="s">
        <v>1761</v>
      </c>
      <c r="C45" s="63">
        <v>6</v>
      </c>
      <c r="D45" s="63">
        <v>4</v>
      </c>
      <c r="E45" s="63">
        <v>500</v>
      </c>
      <c r="F45" s="63" t="s">
        <v>1762</v>
      </c>
      <c r="G45" s="63">
        <f t="shared" si="167"/>
        <v>500</v>
      </c>
      <c r="H45" s="63"/>
      <c r="I45" s="265"/>
      <c r="J45" s="63">
        <f t="shared" si="551"/>
        <v>0</v>
      </c>
      <c r="K45" s="63">
        <f t="shared" si="552"/>
        <v>0</v>
      </c>
      <c r="L45" s="63">
        <v>0</v>
      </c>
      <c r="M45" s="266">
        <f>ROUND($BX$7/('全局参数|GlobalPar'!$B$19/10000/E45),6)*(7/5)</f>
        <v>0.34722239999999999</v>
      </c>
      <c r="N45" s="267">
        <v>10</v>
      </c>
      <c r="O45" s="268">
        <f>ROUND(IF(N45&lt;&gt;0,$BX$4/('全局参数|GlobalPar'!$B$19/10000/E45)/N45,0),6)</f>
        <v>0</v>
      </c>
      <c r="P45" s="270">
        <f t="shared" si="386"/>
        <v>0.1</v>
      </c>
      <c r="Q45" s="285">
        <f t="shared" si="535"/>
        <v>0</v>
      </c>
      <c r="R45" s="282">
        <v>15</v>
      </c>
      <c r="S45" s="283">
        <v>1</v>
      </c>
      <c r="T45" s="284" t="str">
        <f t="shared" si="21"/>
        <v>[[0,1],[0,1],[0,1],[0,1],[0,1],[0,1],[0,1],[0,1],[0,1],[0,1],[0,2],[0,4],[0,6],[0,8],[0,10],[0,20],[0,40],[0,60],[0,80],[0,100]]</v>
      </c>
      <c r="U45" s="284">
        <v>1</v>
      </c>
      <c r="V45" s="284">
        <v>1</v>
      </c>
      <c r="W45" s="284" t="str">
        <f t="shared" si="168"/>
        <v>[[0,1],[0,1],[0,1],[0,1],[0,1],[0,1],[0,1],[0,1],[0,1],[0,1],[0,1],[0,1],[0,1],[0,1],[0,1],[0,1],[0,1],[0,1],[0,1],[0,1]]</v>
      </c>
      <c r="X45" s="63">
        <v>0</v>
      </c>
      <c r="Y45" s="305">
        <v>0.3</v>
      </c>
      <c r="Z45" s="303">
        <f t="shared" si="541"/>
        <v>0</v>
      </c>
      <c r="AA45" s="303">
        <v>0.06</v>
      </c>
      <c r="AB45" s="303">
        <f t="shared" si="169"/>
        <v>0.1</v>
      </c>
      <c r="AC45" s="304">
        <f t="shared" si="213"/>
        <v>0.05</v>
      </c>
      <c r="AD45" s="304">
        <v>0.02</v>
      </c>
      <c r="AE45" s="304">
        <v>8.0000000000000002E-3</v>
      </c>
      <c r="AF45" s="304">
        <v>2E-3</v>
      </c>
      <c r="AG45" s="63" t="str">
        <f t="shared" si="170"/>
        <v>[[10,5],[12,2],[15,2]]</v>
      </c>
      <c r="AH45" s="256" t="str">
        <f t="shared" si="171"/>
        <v>[0.576923,0.288462,0.192308]</v>
      </c>
      <c r="AI45" s="256">
        <v>0</v>
      </c>
      <c r="AJ45" s="256">
        <v>1</v>
      </c>
      <c r="AK45" s="256">
        <f t="shared" si="243"/>
        <v>1</v>
      </c>
      <c r="AL45" s="256">
        <v>1</v>
      </c>
      <c r="AM45" s="256">
        <f t="shared" si="172"/>
        <v>150</v>
      </c>
      <c r="AN45" s="256" t="s">
        <v>2550</v>
      </c>
      <c r="AO45" s="324">
        <v>12</v>
      </c>
      <c r="AP45" s="63">
        <v>7</v>
      </c>
      <c r="AQ45" s="63">
        <v>0</v>
      </c>
      <c r="AR45" s="39">
        <v>3</v>
      </c>
      <c r="AS45" s="39">
        <v>6</v>
      </c>
      <c r="AT45" s="39">
        <v>1</v>
      </c>
      <c r="AU45" s="63">
        <v>1.2</v>
      </c>
      <c r="AV45" s="63">
        <f t="shared" si="536"/>
        <v>1.7910447761194028</v>
      </c>
      <c r="AW45" s="63">
        <v>1</v>
      </c>
      <c r="AX45" s="63">
        <v>1</v>
      </c>
      <c r="AY45" s="63" t="s">
        <v>1763</v>
      </c>
      <c r="AZ45" s="39">
        <v>1</v>
      </c>
      <c r="BA45" s="39">
        <v>1</v>
      </c>
      <c r="BB45" s="328">
        <v>1</v>
      </c>
      <c r="BC45" s="39">
        <v>500</v>
      </c>
      <c r="BD45" s="39">
        <v>0.18</v>
      </c>
      <c r="BE45" s="39">
        <v>0.4</v>
      </c>
      <c r="BF45" s="39">
        <v>1</v>
      </c>
      <c r="BG45" s="39" t="s">
        <v>1751</v>
      </c>
      <c r="BH45" s="331" t="s">
        <v>1764</v>
      </c>
      <c r="BI45" s="331" t="s">
        <v>1765</v>
      </c>
      <c r="BJ45" s="265" t="s">
        <v>541</v>
      </c>
      <c r="BK45" s="265" t="s">
        <v>425</v>
      </c>
      <c r="BL45" s="265" t="s">
        <v>1754</v>
      </c>
      <c r="BM45" s="265" t="s">
        <v>1766</v>
      </c>
      <c r="BN45" s="81">
        <f t="shared" si="387"/>
        <v>50</v>
      </c>
      <c r="BO45" s="343">
        <f t="shared" si="542"/>
        <v>3</v>
      </c>
      <c r="BP45" s="81" t="s">
        <v>1606</v>
      </c>
      <c r="BQ45" s="81">
        <f t="shared" si="388"/>
        <v>0.89600000000000002</v>
      </c>
      <c r="BR45" s="81"/>
      <c r="BS45" s="63">
        <f t="shared" si="543"/>
        <v>500</v>
      </c>
      <c r="BT45" s="63">
        <f>E45*(1+$CA$1)+J45+K45</f>
        <v>530</v>
      </c>
      <c r="BV45" s="63">
        <f t="shared" si="544"/>
        <v>0</v>
      </c>
      <c r="CG45" s="371">
        <f t="shared" si="545"/>
        <v>550</v>
      </c>
      <c r="CH45" s="372">
        <f t="shared" si="214"/>
        <v>0.1</v>
      </c>
      <c r="CI45" s="373">
        <v>10</v>
      </c>
      <c r="CJ45" s="143">
        <v>5</v>
      </c>
      <c r="CK45" s="373">
        <v>12</v>
      </c>
      <c r="CL45" s="143">
        <v>2</v>
      </c>
      <c r="CM45" s="373">
        <v>15</v>
      </c>
      <c r="CN45" s="143">
        <v>2</v>
      </c>
      <c r="CO45" s="143">
        <f t="shared" si="174"/>
        <v>11.555555555555555</v>
      </c>
      <c r="CP45" s="143">
        <f t="shared" si="550"/>
        <v>7.5</v>
      </c>
      <c r="CQ45" s="377">
        <f t="shared" si="176"/>
        <v>0.57692299999999996</v>
      </c>
      <c r="CR45" s="143">
        <f t="shared" si="550"/>
        <v>15</v>
      </c>
      <c r="CS45" s="378">
        <f t="shared" si="177"/>
        <v>0.288462</v>
      </c>
      <c r="CT45" s="143">
        <f t="shared" si="550"/>
        <v>22.5</v>
      </c>
      <c r="CU45" s="392">
        <f t="shared" si="178"/>
        <v>0.19230800000000001</v>
      </c>
      <c r="CW45" s="241">
        <v>2E-3</v>
      </c>
      <c r="CX45" s="396">
        <f t="shared" si="215"/>
        <v>0</v>
      </c>
      <c r="CY45" s="270">
        <f t="shared" si="546"/>
        <v>0</v>
      </c>
      <c r="CZ45" s="394">
        <f t="shared" si="547"/>
        <v>0</v>
      </c>
      <c r="DA45" s="394">
        <f t="shared" si="35"/>
        <v>0</v>
      </c>
      <c r="DB45" s="395">
        <f t="shared" si="179"/>
        <v>0</v>
      </c>
      <c r="DC45" s="419">
        <f t="shared" si="548"/>
        <v>0</v>
      </c>
      <c r="DD45" s="394">
        <f t="shared" si="37"/>
        <v>0</v>
      </c>
      <c r="DE45" s="420" t="e">
        <f t="shared" si="549"/>
        <v>#DIV/0!</v>
      </c>
      <c r="DF45" s="421">
        <f t="shared" si="180"/>
        <v>15</v>
      </c>
      <c r="DG45" s="422">
        <f t="shared" si="181"/>
        <v>1</v>
      </c>
      <c r="DH45" s="284"/>
      <c r="DI45" s="282">
        <v>15</v>
      </c>
      <c r="DJ45" s="283">
        <v>1</v>
      </c>
      <c r="DL45" s="431"/>
      <c r="DM45" s="242"/>
      <c r="DQ45" s="427"/>
      <c r="DR45" s="433">
        <v>0</v>
      </c>
      <c r="DS45" s="270">
        <v>1</v>
      </c>
      <c r="DT45" s="427">
        <f t="shared" si="39"/>
        <v>0</v>
      </c>
      <c r="DU45" s="421">
        <f t="shared" si="40"/>
        <v>0</v>
      </c>
      <c r="DV45" s="270">
        <f t="shared" si="182"/>
        <v>1</v>
      </c>
      <c r="DW45" s="427">
        <f t="shared" si="42"/>
        <v>0</v>
      </c>
      <c r="DX45" s="421">
        <f t="shared" si="43"/>
        <v>0</v>
      </c>
      <c r="DY45" s="270">
        <f t="shared" si="183"/>
        <v>1</v>
      </c>
      <c r="DZ45" s="427">
        <f t="shared" si="45"/>
        <v>0</v>
      </c>
      <c r="EA45" s="421">
        <f t="shared" si="184"/>
        <v>0</v>
      </c>
      <c r="EB45" s="270">
        <f t="shared" si="185"/>
        <v>1</v>
      </c>
      <c r="EC45" s="427">
        <f t="shared" si="48"/>
        <v>0</v>
      </c>
      <c r="ED45" s="421">
        <f t="shared" si="186"/>
        <v>0</v>
      </c>
      <c r="EE45" s="270">
        <f t="shared" si="187"/>
        <v>1</v>
      </c>
      <c r="EF45" s="427">
        <f t="shared" si="51"/>
        <v>0</v>
      </c>
      <c r="EG45" s="421">
        <f t="shared" si="188"/>
        <v>0</v>
      </c>
      <c r="EH45" s="270">
        <f t="shared" si="189"/>
        <v>1</v>
      </c>
      <c r="EI45" s="427">
        <f t="shared" si="54"/>
        <v>0</v>
      </c>
      <c r="EJ45" s="421">
        <f t="shared" si="190"/>
        <v>0</v>
      </c>
      <c r="EK45" s="270">
        <f t="shared" si="191"/>
        <v>1</v>
      </c>
      <c r="EL45" s="427">
        <f t="shared" si="57"/>
        <v>0</v>
      </c>
      <c r="EM45" s="421">
        <f t="shared" si="192"/>
        <v>0</v>
      </c>
      <c r="EN45" s="270">
        <f t="shared" si="193"/>
        <v>1</v>
      </c>
      <c r="EO45" s="427">
        <f t="shared" si="60"/>
        <v>0</v>
      </c>
      <c r="EP45" s="421">
        <f t="shared" si="194"/>
        <v>0</v>
      </c>
      <c r="EQ45" s="270">
        <f t="shared" si="195"/>
        <v>1</v>
      </c>
      <c r="ER45" s="427">
        <f t="shared" si="63"/>
        <v>0</v>
      </c>
      <c r="ES45" s="421">
        <f t="shared" si="196"/>
        <v>0</v>
      </c>
      <c r="ET45" s="270">
        <f t="shared" si="197"/>
        <v>1</v>
      </c>
      <c r="EU45" s="427">
        <f t="shared" si="66"/>
        <v>0</v>
      </c>
      <c r="EV45" s="421">
        <f t="shared" si="67"/>
        <v>0</v>
      </c>
      <c r="EW45" s="270">
        <f t="shared" si="68"/>
        <v>2</v>
      </c>
      <c r="EX45" s="427">
        <f t="shared" si="69"/>
        <v>0</v>
      </c>
      <c r="EY45" s="421">
        <f t="shared" si="70"/>
        <v>0</v>
      </c>
      <c r="EZ45" s="270">
        <f t="shared" si="71"/>
        <v>4</v>
      </c>
      <c r="FA45" s="427">
        <f t="shared" si="72"/>
        <v>0</v>
      </c>
      <c r="FB45" s="421">
        <f t="shared" si="73"/>
        <v>0</v>
      </c>
      <c r="FC45" s="270">
        <f t="shared" si="74"/>
        <v>6</v>
      </c>
      <c r="FD45" s="427">
        <f t="shared" si="75"/>
        <v>0</v>
      </c>
      <c r="FE45" s="421">
        <f t="shared" si="76"/>
        <v>0</v>
      </c>
      <c r="FF45" s="270">
        <f t="shared" si="77"/>
        <v>8</v>
      </c>
      <c r="FG45" s="427">
        <f t="shared" si="78"/>
        <v>0</v>
      </c>
      <c r="FH45" s="421">
        <f t="shared" si="79"/>
        <v>0</v>
      </c>
      <c r="FI45" s="270">
        <f t="shared" si="80"/>
        <v>10</v>
      </c>
      <c r="FJ45" s="427">
        <f t="shared" si="81"/>
        <v>0</v>
      </c>
      <c r="FK45" s="421">
        <f t="shared" si="82"/>
        <v>0</v>
      </c>
      <c r="FL45" s="270">
        <f t="shared" si="83"/>
        <v>20</v>
      </c>
      <c r="FM45" s="427">
        <f t="shared" si="84"/>
        <v>0</v>
      </c>
      <c r="FN45" s="421">
        <f t="shared" si="85"/>
        <v>0</v>
      </c>
      <c r="FO45" s="270">
        <f t="shared" si="86"/>
        <v>40</v>
      </c>
      <c r="FP45" s="427">
        <f t="shared" si="87"/>
        <v>0</v>
      </c>
      <c r="FQ45" s="421">
        <f t="shared" si="88"/>
        <v>0</v>
      </c>
      <c r="FR45" s="270">
        <f t="shared" si="89"/>
        <v>60</v>
      </c>
      <c r="FS45" s="427">
        <f t="shared" si="90"/>
        <v>0</v>
      </c>
      <c r="FT45" s="421">
        <f t="shared" si="91"/>
        <v>0</v>
      </c>
      <c r="FU45" s="270">
        <f t="shared" si="92"/>
        <v>80</v>
      </c>
      <c r="FV45" s="427">
        <f t="shared" si="93"/>
        <v>0</v>
      </c>
      <c r="FW45" s="421">
        <f t="shared" si="94"/>
        <v>0</v>
      </c>
      <c r="FX45" s="270">
        <f t="shared" si="95"/>
        <v>100</v>
      </c>
      <c r="FY45" s="427">
        <f t="shared" si="96"/>
        <v>0</v>
      </c>
      <c r="GA45" s="431"/>
      <c r="GB45" s="242"/>
      <c r="GF45" s="427"/>
      <c r="GG45" s="433">
        <v>0</v>
      </c>
      <c r="GH45" s="270">
        <v>1</v>
      </c>
      <c r="GI45" s="427">
        <f t="shared" si="97"/>
        <v>0</v>
      </c>
      <c r="GJ45" s="421">
        <f t="shared" si="98"/>
        <v>0</v>
      </c>
      <c r="GK45" s="270">
        <f t="shared" si="99"/>
        <v>1</v>
      </c>
      <c r="GL45" s="427">
        <f t="shared" si="100"/>
        <v>0</v>
      </c>
      <c r="GM45" s="421">
        <f t="shared" si="101"/>
        <v>0</v>
      </c>
      <c r="GN45" s="270">
        <f t="shared" si="102"/>
        <v>1</v>
      </c>
      <c r="GO45" s="427">
        <f t="shared" si="103"/>
        <v>0</v>
      </c>
      <c r="GP45" s="421">
        <f t="shared" si="104"/>
        <v>0</v>
      </c>
      <c r="GQ45" s="270">
        <f t="shared" si="105"/>
        <v>1</v>
      </c>
      <c r="GR45" s="427">
        <f t="shared" si="106"/>
        <v>0</v>
      </c>
      <c r="GS45" s="421">
        <f t="shared" si="107"/>
        <v>0</v>
      </c>
      <c r="GT45" s="270">
        <f t="shared" si="108"/>
        <v>1</v>
      </c>
      <c r="GU45" s="427">
        <f t="shared" si="109"/>
        <v>0</v>
      </c>
      <c r="GV45" s="421">
        <f t="shared" si="110"/>
        <v>0</v>
      </c>
      <c r="GW45" s="270">
        <f t="shared" si="111"/>
        <v>1</v>
      </c>
      <c r="GX45" s="427">
        <f t="shared" si="112"/>
        <v>0</v>
      </c>
      <c r="GY45" s="421">
        <f t="shared" si="113"/>
        <v>0</v>
      </c>
      <c r="GZ45" s="270">
        <f t="shared" si="114"/>
        <v>1</v>
      </c>
      <c r="HA45" s="427">
        <f t="shared" si="115"/>
        <v>0</v>
      </c>
      <c r="HB45" s="421">
        <f t="shared" si="116"/>
        <v>0</v>
      </c>
      <c r="HC45" s="270">
        <f t="shared" si="117"/>
        <v>1</v>
      </c>
      <c r="HD45" s="427">
        <f t="shared" si="118"/>
        <v>0</v>
      </c>
      <c r="HE45" s="421">
        <f t="shared" si="119"/>
        <v>0</v>
      </c>
      <c r="HF45" s="270">
        <f t="shared" si="120"/>
        <v>1</v>
      </c>
      <c r="HG45" s="427">
        <f t="shared" si="121"/>
        <v>0</v>
      </c>
      <c r="HH45" s="421">
        <f t="shared" si="122"/>
        <v>0</v>
      </c>
      <c r="HI45" s="270">
        <f t="shared" si="123"/>
        <v>1</v>
      </c>
      <c r="HJ45" s="427">
        <f t="shared" si="124"/>
        <v>0</v>
      </c>
      <c r="HK45" s="421">
        <f t="shared" si="125"/>
        <v>0</v>
      </c>
      <c r="HL45" s="270">
        <f t="shared" si="125"/>
        <v>1</v>
      </c>
      <c r="HM45" s="427">
        <f t="shared" si="126"/>
        <v>0</v>
      </c>
      <c r="HN45" s="421">
        <f t="shared" si="127"/>
        <v>0</v>
      </c>
      <c r="HO45" s="270">
        <f t="shared" si="127"/>
        <v>1</v>
      </c>
      <c r="HP45" s="427">
        <f t="shared" si="128"/>
        <v>0</v>
      </c>
      <c r="HQ45" s="421">
        <f t="shared" si="129"/>
        <v>0</v>
      </c>
      <c r="HR45" s="270">
        <f t="shared" si="129"/>
        <v>1</v>
      </c>
      <c r="HS45" s="427">
        <f t="shared" si="130"/>
        <v>0</v>
      </c>
      <c r="HT45" s="421">
        <f t="shared" si="131"/>
        <v>0</v>
      </c>
      <c r="HU45" s="270">
        <f t="shared" si="131"/>
        <v>1</v>
      </c>
      <c r="HV45" s="427">
        <f t="shared" si="132"/>
        <v>0</v>
      </c>
      <c r="HW45" s="421">
        <f t="shared" si="133"/>
        <v>0</v>
      </c>
      <c r="HX45" s="270">
        <f t="shared" si="133"/>
        <v>1</v>
      </c>
      <c r="HY45" s="427">
        <f t="shared" si="134"/>
        <v>0</v>
      </c>
      <c r="HZ45" s="421">
        <f t="shared" si="135"/>
        <v>0</v>
      </c>
      <c r="IA45" s="270">
        <f t="shared" si="135"/>
        <v>1</v>
      </c>
      <c r="IB45" s="427">
        <f t="shared" si="136"/>
        <v>0</v>
      </c>
      <c r="IC45" s="421">
        <f t="shared" si="137"/>
        <v>0</v>
      </c>
      <c r="ID45" s="270">
        <f t="shared" si="137"/>
        <v>1</v>
      </c>
      <c r="IE45" s="427">
        <f t="shared" si="138"/>
        <v>0</v>
      </c>
      <c r="IF45" s="421">
        <f t="shared" si="139"/>
        <v>0</v>
      </c>
      <c r="IG45" s="270">
        <f t="shared" si="139"/>
        <v>1</v>
      </c>
      <c r="IH45" s="427">
        <f t="shared" si="140"/>
        <v>0</v>
      </c>
      <c r="II45" s="421">
        <f t="shared" si="141"/>
        <v>0</v>
      </c>
      <c r="IJ45" s="270">
        <f t="shared" si="141"/>
        <v>1</v>
      </c>
      <c r="IK45" s="427">
        <f t="shared" si="142"/>
        <v>0</v>
      </c>
      <c r="IL45" s="421">
        <f t="shared" si="143"/>
        <v>0</v>
      </c>
      <c r="IM45" s="270">
        <f t="shared" si="143"/>
        <v>1</v>
      </c>
      <c r="IN45" s="427">
        <f t="shared" si="144"/>
        <v>0</v>
      </c>
      <c r="IS45" s="447">
        <f t="shared" ref="IS45:JB54" si="554">$AC45*IS$4/10000*$E45*IS$3/$JA$1</f>
        <v>0</v>
      </c>
      <c r="IT45" s="447">
        <f t="shared" si="554"/>
        <v>0</v>
      </c>
      <c r="IU45" s="447">
        <f t="shared" si="554"/>
        <v>0</v>
      </c>
      <c r="IV45" s="447">
        <f t="shared" si="554"/>
        <v>0.02</v>
      </c>
      <c r="IW45" s="447">
        <f t="shared" si="554"/>
        <v>2.5000000000000001E-2</v>
      </c>
      <c r="IX45" s="447">
        <f t="shared" si="554"/>
        <v>0.05</v>
      </c>
      <c r="IY45" s="447">
        <f t="shared" si="554"/>
        <v>0.1</v>
      </c>
      <c r="IZ45" s="447">
        <f t="shared" si="554"/>
        <v>0.15</v>
      </c>
      <c r="JA45" s="447">
        <f t="shared" si="554"/>
        <v>0.2</v>
      </c>
      <c r="JB45" s="447">
        <f t="shared" si="554"/>
        <v>0.25</v>
      </c>
      <c r="JC45" s="447">
        <f t="shared" ref="JC45:JL54" si="555">$AC45*JC$4/10000*$E45*JC$3/$JA$1</f>
        <v>0.5</v>
      </c>
      <c r="JD45" s="447">
        <f t="shared" si="555"/>
        <v>0.625</v>
      </c>
      <c r="JE45" s="447">
        <f t="shared" si="555"/>
        <v>0.62490000000000012</v>
      </c>
      <c r="JF45" s="447">
        <f t="shared" si="555"/>
        <v>0.62480000000000013</v>
      </c>
      <c r="JG45" s="447">
        <f t="shared" si="555"/>
        <v>0.62475000000000003</v>
      </c>
      <c r="JH45" s="447">
        <f t="shared" si="555"/>
        <v>0.62450000000000006</v>
      </c>
      <c r="JI45" s="447">
        <f t="shared" si="555"/>
        <v>0.62400000000000011</v>
      </c>
      <c r="JJ45" s="447">
        <f t="shared" si="555"/>
        <v>0.624</v>
      </c>
      <c r="JK45" s="447">
        <f t="shared" si="555"/>
        <v>0.62400000000000011</v>
      </c>
      <c r="JL45" s="447">
        <f t="shared" si="555"/>
        <v>0.62250000000000005</v>
      </c>
      <c r="JU45" s="242">
        <f t="shared" si="198"/>
        <v>10000000</v>
      </c>
      <c r="JV45" s="242">
        <f t="shared" si="199"/>
        <v>10000000</v>
      </c>
      <c r="JW45" s="242">
        <f t="shared" si="216"/>
        <v>1</v>
      </c>
      <c r="JX45" s="242">
        <f t="shared" si="200"/>
        <v>15000000</v>
      </c>
      <c r="JY45" s="241">
        <f t="shared" si="217"/>
        <v>0</v>
      </c>
      <c r="JZ45" s="241">
        <f t="shared" si="218"/>
        <v>10000000</v>
      </c>
      <c r="KA45" s="241" t="str">
        <f t="shared" si="219"/>
        <v>期望符合预期</v>
      </c>
      <c r="KC45" s="242">
        <f t="shared" si="201"/>
        <v>20000000</v>
      </c>
      <c r="KD45" s="242">
        <f t="shared" si="202"/>
        <v>20000000</v>
      </c>
      <c r="KE45" s="242">
        <f t="shared" si="220"/>
        <v>1</v>
      </c>
      <c r="KF45" s="242">
        <f t="shared" si="203"/>
        <v>30000000</v>
      </c>
      <c r="KG45" s="241">
        <f t="shared" si="221"/>
        <v>0</v>
      </c>
      <c r="KH45" s="241">
        <f t="shared" si="222"/>
        <v>20000000</v>
      </c>
      <c r="KI45" s="241" t="str">
        <f t="shared" si="223"/>
        <v>期望符合预期</v>
      </c>
      <c r="KK45" s="242">
        <f t="shared" si="204"/>
        <v>30000000</v>
      </c>
      <c r="KL45" s="242">
        <f t="shared" si="205"/>
        <v>30000000</v>
      </c>
      <c r="KM45" s="242">
        <f t="shared" si="224"/>
        <v>1</v>
      </c>
      <c r="KN45" s="242">
        <f t="shared" si="206"/>
        <v>40000000</v>
      </c>
      <c r="KO45" s="241">
        <f t="shared" si="225"/>
        <v>0</v>
      </c>
      <c r="KP45" s="241">
        <f t="shared" si="226"/>
        <v>30000000</v>
      </c>
      <c r="KQ45" s="241" t="str">
        <f t="shared" si="227"/>
        <v>期望符合预期</v>
      </c>
      <c r="KS45" s="242">
        <f t="shared" si="207"/>
        <v>40000000</v>
      </c>
      <c r="KT45" s="242">
        <f t="shared" si="208"/>
        <v>40000000</v>
      </c>
      <c r="KU45" s="242">
        <f t="shared" si="228"/>
        <v>1</v>
      </c>
      <c r="KV45" s="242">
        <f t="shared" si="209"/>
        <v>50000000</v>
      </c>
      <c r="KW45" s="241">
        <f t="shared" si="229"/>
        <v>0</v>
      </c>
      <c r="KX45" s="241">
        <f t="shared" si="230"/>
        <v>40000000</v>
      </c>
      <c r="KY45" s="241" t="str">
        <f t="shared" si="231"/>
        <v>期望符合预期</v>
      </c>
      <c r="LA45" s="242">
        <f t="shared" si="210"/>
        <v>50000000</v>
      </c>
      <c r="LB45" s="242">
        <f t="shared" si="211"/>
        <v>50000000</v>
      </c>
      <c r="LC45" s="242">
        <f t="shared" si="232"/>
        <v>1</v>
      </c>
      <c r="LD45" s="242">
        <f t="shared" si="212"/>
        <v>60000000</v>
      </c>
      <c r="LE45" s="241">
        <f t="shared" si="233"/>
        <v>0</v>
      </c>
      <c r="LF45" s="241">
        <f t="shared" si="234"/>
        <v>50000000</v>
      </c>
      <c r="LG45" s="241" t="str">
        <f t="shared" si="235"/>
        <v>期望符合预期</v>
      </c>
    </row>
    <row r="46" spans="1:319" x14ac:dyDescent="0.35">
      <c r="A46" s="63">
        <v>40</v>
      </c>
      <c r="B46" s="254" t="s">
        <v>1767</v>
      </c>
      <c r="C46" s="63">
        <v>6</v>
      </c>
      <c r="D46" s="63">
        <v>7</v>
      </c>
      <c r="E46" s="63">
        <v>400</v>
      </c>
      <c r="F46" s="63" t="s">
        <v>1768</v>
      </c>
      <c r="G46" s="63">
        <f t="shared" si="167"/>
        <v>400</v>
      </c>
      <c r="H46" s="63"/>
      <c r="I46" s="265" t="s">
        <v>1769</v>
      </c>
      <c r="J46" s="63">
        <f t="shared" si="551"/>
        <v>0</v>
      </c>
      <c r="K46" s="63">
        <f t="shared" si="552"/>
        <v>0</v>
      </c>
      <c r="L46" s="63">
        <v>0</v>
      </c>
      <c r="M46" s="266">
        <f>ROUND($BX$7/('全局参数|GlobalPar'!$B$19/10000/E46),6)*(7/5)</f>
        <v>0.27777819999999998</v>
      </c>
      <c r="N46" s="267">
        <v>10</v>
      </c>
      <c r="O46" s="268">
        <f>ROUND(IF(N46&lt;&gt;0,$BX$4/('全局参数|GlobalPar'!$B$19/10000/E46)/N46,0),6)</f>
        <v>0</v>
      </c>
      <c r="P46" s="270">
        <f t="shared" si="386"/>
        <v>0.08</v>
      </c>
      <c r="Q46" s="285">
        <f t="shared" si="535"/>
        <v>0</v>
      </c>
      <c r="R46" s="282">
        <v>15</v>
      </c>
      <c r="S46" s="283">
        <v>1</v>
      </c>
      <c r="T46" s="284" t="str">
        <f t="shared" si="21"/>
        <v>[[15,1],[15,1],[15,1],[15,1],[15,1],[15,1],[15,1],[15,1],[15,1],[15,1],[30,2],[60,4],[90,6],[120,8],[150,10],[300,20],[600,40],[900,60],[1200,80],[1500,100]]</v>
      </c>
      <c r="U46" s="284">
        <v>1</v>
      </c>
      <c r="V46" s="284">
        <v>1</v>
      </c>
      <c r="W46" s="284" t="str">
        <f t="shared" si="168"/>
        <v>[[1,1],[1,1],[1,1],[1,1],[1,1],[1,1],[1,1],[1,1],[1,1],[1,1],[1,1],[1,1],[1,1],[1,1],[1,1],[1,1],[1,1],[1,1],[1,1],[1,1]]</v>
      </c>
      <c r="X46" s="63">
        <v>0</v>
      </c>
      <c r="Y46" s="268">
        <v>0.32</v>
      </c>
      <c r="Z46" s="303">
        <f t="shared" si="541"/>
        <v>0</v>
      </c>
      <c r="AA46" s="303">
        <v>0.06</v>
      </c>
      <c r="AB46" s="303">
        <f t="shared" si="169"/>
        <v>0.1</v>
      </c>
      <c r="AC46" s="304">
        <f t="shared" si="213"/>
        <v>0.05</v>
      </c>
      <c r="AD46" s="304">
        <v>0.02</v>
      </c>
      <c r="AE46" s="304">
        <v>8.0000000000000002E-3</v>
      </c>
      <c r="AF46" s="304">
        <v>2E-3</v>
      </c>
      <c r="AG46" s="63" t="str">
        <f t="shared" si="170"/>
        <v>[[10,5],[12,2],[15,2]]</v>
      </c>
      <c r="AH46" s="256" t="str">
        <f t="shared" si="171"/>
        <v>[0.461538,0.230769,0.153846]</v>
      </c>
      <c r="AI46" s="256">
        <v>0</v>
      </c>
      <c r="AJ46" s="256">
        <v>1</v>
      </c>
      <c r="AK46" s="256">
        <f t="shared" si="243"/>
        <v>1</v>
      </c>
      <c r="AL46" s="256">
        <v>1</v>
      </c>
      <c r="AM46" s="256">
        <f t="shared" si="172"/>
        <v>120</v>
      </c>
      <c r="AN46" s="256" t="s">
        <v>2550</v>
      </c>
      <c r="AO46" s="324">
        <v>12</v>
      </c>
      <c r="AP46" s="63">
        <v>8</v>
      </c>
      <c r="AQ46" s="63">
        <v>0</v>
      </c>
      <c r="AR46" s="39">
        <v>3</v>
      </c>
      <c r="AS46" s="39">
        <v>6</v>
      </c>
      <c r="AT46" s="39">
        <v>1</v>
      </c>
      <c r="AU46" s="63">
        <v>1</v>
      </c>
      <c r="AV46" s="63">
        <f t="shared" si="536"/>
        <v>1.4925373134328357</v>
      </c>
      <c r="AW46" s="63">
        <v>1</v>
      </c>
      <c r="AX46" s="63">
        <v>1</v>
      </c>
      <c r="AY46" s="63" t="s">
        <v>1743</v>
      </c>
      <c r="AZ46" s="39">
        <v>1</v>
      </c>
      <c r="BA46" s="39">
        <v>1</v>
      </c>
      <c r="BB46" s="328">
        <v>1</v>
      </c>
      <c r="BC46" s="39">
        <v>400</v>
      </c>
      <c r="BD46" s="39">
        <v>0.18</v>
      </c>
      <c r="BE46" s="39">
        <v>0.4</v>
      </c>
      <c r="BF46" s="39">
        <v>1</v>
      </c>
      <c r="BG46" s="39" t="s">
        <v>1751</v>
      </c>
      <c r="BH46" s="331" t="s">
        <v>1770</v>
      </c>
      <c r="BI46" s="331" t="s">
        <v>1771</v>
      </c>
      <c r="BJ46" s="334" t="s">
        <v>368</v>
      </c>
      <c r="BK46" s="265" t="s">
        <v>425</v>
      </c>
      <c r="BL46" s="265" t="s">
        <v>752</v>
      </c>
      <c r="BM46" s="725" t="s">
        <v>2451</v>
      </c>
      <c r="BN46" s="81">
        <f t="shared" si="387"/>
        <v>40</v>
      </c>
      <c r="BO46" s="343">
        <f t="shared" si="542"/>
        <v>3.75</v>
      </c>
      <c r="BP46" s="81" t="s">
        <v>1606</v>
      </c>
      <c r="BQ46" s="81">
        <f t="shared" si="388"/>
        <v>0.746</v>
      </c>
      <c r="BR46" s="81"/>
      <c r="BS46" s="63">
        <f t="shared" si="543"/>
        <v>400</v>
      </c>
      <c r="BT46" s="63">
        <f>E46*(1+$CA$1)+J46+K46</f>
        <v>424</v>
      </c>
      <c r="BV46" s="63">
        <f t="shared" si="544"/>
        <v>0</v>
      </c>
      <c r="CG46" s="371">
        <f t="shared" si="545"/>
        <v>440.00000000000006</v>
      </c>
      <c r="CH46" s="372">
        <f t="shared" si="214"/>
        <v>0.1</v>
      </c>
      <c r="CI46" s="373">
        <v>10</v>
      </c>
      <c r="CJ46" s="143">
        <v>5</v>
      </c>
      <c r="CK46" s="373">
        <v>12</v>
      </c>
      <c r="CL46" s="143">
        <v>2</v>
      </c>
      <c r="CM46" s="373">
        <v>15</v>
      </c>
      <c r="CN46" s="143">
        <v>2</v>
      </c>
      <c r="CO46" s="143">
        <f t="shared" si="174"/>
        <v>11.555555555555555</v>
      </c>
      <c r="CP46" s="143">
        <f t="shared" si="550"/>
        <v>7.5</v>
      </c>
      <c r="CQ46" s="377">
        <f t="shared" si="176"/>
        <v>0.461538</v>
      </c>
      <c r="CR46" s="143">
        <f t="shared" si="550"/>
        <v>15</v>
      </c>
      <c r="CS46" s="378">
        <f t="shared" si="177"/>
        <v>0.230769</v>
      </c>
      <c r="CT46" s="143">
        <f t="shared" si="550"/>
        <v>22.5</v>
      </c>
      <c r="CU46" s="392">
        <f t="shared" si="178"/>
        <v>0.15384600000000001</v>
      </c>
      <c r="CW46" s="241">
        <v>2E-3</v>
      </c>
      <c r="CX46" s="396">
        <f t="shared" si="215"/>
        <v>0</v>
      </c>
      <c r="CY46" s="270">
        <f t="shared" si="546"/>
        <v>0</v>
      </c>
      <c r="CZ46" s="394">
        <f t="shared" si="547"/>
        <v>0</v>
      </c>
      <c r="DA46" s="394">
        <f t="shared" si="35"/>
        <v>0</v>
      </c>
      <c r="DB46" s="395">
        <f t="shared" si="179"/>
        <v>0</v>
      </c>
      <c r="DC46" s="419">
        <f t="shared" si="548"/>
        <v>0</v>
      </c>
      <c r="DD46" s="394">
        <f t="shared" si="37"/>
        <v>0</v>
      </c>
      <c r="DE46" s="420" t="e">
        <f t="shared" si="549"/>
        <v>#DIV/0!</v>
      </c>
      <c r="DF46" s="421">
        <f t="shared" si="180"/>
        <v>15</v>
      </c>
      <c r="DG46" s="422">
        <f t="shared" si="181"/>
        <v>1</v>
      </c>
      <c r="DH46" s="284"/>
      <c r="DI46" s="282">
        <v>15</v>
      </c>
      <c r="DJ46" s="283">
        <v>1</v>
      </c>
      <c r="DL46" s="431"/>
      <c r="DM46" s="242"/>
      <c r="DQ46" s="427"/>
      <c r="DR46" s="421">
        <v>15</v>
      </c>
      <c r="DS46" s="270">
        <v>1</v>
      </c>
      <c r="DT46" s="427">
        <f t="shared" si="39"/>
        <v>4.4444444444444496E-3</v>
      </c>
      <c r="DU46" s="421">
        <f t="shared" si="40"/>
        <v>15</v>
      </c>
      <c r="DV46" s="270">
        <f t="shared" si="182"/>
        <v>1</v>
      </c>
      <c r="DW46" s="427">
        <f t="shared" si="42"/>
        <v>8.8888888888888993E-3</v>
      </c>
      <c r="DX46" s="421">
        <f t="shared" si="43"/>
        <v>15</v>
      </c>
      <c r="DY46" s="270">
        <f t="shared" si="183"/>
        <v>1</v>
      </c>
      <c r="DZ46" s="427">
        <f t="shared" si="45"/>
        <v>1.3333333333333348E-2</v>
      </c>
      <c r="EA46" s="421">
        <f t="shared" si="184"/>
        <v>15</v>
      </c>
      <c r="EB46" s="270">
        <f t="shared" si="185"/>
        <v>1</v>
      </c>
      <c r="EC46" s="427">
        <f t="shared" si="48"/>
        <v>1.7777777777777799E-2</v>
      </c>
      <c r="ED46" s="421">
        <f t="shared" si="186"/>
        <v>15</v>
      </c>
      <c r="EE46" s="270">
        <f t="shared" si="187"/>
        <v>1</v>
      </c>
      <c r="EF46" s="427">
        <f t="shared" si="51"/>
        <v>2.2222222222222244E-2</v>
      </c>
      <c r="EG46" s="421">
        <f t="shared" si="188"/>
        <v>15</v>
      </c>
      <c r="EH46" s="270">
        <f t="shared" si="189"/>
        <v>1</v>
      </c>
      <c r="EI46" s="427">
        <f t="shared" si="54"/>
        <v>4.4444444444444488E-2</v>
      </c>
      <c r="EJ46" s="421">
        <f t="shared" si="190"/>
        <v>15</v>
      </c>
      <c r="EK46" s="270">
        <f t="shared" si="191"/>
        <v>1</v>
      </c>
      <c r="EL46" s="427">
        <f t="shared" si="57"/>
        <v>8.8888888888888976E-2</v>
      </c>
      <c r="EM46" s="421">
        <f t="shared" si="192"/>
        <v>15</v>
      </c>
      <c r="EN46" s="270">
        <f t="shared" si="193"/>
        <v>1</v>
      </c>
      <c r="EO46" s="427">
        <f t="shared" si="60"/>
        <v>0.13333333333333347</v>
      </c>
      <c r="EP46" s="421">
        <f t="shared" si="194"/>
        <v>15</v>
      </c>
      <c r="EQ46" s="270">
        <f t="shared" si="195"/>
        <v>1</v>
      </c>
      <c r="ER46" s="427">
        <f t="shared" si="63"/>
        <v>0.17777777777777795</v>
      </c>
      <c r="ES46" s="421">
        <f t="shared" si="196"/>
        <v>15</v>
      </c>
      <c r="ET46" s="270">
        <f t="shared" si="197"/>
        <v>1</v>
      </c>
      <c r="EU46" s="427">
        <f t="shared" si="66"/>
        <v>0.22222222222222246</v>
      </c>
      <c r="EV46" s="421">
        <f t="shared" si="67"/>
        <v>30</v>
      </c>
      <c r="EW46" s="270">
        <f t="shared" si="68"/>
        <v>2</v>
      </c>
      <c r="EX46" s="427">
        <f t="shared" si="69"/>
        <v>0.22222222222222246</v>
      </c>
      <c r="EY46" s="421">
        <f t="shared" si="70"/>
        <v>60</v>
      </c>
      <c r="EZ46" s="270">
        <f t="shared" si="71"/>
        <v>4</v>
      </c>
      <c r="FA46" s="427">
        <f t="shared" si="72"/>
        <v>0.22222222222222246</v>
      </c>
      <c r="FB46" s="421">
        <f t="shared" si="73"/>
        <v>90</v>
      </c>
      <c r="FC46" s="270">
        <f t="shared" si="74"/>
        <v>6</v>
      </c>
      <c r="FD46" s="427">
        <f t="shared" si="75"/>
        <v>0.22222222222222246</v>
      </c>
      <c r="FE46" s="421">
        <f t="shared" si="76"/>
        <v>120</v>
      </c>
      <c r="FF46" s="270">
        <f t="shared" si="77"/>
        <v>8</v>
      </c>
      <c r="FG46" s="427">
        <f t="shared" si="78"/>
        <v>0.22222222222222246</v>
      </c>
      <c r="FH46" s="421">
        <f t="shared" si="79"/>
        <v>150</v>
      </c>
      <c r="FI46" s="270">
        <f t="shared" si="80"/>
        <v>10</v>
      </c>
      <c r="FJ46" s="427">
        <f t="shared" si="81"/>
        <v>0.22222222222222246</v>
      </c>
      <c r="FK46" s="421">
        <f t="shared" si="82"/>
        <v>300</v>
      </c>
      <c r="FL46" s="270">
        <f t="shared" si="83"/>
        <v>20</v>
      </c>
      <c r="FM46" s="427">
        <f t="shared" si="84"/>
        <v>0.22222222222222246</v>
      </c>
      <c r="FN46" s="421">
        <f t="shared" si="85"/>
        <v>600</v>
      </c>
      <c r="FO46" s="270">
        <f t="shared" si="86"/>
        <v>40</v>
      </c>
      <c r="FP46" s="427">
        <f t="shared" si="87"/>
        <v>0.22222222222222246</v>
      </c>
      <c r="FQ46" s="421">
        <f t="shared" si="88"/>
        <v>900</v>
      </c>
      <c r="FR46" s="270">
        <f t="shared" si="89"/>
        <v>60</v>
      </c>
      <c r="FS46" s="427">
        <f t="shared" si="90"/>
        <v>0.22222222222222246</v>
      </c>
      <c r="FT46" s="421">
        <f t="shared" si="91"/>
        <v>1200</v>
      </c>
      <c r="FU46" s="270">
        <f t="shared" si="92"/>
        <v>80</v>
      </c>
      <c r="FV46" s="427">
        <f t="shared" si="93"/>
        <v>0.22222222222222246</v>
      </c>
      <c r="FW46" s="421">
        <f t="shared" si="94"/>
        <v>1500</v>
      </c>
      <c r="FX46" s="270">
        <f t="shared" si="95"/>
        <v>100</v>
      </c>
      <c r="FY46" s="427">
        <f t="shared" si="96"/>
        <v>0.22222222222222246</v>
      </c>
      <c r="GA46" s="431"/>
      <c r="GB46" s="242"/>
      <c r="GF46" s="427"/>
      <c r="GG46" s="421">
        <v>1</v>
      </c>
      <c r="GH46" s="270">
        <v>1</v>
      </c>
      <c r="GI46" s="427">
        <f t="shared" si="97"/>
        <v>4.444444444444448E-5</v>
      </c>
      <c r="GJ46" s="421">
        <f t="shared" si="98"/>
        <v>1</v>
      </c>
      <c r="GK46" s="270">
        <f t="shared" si="99"/>
        <v>1</v>
      </c>
      <c r="GL46" s="427">
        <f t="shared" si="100"/>
        <v>8.8888888888888961E-5</v>
      </c>
      <c r="GM46" s="421">
        <f t="shared" si="101"/>
        <v>1</v>
      </c>
      <c r="GN46" s="270">
        <f t="shared" si="102"/>
        <v>1</v>
      </c>
      <c r="GO46" s="427">
        <f t="shared" si="103"/>
        <v>1.3333333333333345E-4</v>
      </c>
      <c r="GP46" s="421">
        <f t="shared" si="104"/>
        <v>1</v>
      </c>
      <c r="GQ46" s="270">
        <f t="shared" si="105"/>
        <v>1</v>
      </c>
      <c r="GR46" s="427">
        <f t="shared" si="106"/>
        <v>1.7777777777777792E-4</v>
      </c>
      <c r="GS46" s="421">
        <f t="shared" si="107"/>
        <v>1</v>
      </c>
      <c r="GT46" s="270">
        <f t="shared" si="108"/>
        <v>1</v>
      </c>
      <c r="GU46" s="427">
        <f t="shared" si="109"/>
        <v>2.222222222222224E-4</v>
      </c>
      <c r="GV46" s="421">
        <f t="shared" si="110"/>
        <v>1</v>
      </c>
      <c r="GW46" s="270">
        <f t="shared" si="111"/>
        <v>1</v>
      </c>
      <c r="GX46" s="427">
        <f t="shared" si="112"/>
        <v>4.4444444444444479E-4</v>
      </c>
      <c r="GY46" s="421">
        <f t="shared" si="113"/>
        <v>1</v>
      </c>
      <c r="GZ46" s="270">
        <f t="shared" si="114"/>
        <v>1</v>
      </c>
      <c r="HA46" s="427">
        <f t="shared" si="115"/>
        <v>8.8888888888888958E-4</v>
      </c>
      <c r="HB46" s="421">
        <f t="shared" si="116"/>
        <v>1</v>
      </c>
      <c r="HC46" s="270">
        <f t="shared" si="117"/>
        <v>1</v>
      </c>
      <c r="HD46" s="427">
        <f t="shared" si="118"/>
        <v>1.3333333333333344E-3</v>
      </c>
      <c r="HE46" s="421">
        <f t="shared" si="119"/>
        <v>1</v>
      </c>
      <c r="HF46" s="270">
        <f t="shared" si="120"/>
        <v>1</v>
      </c>
      <c r="HG46" s="427">
        <f t="shared" si="121"/>
        <v>1.7777777777777792E-3</v>
      </c>
      <c r="HH46" s="421">
        <f t="shared" si="122"/>
        <v>1</v>
      </c>
      <c r="HI46" s="270">
        <f t="shared" si="123"/>
        <v>1</v>
      </c>
      <c r="HJ46" s="427">
        <f t="shared" si="124"/>
        <v>2.222222222222224E-3</v>
      </c>
      <c r="HK46" s="421">
        <f t="shared" si="125"/>
        <v>1</v>
      </c>
      <c r="HL46" s="270">
        <f t="shared" si="125"/>
        <v>1</v>
      </c>
      <c r="HM46" s="427">
        <f t="shared" si="126"/>
        <v>4.4444444444444479E-3</v>
      </c>
      <c r="HN46" s="421">
        <f t="shared" si="127"/>
        <v>1</v>
      </c>
      <c r="HO46" s="270">
        <f t="shared" si="127"/>
        <v>1</v>
      </c>
      <c r="HP46" s="427">
        <f t="shared" si="128"/>
        <v>8.8888888888888958E-3</v>
      </c>
      <c r="HQ46" s="421">
        <f t="shared" si="129"/>
        <v>1</v>
      </c>
      <c r="HR46" s="270">
        <f t="shared" si="129"/>
        <v>1</v>
      </c>
      <c r="HS46" s="427">
        <f t="shared" si="130"/>
        <v>1.3333333333333345E-2</v>
      </c>
      <c r="HT46" s="421">
        <f t="shared" si="131"/>
        <v>1</v>
      </c>
      <c r="HU46" s="270">
        <f t="shared" si="131"/>
        <v>1</v>
      </c>
      <c r="HV46" s="427">
        <f t="shared" si="132"/>
        <v>1.7777777777777792E-2</v>
      </c>
      <c r="HW46" s="421">
        <f t="shared" si="133"/>
        <v>1</v>
      </c>
      <c r="HX46" s="270">
        <f t="shared" si="133"/>
        <v>1</v>
      </c>
      <c r="HY46" s="427">
        <f t="shared" si="134"/>
        <v>2.222222222222224E-2</v>
      </c>
      <c r="HZ46" s="421">
        <f t="shared" si="135"/>
        <v>1</v>
      </c>
      <c r="IA46" s="270">
        <f t="shared" si="135"/>
        <v>1</v>
      </c>
      <c r="IB46" s="427">
        <f t="shared" si="136"/>
        <v>4.4444444444444481E-2</v>
      </c>
      <c r="IC46" s="421">
        <f t="shared" si="137"/>
        <v>1</v>
      </c>
      <c r="ID46" s="270">
        <f t="shared" si="137"/>
        <v>1</v>
      </c>
      <c r="IE46" s="427">
        <f t="shared" si="138"/>
        <v>8.8888888888888962E-2</v>
      </c>
      <c r="IF46" s="421">
        <f t="shared" si="139"/>
        <v>1</v>
      </c>
      <c r="IG46" s="270">
        <f t="shared" si="139"/>
        <v>1</v>
      </c>
      <c r="IH46" s="427">
        <f t="shared" si="140"/>
        <v>0.13333333333333344</v>
      </c>
      <c r="II46" s="421">
        <f t="shared" si="141"/>
        <v>1</v>
      </c>
      <c r="IJ46" s="270">
        <f t="shared" si="141"/>
        <v>1</v>
      </c>
      <c r="IK46" s="427">
        <f t="shared" si="142"/>
        <v>0.17777777777777792</v>
      </c>
      <c r="IL46" s="421">
        <f t="shared" si="143"/>
        <v>1</v>
      </c>
      <c r="IM46" s="270">
        <f t="shared" si="143"/>
        <v>1</v>
      </c>
      <c r="IN46" s="427">
        <f t="shared" si="144"/>
        <v>0.2222222222222224</v>
      </c>
      <c r="IS46" s="447">
        <f t="shared" si="554"/>
        <v>0</v>
      </c>
      <c r="IT46" s="447">
        <f t="shared" si="554"/>
        <v>0</v>
      </c>
      <c r="IU46" s="447">
        <f t="shared" si="554"/>
        <v>0</v>
      </c>
      <c r="IV46" s="447">
        <f t="shared" si="554"/>
        <v>1.6E-2</v>
      </c>
      <c r="IW46" s="447">
        <f t="shared" si="554"/>
        <v>0.02</v>
      </c>
      <c r="IX46" s="447">
        <f t="shared" si="554"/>
        <v>0.04</v>
      </c>
      <c r="IY46" s="447">
        <f t="shared" si="554"/>
        <v>0.08</v>
      </c>
      <c r="IZ46" s="447">
        <f t="shared" si="554"/>
        <v>0.12</v>
      </c>
      <c r="JA46" s="447">
        <f t="shared" si="554"/>
        <v>0.16</v>
      </c>
      <c r="JB46" s="447">
        <f t="shared" si="554"/>
        <v>0.2</v>
      </c>
      <c r="JC46" s="447">
        <f t="shared" si="555"/>
        <v>0.4</v>
      </c>
      <c r="JD46" s="447">
        <f t="shared" si="555"/>
        <v>0.5</v>
      </c>
      <c r="JE46" s="447">
        <f t="shared" si="555"/>
        <v>0.49992000000000009</v>
      </c>
      <c r="JF46" s="447">
        <f t="shared" si="555"/>
        <v>0.49984000000000006</v>
      </c>
      <c r="JG46" s="447">
        <f t="shared" si="555"/>
        <v>0.49980000000000002</v>
      </c>
      <c r="JH46" s="447">
        <f t="shared" si="555"/>
        <v>0.4996000000000001</v>
      </c>
      <c r="JI46" s="447">
        <f t="shared" si="555"/>
        <v>0.49920000000000009</v>
      </c>
      <c r="JJ46" s="447">
        <f t="shared" si="555"/>
        <v>0.49920000000000009</v>
      </c>
      <c r="JK46" s="447">
        <f t="shared" si="555"/>
        <v>0.49920000000000009</v>
      </c>
      <c r="JL46" s="447">
        <f t="shared" si="555"/>
        <v>0.498</v>
      </c>
      <c r="JU46" s="242">
        <f t="shared" si="198"/>
        <v>8000000</v>
      </c>
      <c r="JV46" s="242">
        <f t="shared" si="199"/>
        <v>5000000</v>
      </c>
      <c r="JW46" s="242">
        <f t="shared" si="216"/>
        <v>0.4</v>
      </c>
      <c r="JX46" s="242">
        <f t="shared" si="200"/>
        <v>10000000</v>
      </c>
      <c r="JY46" s="241">
        <f t="shared" si="217"/>
        <v>0.6</v>
      </c>
      <c r="JZ46" s="241">
        <f t="shared" si="218"/>
        <v>8000000</v>
      </c>
      <c r="KA46" s="241" t="str">
        <f t="shared" si="219"/>
        <v>期望符合预期</v>
      </c>
      <c r="KC46" s="242">
        <f t="shared" si="201"/>
        <v>16000000</v>
      </c>
      <c r="KD46" s="242">
        <f t="shared" si="202"/>
        <v>15000000</v>
      </c>
      <c r="KE46" s="242">
        <f t="shared" si="220"/>
        <v>0.8</v>
      </c>
      <c r="KF46" s="242">
        <f t="shared" si="203"/>
        <v>20000000</v>
      </c>
      <c r="KG46" s="241">
        <f t="shared" si="221"/>
        <v>0.2</v>
      </c>
      <c r="KH46" s="241">
        <f t="shared" si="222"/>
        <v>16000000</v>
      </c>
      <c r="KI46" s="241" t="str">
        <f t="shared" si="223"/>
        <v>期望符合预期</v>
      </c>
      <c r="KK46" s="242">
        <f t="shared" si="204"/>
        <v>24000000</v>
      </c>
      <c r="KL46" s="242">
        <f t="shared" si="205"/>
        <v>20000000</v>
      </c>
      <c r="KM46" s="242">
        <f t="shared" si="224"/>
        <v>0.6</v>
      </c>
      <c r="KN46" s="242">
        <f t="shared" si="206"/>
        <v>30000000</v>
      </c>
      <c r="KO46" s="241">
        <f t="shared" si="225"/>
        <v>0.4</v>
      </c>
      <c r="KP46" s="241">
        <f t="shared" si="226"/>
        <v>24000000</v>
      </c>
      <c r="KQ46" s="241" t="str">
        <f t="shared" si="227"/>
        <v>期望符合预期</v>
      </c>
      <c r="KS46" s="242">
        <f t="shared" si="207"/>
        <v>32000000</v>
      </c>
      <c r="KT46" s="242">
        <f t="shared" si="208"/>
        <v>30000000</v>
      </c>
      <c r="KU46" s="242">
        <f t="shared" si="228"/>
        <v>0.8</v>
      </c>
      <c r="KV46" s="242">
        <f t="shared" si="209"/>
        <v>40000000</v>
      </c>
      <c r="KW46" s="241">
        <f t="shared" si="229"/>
        <v>0.2</v>
      </c>
      <c r="KX46" s="241">
        <f t="shared" si="230"/>
        <v>32000000</v>
      </c>
      <c r="KY46" s="241" t="str">
        <f t="shared" si="231"/>
        <v>期望符合预期</v>
      </c>
      <c r="LA46" s="242">
        <f t="shared" si="210"/>
        <v>40000000</v>
      </c>
      <c r="LB46" s="242">
        <f t="shared" si="211"/>
        <v>40000000</v>
      </c>
      <c r="LC46" s="242">
        <f t="shared" si="232"/>
        <v>1</v>
      </c>
      <c r="LD46" s="242">
        <f t="shared" si="212"/>
        <v>50000000</v>
      </c>
      <c r="LE46" s="241">
        <f t="shared" si="233"/>
        <v>0</v>
      </c>
      <c r="LF46" s="241">
        <f t="shared" si="234"/>
        <v>40000000</v>
      </c>
      <c r="LG46" s="241" t="str">
        <f t="shared" si="235"/>
        <v>期望符合预期</v>
      </c>
    </row>
    <row r="47" spans="1:319" ht="16.2" x14ac:dyDescent="0.4">
      <c r="A47" s="63">
        <v>41</v>
      </c>
      <c r="B47" s="254" t="s">
        <v>1772</v>
      </c>
      <c r="C47" s="63">
        <v>6</v>
      </c>
      <c r="D47" s="63">
        <v>6</v>
      </c>
      <c r="E47" s="63">
        <v>800</v>
      </c>
      <c r="F47" s="256" t="s">
        <v>1749</v>
      </c>
      <c r="G47" s="63">
        <f t="shared" si="167"/>
        <v>800</v>
      </c>
      <c r="H47" s="63"/>
      <c r="I47" s="265"/>
      <c r="J47" s="63">
        <f t="shared" si="551"/>
        <v>0</v>
      </c>
      <c r="K47" s="63">
        <f t="shared" si="552"/>
        <v>0</v>
      </c>
      <c r="L47" s="63">
        <v>0</v>
      </c>
      <c r="M47" s="266">
        <f>ROUND($BX$7/('全局参数|GlobalPar'!$B$19/10000/E47),6)*(7/5)</f>
        <v>0.55555499999999991</v>
      </c>
      <c r="N47" s="267">
        <v>10</v>
      </c>
      <c r="O47" s="268">
        <f>ROUND(IF(N47&lt;&gt;0,$BX$4/('全局参数|GlobalPar'!$B$19/10000/E47)/N47,0),6)</f>
        <v>0</v>
      </c>
      <c r="P47" s="270">
        <f t="shared" si="386"/>
        <v>0.16</v>
      </c>
      <c r="Q47" s="285">
        <f t="shared" si="535"/>
        <v>0</v>
      </c>
      <c r="R47" s="282">
        <v>15</v>
      </c>
      <c r="S47" s="283">
        <v>1</v>
      </c>
      <c r="T47" s="284" t="str">
        <f t="shared" si="21"/>
        <v>[[0,1],[0,1],[0,1],[0,1],[0,1],[0,1],[0,1],[0,1],[0,1],[0,1],[0,2],[0,4],[0,6],[0,8],[0,10],[0,20],[0,40],[0,60],[0,80],[0,100]]</v>
      </c>
      <c r="U47" s="284">
        <v>1</v>
      </c>
      <c r="V47" s="284">
        <v>1</v>
      </c>
      <c r="W47" s="284" t="str">
        <f t="shared" si="168"/>
        <v>[[0,1],[0,1],[0,1],[0,1],[0,1],[0,1],[0,1],[0,1],[0,1],[0,1],[0,1],[0,1],[0,1],[0,1],[0,1],[0,1],[0,1],[0,1],[0,1],[0,1]]</v>
      </c>
      <c r="X47" s="63">
        <v>0</v>
      </c>
      <c r="Y47" s="305">
        <v>0.3</v>
      </c>
      <c r="Z47" s="303">
        <f t="shared" si="541"/>
        <v>0</v>
      </c>
      <c r="AA47" s="303">
        <v>0.06</v>
      </c>
      <c r="AB47" s="303">
        <f t="shared" si="169"/>
        <v>0.1</v>
      </c>
      <c r="AC47" s="304">
        <f t="shared" si="213"/>
        <v>0.05</v>
      </c>
      <c r="AD47" s="304">
        <v>0.02</v>
      </c>
      <c r="AE47" s="304">
        <v>8.0000000000000002E-3</v>
      </c>
      <c r="AF47" s="304">
        <v>2E-3</v>
      </c>
      <c r="AG47" s="63" t="str">
        <f t="shared" si="170"/>
        <v>[[10,5],[12,2],[15,2]]</v>
      </c>
      <c r="AH47" s="256" t="str">
        <f t="shared" si="171"/>
        <v>[0.923077,0.461538,0.307692]</v>
      </c>
      <c r="AI47" s="256">
        <v>0</v>
      </c>
      <c r="AJ47" s="256">
        <v>1</v>
      </c>
      <c r="AK47" s="256">
        <f t="shared" si="243"/>
        <v>1</v>
      </c>
      <c r="AL47" s="256">
        <v>1</v>
      </c>
      <c r="AM47" s="256">
        <f t="shared" si="172"/>
        <v>240</v>
      </c>
      <c r="AN47" s="256" t="s">
        <v>2551</v>
      </c>
      <c r="AO47" s="324">
        <v>12</v>
      </c>
      <c r="AP47" s="63">
        <v>9</v>
      </c>
      <c r="AQ47" s="63">
        <v>1</v>
      </c>
      <c r="AR47" s="39">
        <v>3</v>
      </c>
      <c r="AS47" s="39">
        <v>6</v>
      </c>
      <c r="AT47" s="39">
        <v>0</v>
      </c>
      <c r="AU47" s="63">
        <v>1</v>
      </c>
      <c r="AV47" s="63">
        <f t="shared" ref="AV47" si="556">AU47</f>
        <v>1</v>
      </c>
      <c r="AW47" s="63">
        <v>1</v>
      </c>
      <c r="AX47" s="63">
        <v>1</v>
      </c>
      <c r="AY47" s="63" t="s">
        <v>1773</v>
      </c>
      <c r="AZ47" s="39"/>
      <c r="BA47" s="39"/>
      <c r="BB47" s="328">
        <v>1</v>
      </c>
      <c r="BC47" s="39">
        <v>800</v>
      </c>
      <c r="BD47" s="39">
        <v>0.18</v>
      </c>
      <c r="BE47" s="329">
        <v>0.5</v>
      </c>
      <c r="BF47" s="39">
        <v>1</v>
      </c>
      <c r="BG47" s="39" t="s">
        <v>1751</v>
      </c>
      <c r="BH47" s="331" t="s">
        <v>1774</v>
      </c>
      <c r="BI47" s="331" t="s">
        <v>1775</v>
      </c>
      <c r="BJ47" s="265" t="s">
        <v>399</v>
      </c>
      <c r="BK47" s="265" t="s">
        <v>425</v>
      </c>
      <c r="BL47" s="265" t="s">
        <v>752</v>
      </c>
      <c r="BM47" s="265" t="s">
        <v>1766</v>
      </c>
      <c r="BN47" s="81">
        <f t="shared" si="387"/>
        <v>80</v>
      </c>
      <c r="BO47" s="343">
        <f t="shared" si="542"/>
        <v>1.875</v>
      </c>
      <c r="BP47" s="81" t="s">
        <v>1606</v>
      </c>
      <c r="BQ47" s="81">
        <f t="shared" si="388"/>
        <v>1</v>
      </c>
      <c r="BR47" s="81"/>
      <c r="BS47" s="63">
        <f t="shared" si="543"/>
        <v>800</v>
      </c>
      <c r="BT47" s="267">
        <f t="shared" ref="BT47:BT52" si="557">IF(P47=0,BS47,BS47*(1+$CA$1))</f>
        <v>848</v>
      </c>
      <c r="BV47" s="63">
        <f t="shared" si="544"/>
        <v>0</v>
      </c>
      <c r="CG47" s="371">
        <f t="shared" si="545"/>
        <v>880.00000000000011</v>
      </c>
      <c r="CH47" s="372">
        <f t="shared" si="214"/>
        <v>0.1</v>
      </c>
      <c r="CI47" s="373">
        <v>10</v>
      </c>
      <c r="CJ47" s="143">
        <v>5</v>
      </c>
      <c r="CK47" s="373">
        <v>12</v>
      </c>
      <c r="CL47" s="143">
        <v>2</v>
      </c>
      <c r="CM47" s="373">
        <v>15</v>
      </c>
      <c r="CN47" s="143">
        <v>2</v>
      </c>
      <c r="CO47" s="143">
        <f t="shared" si="174"/>
        <v>11.555555555555555</v>
      </c>
      <c r="CP47" s="143">
        <f t="shared" si="550"/>
        <v>7.5</v>
      </c>
      <c r="CQ47" s="377">
        <f t="shared" si="176"/>
        <v>0.92307700000000004</v>
      </c>
      <c r="CR47" s="143">
        <f t="shared" si="550"/>
        <v>15</v>
      </c>
      <c r="CS47" s="378">
        <f t="shared" si="177"/>
        <v>0.461538</v>
      </c>
      <c r="CT47" s="143">
        <f t="shared" si="550"/>
        <v>22.5</v>
      </c>
      <c r="CU47" s="392">
        <f t="shared" si="178"/>
        <v>0.30769200000000002</v>
      </c>
      <c r="CW47" s="241">
        <v>0</v>
      </c>
      <c r="CX47" s="396">
        <v>0</v>
      </c>
      <c r="CY47" s="270">
        <f t="shared" si="546"/>
        <v>0</v>
      </c>
      <c r="CZ47" s="394">
        <f t="shared" si="547"/>
        <v>0</v>
      </c>
      <c r="DA47" s="394">
        <f t="shared" si="35"/>
        <v>0</v>
      </c>
      <c r="DB47" s="395">
        <f t="shared" si="179"/>
        <v>0</v>
      </c>
      <c r="DC47" s="419">
        <f t="shared" si="548"/>
        <v>0</v>
      </c>
      <c r="DD47" s="394">
        <f t="shared" si="37"/>
        <v>0</v>
      </c>
      <c r="DE47" s="420" t="e">
        <f t="shared" si="549"/>
        <v>#DIV/0!</v>
      </c>
      <c r="DF47" s="421">
        <f t="shared" si="180"/>
        <v>15</v>
      </c>
      <c r="DG47" s="422">
        <f t="shared" si="181"/>
        <v>1</v>
      </c>
      <c r="DH47" s="284"/>
      <c r="DI47" s="282">
        <v>15</v>
      </c>
      <c r="DJ47" s="283">
        <v>1</v>
      </c>
      <c r="DL47" s="431"/>
      <c r="DM47" s="242"/>
      <c r="DQ47" s="427"/>
      <c r="DR47" s="421">
        <v>0</v>
      </c>
      <c r="DS47" s="270">
        <v>1</v>
      </c>
      <c r="DT47" s="427">
        <f t="shared" si="39"/>
        <v>0</v>
      </c>
      <c r="DU47" s="421">
        <f t="shared" si="40"/>
        <v>0</v>
      </c>
      <c r="DV47" s="270">
        <f t="shared" si="182"/>
        <v>1</v>
      </c>
      <c r="DW47" s="427">
        <f t="shared" si="42"/>
        <v>0</v>
      </c>
      <c r="DX47" s="421">
        <f t="shared" si="43"/>
        <v>0</v>
      </c>
      <c r="DY47" s="270">
        <f t="shared" si="183"/>
        <v>1</v>
      </c>
      <c r="DZ47" s="427">
        <f t="shared" si="45"/>
        <v>0</v>
      </c>
      <c r="EA47" s="421">
        <f t="shared" si="184"/>
        <v>0</v>
      </c>
      <c r="EB47" s="270">
        <f t="shared" si="185"/>
        <v>1</v>
      </c>
      <c r="EC47" s="427">
        <f t="shared" si="48"/>
        <v>0</v>
      </c>
      <c r="ED47" s="421">
        <f t="shared" si="186"/>
        <v>0</v>
      </c>
      <c r="EE47" s="270">
        <f t="shared" si="187"/>
        <v>1</v>
      </c>
      <c r="EF47" s="427">
        <f t="shared" si="51"/>
        <v>0</v>
      </c>
      <c r="EG47" s="421">
        <f t="shared" si="188"/>
        <v>0</v>
      </c>
      <c r="EH47" s="270">
        <f t="shared" si="189"/>
        <v>1</v>
      </c>
      <c r="EI47" s="427">
        <f t="shared" si="54"/>
        <v>0</v>
      </c>
      <c r="EJ47" s="421">
        <f t="shared" si="190"/>
        <v>0</v>
      </c>
      <c r="EK47" s="270">
        <f t="shared" si="191"/>
        <v>1</v>
      </c>
      <c r="EL47" s="427">
        <f t="shared" si="57"/>
        <v>0</v>
      </c>
      <c r="EM47" s="421">
        <f t="shared" si="192"/>
        <v>0</v>
      </c>
      <c r="EN47" s="270">
        <f t="shared" si="193"/>
        <v>1</v>
      </c>
      <c r="EO47" s="427">
        <f t="shared" si="60"/>
        <v>0</v>
      </c>
      <c r="EP47" s="421">
        <f t="shared" si="194"/>
        <v>0</v>
      </c>
      <c r="EQ47" s="270">
        <f t="shared" si="195"/>
        <v>1</v>
      </c>
      <c r="ER47" s="427">
        <f t="shared" si="63"/>
        <v>0</v>
      </c>
      <c r="ES47" s="421">
        <f t="shared" si="196"/>
        <v>0</v>
      </c>
      <c r="ET47" s="270">
        <f t="shared" si="197"/>
        <v>1</v>
      </c>
      <c r="EU47" s="427">
        <f t="shared" si="66"/>
        <v>0</v>
      </c>
      <c r="EV47" s="421">
        <f t="shared" si="67"/>
        <v>0</v>
      </c>
      <c r="EW47" s="270">
        <f t="shared" si="68"/>
        <v>2</v>
      </c>
      <c r="EX47" s="427">
        <f t="shared" si="69"/>
        <v>0</v>
      </c>
      <c r="EY47" s="421">
        <f t="shared" si="70"/>
        <v>0</v>
      </c>
      <c r="EZ47" s="270">
        <f t="shared" si="71"/>
        <v>4</v>
      </c>
      <c r="FA47" s="427">
        <f t="shared" si="72"/>
        <v>0</v>
      </c>
      <c r="FB47" s="421">
        <f t="shared" si="73"/>
        <v>0</v>
      </c>
      <c r="FC47" s="270">
        <f t="shared" si="74"/>
        <v>6</v>
      </c>
      <c r="FD47" s="427">
        <f t="shared" si="75"/>
        <v>0</v>
      </c>
      <c r="FE47" s="421">
        <f t="shared" si="76"/>
        <v>0</v>
      </c>
      <c r="FF47" s="270">
        <f t="shared" si="77"/>
        <v>8</v>
      </c>
      <c r="FG47" s="427">
        <f t="shared" si="78"/>
        <v>0</v>
      </c>
      <c r="FH47" s="421">
        <f t="shared" si="79"/>
        <v>0</v>
      </c>
      <c r="FI47" s="270">
        <f t="shared" si="80"/>
        <v>10</v>
      </c>
      <c r="FJ47" s="427">
        <f t="shared" si="81"/>
        <v>0</v>
      </c>
      <c r="FK47" s="421">
        <f t="shared" si="82"/>
        <v>0</v>
      </c>
      <c r="FL47" s="270">
        <f t="shared" si="83"/>
        <v>20</v>
      </c>
      <c r="FM47" s="427">
        <f t="shared" si="84"/>
        <v>0</v>
      </c>
      <c r="FN47" s="421">
        <f t="shared" si="85"/>
        <v>0</v>
      </c>
      <c r="FO47" s="270">
        <f t="shared" si="86"/>
        <v>40</v>
      </c>
      <c r="FP47" s="427">
        <f t="shared" si="87"/>
        <v>0</v>
      </c>
      <c r="FQ47" s="421">
        <f t="shared" si="88"/>
        <v>0</v>
      </c>
      <c r="FR47" s="270">
        <f t="shared" si="89"/>
        <v>60</v>
      </c>
      <c r="FS47" s="427">
        <f t="shared" si="90"/>
        <v>0</v>
      </c>
      <c r="FT47" s="421">
        <f t="shared" si="91"/>
        <v>0</v>
      </c>
      <c r="FU47" s="270">
        <f t="shared" si="92"/>
        <v>80</v>
      </c>
      <c r="FV47" s="427">
        <f t="shared" si="93"/>
        <v>0</v>
      </c>
      <c r="FW47" s="421">
        <f t="shared" si="94"/>
        <v>0</v>
      </c>
      <c r="FX47" s="270">
        <f t="shared" si="95"/>
        <v>100</v>
      </c>
      <c r="FY47" s="427">
        <f t="shared" si="96"/>
        <v>0</v>
      </c>
      <c r="GA47" s="431"/>
      <c r="GB47" s="242"/>
      <c r="GF47" s="427"/>
      <c r="GG47" s="421">
        <v>0</v>
      </c>
      <c r="GH47" s="270">
        <v>1</v>
      </c>
      <c r="GI47" s="427">
        <f t="shared" si="97"/>
        <v>0</v>
      </c>
      <c r="GJ47" s="421">
        <f t="shared" si="98"/>
        <v>0</v>
      </c>
      <c r="GK47" s="270">
        <f t="shared" si="99"/>
        <v>1</v>
      </c>
      <c r="GL47" s="427">
        <f t="shared" si="100"/>
        <v>0</v>
      </c>
      <c r="GM47" s="421">
        <f t="shared" si="101"/>
        <v>0</v>
      </c>
      <c r="GN47" s="270">
        <f t="shared" si="102"/>
        <v>1</v>
      </c>
      <c r="GO47" s="427">
        <f t="shared" si="103"/>
        <v>0</v>
      </c>
      <c r="GP47" s="421">
        <f t="shared" si="104"/>
        <v>0</v>
      </c>
      <c r="GQ47" s="270">
        <f t="shared" si="105"/>
        <v>1</v>
      </c>
      <c r="GR47" s="427">
        <f t="shared" si="106"/>
        <v>0</v>
      </c>
      <c r="GS47" s="421">
        <f t="shared" si="107"/>
        <v>0</v>
      </c>
      <c r="GT47" s="270">
        <f t="shared" si="108"/>
        <v>1</v>
      </c>
      <c r="GU47" s="427">
        <f t="shared" si="109"/>
        <v>0</v>
      </c>
      <c r="GV47" s="421">
        <f t="shared" si="110"/>
        <v>0</v>
      </c>
      <c r="GW47" s="270">
        <f t="shared" si="111"/>
        <v>1</v>
      </c>
      <c r="GX47" s="427">
        <f t="shared" si="112"/>
        <v>0</v>
      </c>
      <c r="GY47" s="421">
        <f t="shared" si="113"/>
        <v>0</v>
      </c>
      <c r="GZ47" s="270">
        <f t="shared" si="114"/>
        <v>1</v>
      </c>
      <c r="HA47" s="427">
        <f t="shared" si="115"/>
        <v>0</v>
      </c>
      <c r="HB47" s="421">
        <f t="shared" si="116"/>
        <v>0</v>
      </c>
      <c r="HC47" s="270">
        <f t="shared" si="117"/>
        <v>1</v>
      </c>
      <c r="HD47" s="427">
        <f t="shared" si="118"/>
        <v>0</v>
      </c>
      <c r="HE47" s="421">
        <f t="shared" si="119"/>
        <v>0</v>
      </c>
      <c r="HF47" s="270">
        <f t="shared" si="120"/>
        <v>1</v>
      </c>
      <c r="HG47" s="427">
        <f t="shared" si="121"/>
        <v>0</v>
      </c>
      <c r="HH47" s="421">
        <f t="shared" si="122"/>
        <v>0</v>
      </c>
      <c r="HI47" s="270">
        <f t="shared" si="123"/>
        <v>1</v>
      </c>
      <c r="HJ47" s="427">
        <f t="shared" si="124"/>
        <v>0</v>
      </c>
      <c r="HK47" s="421">
        <f t="shared" si="125"/>
        <v>0</v>
      </c>
      <c r="HL47" s="270">
        <f t="shared" si="125"/>
        <v>1</v>
      </c>
      <c r="HM47" s="427">
        <f t="shared" si="126"/>
        <v>0</v>
      </c>
      <c r="HN47" s="421">
        <f t="shared" si="127"/>
        <v>0</v>
      </c>
      <c r="HO47" s="270">
        <f t="shared" si="127"/>
        <v>1</v>
      </c>
      <c r="HP47" s="427">
        <f t="shared" si="128"/>
        <v>0</v>
      </c>
      <c r="HQ47" s="421">
        <f t="shared" si="129"/>
        <v>0</v>
      </c>
      <c r="HR47" s="270">
        <f t="shared" si="129"/>
        <v>1</v>
      </c>
      <c r="HS47" s="427">
        <f t="shared" si="130"/>
        <v>0</v>
      </c>
      <c r="HT47" s="421">
        <f t="shared" si="131"/>
        <v>0</v>
      </c>
      <c r="HU47" s="270">
        <f t="shared" si="131"/>
        <v>1</v>
      </c>
      <c r="HV47" s="427">
        <f t="shared" si="132"/>
        <v>0</v>
      </c>
      <c r="HW47" s="421">
        <f t="shared" si="133"/>
        <v>0</v>
      </c>
      <c r="HX47" s="270">
        <f t="shared" si="133"/>
        <v>1</v>
      </c>
      <c r="HY47" s="427">
        <f t="shared" si="134"/>
        <v>0</v>
      </c>
      <c r="HZ47" s="421">
        <f t="shared" si="135"/>
        <v>0</v>
      </c>
      <c r="IA47" s="270">
        <f t="shared" si="135"/>
        <v>1</v>
      </c>
      <c r="IB47" s="427">
        <f t="shared" si="136"/>
        <v>0</v>
      </c>
      <c r="IC47" s="421">
        <f t="shared" si="137"/>
        <v>0</v>
      </c>
      <c r="ID47" s="270">
        <f t="shared" si="137"/>
        <v>1</v>
      </c>
      <c r="IE47" s="427">
        <f t="shared" si="138"/>
        <v>0</v>
      </c>
      <c r="IF47" s="421">
        <f t="shared" si="139"/>
        <v>0</v>
      </c>
      <c r="IG47" s="270">
        <f t="shared" si="139"/>
        <v>1</v>
      </c>
      <c r="IH47" s="427">
        <f t="shared" si="140"/>
        <v>0</v>
      </c>
      <c r="II47" s="421">
        <f t="shared" si="141"/>
        <v>0</v>
      </c>
      <c r="IJ47" s="270">
        <f t="shared" si="141"/>
        <v>1</v>
      </c>
      <c r="IK47" s="427">
        <f t="shared" si="142"/>
        <v>0</v>
      </c>
      <c r="IL47" s="421">
        <f t="shared" si="143"/>
        <v>0</v>
      </c>
      <c r="IM47" s="270">
        <f t="shared" si="143"/>
        <v>1</v>
      </c>
      <c r="IN47" s="427">
        <f t="shared" si="144"/>
        <v>0</v>
      </c>
      <c r="IS47" s="447">
        <f t="shared" si="554"/>
        <v>0</v>
      </c>
      <c r="IT47" s="447">
        <f t="shared" si="554"/>
        <v>0</v>
      </c>
      <c r="IU47" s="447">
        <f t="shared" si="554"/>
        <v>0</v>
      </c>
      <c r="IV47" s="447">
        <f t="shared" si="554"/>
        <v>3.2000000000000001E-2</v>
      </c>
      <c r="IW47" s="447">
        <f t="shared" si="554"/>
        <v>0.04</v>
      </c>
      <c r="IX47" s="447">
        <f t="shared" si="554"/>
        <v>0.08</v>
      </c>
      <c r="IY47" s="447">
        <f t="shared" si="554"/>
        <v>0.16</v>
      </c>
      <c r="IZ47" s="447">
        <f t="shared" si="554"/>
        <v>0.24</v>
      </c>
      <c r="JA47" s="447">
        <f t="shared" si="554"/>
        <v>0.32</v>
      </c>
      <c r="JB47" s="447">
        <f t="shared" si="554"/>
        <v>0.4</v>
      </c>
      <c r="JC47" s="447">
        <f t="shared" si="555"/>
        <v>0.8</v>
      </c>
      <c r="JD47" s="447">
        <f t="shared" si="555"/>
        <v>1</v>
      </c>
      <c r="JE47" s="447">
        <f t="shared" si="555"/>
        <v>0.99984000000000017</v>
      </c>
      <c r="JF47" s="447">
        <f t="shared" si="555"/>
        <v>0.99968000000000012</v>
      </c>
      <c r="JG47" s="447">
        <f t="shared" si="555"/>
        <v>0.99960000000000004</v>
      </c>
      <c r="JH47" s="447">
        <f t="shared" si="555"/>
        <v>0.9992000000000002</v>
      </c>
      <c r="JI47" s="447">
        <f t="shared" si="555"/>
        <v>0.99840000000000018</v>
      </c>
      <c r="JJ47" s="447">
        <f t="shared" si="555"/>
        <v>0.99840000000000018</v>
      </c>
      <c r="JK47" s="447">
        <f t="shared" si="555"/>
        <v>0.99840000000000018</v>
      </c>
      <c r="JL47" s="447">
        <f t="shared" si="555"/>
        <v>0.996</v>
      </c>
      <c r="JU47" s="242">
        <f t="shared" si="198"/>
        <v>16000000</v>
      </c>
      <c r="JV47" s="242">
        <f t="shared" si="199"/>
        <v>15000000</v>
      </c>
      <c r="JW47" s="242">
        <f t="shared" si="216"/>
        <v>0.8</v>
      </c>
      <c r="JX47" s="242">
        <f t="shared" si="200"/>
        <v>20000000</v>
      </c>
      <c r="JY47" s="241">
        <f t="shared" si="217"/>
        <v>0.2</v>
      </c>
      <c r="JZ47" s="241">
        <f t="shared" si="218"/>
        <v>16000000</v>
      </c>
      <c r="KA47" s="241" t="str">
        <f t="shared" si="219"/>
        <v>期望符合预期</v>
      </c>
      <c r="KC47" s="242">
        <f t="shared" si="201"/>
        <v>32000000</v>
      </c>
      <c r="KD47" s="242">
        <f t="shared" si="202"/>
        <v>30000000</v>
      </c>
      <c r="KE47" s="242">
        <f t="shared" si="220"/>
        <v>0.8</v>
      </c>
      <c r="KF47" s="242">
        <f t="shared" si="203"/>
        <v>40000000</v>
      </c>
      <c r="KG47" s="241">
        <f t="shared" si="221"/>
        <v>0.2</v>
      </c>
      <c r="KH47" s="241">
        <f t="shared" si="222"/>
        <v>32000000</v>
      </c>
      <c r="KI47" s="241" t="str">
        <f t="shared" si="223"/>
        <v>期望符合预期</v>
      </c>
      <c r="KK47" s="242">
        <f t="shared" si="204"/>
        <v>48000000</v>
      </c>
      <c r="KL47" s="242">
        <f t="shared" si="205"/>
        <v>40000000</v>
      </c>
      <c r="KM47" s="242">
        <f t="shared" si="224"/>
        <v>0.2</v>
      </c>
      <c r="KN47" s="242">
        <f t="shared" si="206"/>
        <v>50000000</v>
      </c>
      <c r="KO47" s="241">
        <f t="shared" si="225"/>
        <v>0.8</v>
      </c>
      <c r="KP47" s="241">
        <f t="shared" si="226"/>
        <v>48000000</v>
      </c>
      <c r="KQ47" s="241" t="str">
        <f t="shared" si="227"/>
        <v>期望符合预期</v>
      </c>
      <c r="KS47" s="242">
        <f t="shared" si="207"/>
        <v>64000000</v>
      </c>
      <c r="KT47" s="242">
        <f t="shared" si="208"/>
        <v>60000000</v>
      </c>
      <c r="KU47" s="242">
        <f t="shared" si="228"/>
        <v>0.6</v>
      </c>
      <c r="KV47" s="242">
        <f t="shared" si="209"/>
        <v>70000000</v>
      </c>
      <c r="KW47" s="241">
        <f t="shared" si="229"/>
        <v>0.4</v>
      </c>
      <c r="KX47" s="241">
        <f t="shared" si="230"/>
        <v>64000000</v>
      </c>
      <c r="KY47" s="241" t="str">
        <f t="shared" si="231"/>
        <v>期望符合预期</v>
      </c>
      <c r="LA47" s="242">
        <f t="shared" si="210"/>
        <v>80000000</v>
      </c>
      <c r="LB47" s="242">
        <f t="shared" si="211"/>
        <v>80000000</v>
      </c>
      <c r="LC47" s="242">
        <f t="shared" si="232"/>
        <v>1</v>
      </c>
      <c r="LD47" s="242">
        <f t="shared" si="212"/>
        <v>90000000</v>
      </c>
      <c r="LE47" s="241">
        <f t="shared" si="233"/>
        <v>0</v>
      </c>
      <c r="LF47" s="241">
        <f t="shared" si="234"/>
        <v>80000000</v>
      </c>
      <c r="LG47" s="241" t="str">
        <f t="shared" si="235"/>
        <v>期望符合预期</v>
      </c>
    </row>
    <row r="48" spans="1:319" ht="16.2" x14ac:dyDescent="0.4">
      <c r="A48" s="63">
        <v>42</v>
      </c>
      <c r="B48" s="254" t="s">
        <v>1776</v>
      </c>
      <c r="C48" s="63">
        <v>6</v>
      </c>
      <c r="D48" s="63">
        <v>5</v>
      </c>
      <c r="E48" s="63">
        <v>700</v>
      </c>
      <c r="F48" s="256" t="s">
        <v>1749</v>
      </c>
      <c r="G48" s="63">
        <f t="shared" si="167"/>
        <v>700</v>
      </c>
      <c r="H48" s="63"/>
      <c r="I48" s="265" t="s">
        <v>1777</v>
      </c>
      <c r="J48" s="63">
        <f t="shared" si="551"/>
        <v>0</v>
      </c>
      <c r="K48" s="63">
        <f t="shared" si="552"/>
        <v>0</v>
      </c>
      <c r="L48" s="63">
        <v>0</v>
      </c>
      <c r="M48" s="266">
        <f>ROUND($BX$7/('全局参数|GlobalPar'!$B$19/10000/E48),6)*(7/5)</f>
        <v>0.48611079999999995</v>
      </c>
      <c r="N48" s="267">
        <v>15</v>
      </c>
      <c r="O48" s="268">
        <f>ROUND(IF(N48&lt;&gt;0,$BX$4/('全局参数|GlobalPar'!$B$19/10000/E48)/N48,0),6)</f>
        <v>0</v>
      </c>
      <c r="P48" s="270">
        <f t="shared" si="386"/>
        <v>0</v>
      </c>
      <c r="Q48" s="285">
        <f t="shared" si="535"/>
        <v>0</v>
      </c>
      <c r="R48" s="282">
        <v>15</v>
      </c>
      <c r="S48" s="283">
        <v>1</v>
      </c>
      <c r="T48" s="284" t="str">
        <f t="shared" si="21"/>
        <v>[[0,1],[0,1],[0,1],[0,1],[0,1],[0,1],[0,1],[0,1],[0,1],[0,1],[0,2],[0,4],[0,6],[0,8],[0,10],[0,20],[0,40],[0,60],[0,80],[0,100]]</v>
      </c>
      <c r="U48" s="284">
        <v>1</v>
      </c>
      <c r="V48" s="284">
        <v>1</v>
      </c>
      <c r="W48" s="284" t="str">
        <f t="shared" si="168"/>
        <v>[[0,1],[0,1],[0,1],[0,1],[0,1],[0,1],[0,1],[0,1],[0,1],[0,1],[0,1],[0,1],[0,1],[0,1],[0,1],[0,1],[0,1],[0,1],[0,1],[0,1]]</v>
      </c>
      <c r="X48" s="63">
        <v>0</v>
      </c>
      <c r="Y48" s="305">
        <v>0.4</v>
      </c>
      <c r="Z48" s="303">
        <f t="shared" si="541"/>
        <v>0</v>
      </c>
      <c r="AA48" s="303">
        <v>0</v>
      </c>
      <c r="AB48" s="303">
        <f t="shared" si="169"/>
        <v>0</v>
      </c>
      <c r="AC48" s="304">
        <v>0</v>
      </c>
      <c r="AD48" s="303">
        <v>0</v>
      </c>
      <c r="AE48" s="303">
        <v>0</v>
      </c>
      <c r="AF48" s="303">
        <v>0</v>
      </c>
      <c r="AG48" s="63" t="str">
        <f t="shared" si="170"/>
        <v>[[12,5],[14,2],[16,2]]</v>
      </c>
      <c r="AH48" s="256" t="str">
        <f t="shared" si="171"/>
        <v>[0,0,0]</v>
      </c>
      <c r="AI48" s="256">
        <v>0</v>
      </c>
      <c r="AJ48" s="256">
        <v>1</v>
      </c>
      <c r="AK48" s="256">
        <f t="shared" si="243"/>
        <v>1</v>
      </c>
      <c r="AL48" s="256">
        <v>1</v>
      </c>
      <c r="AM48" s="256">
        <f t="shared" si="172"/>
        <v>210</v>
      </c>
      <c r="AN48" s="256" t="s">
        <v>2551</v>
      </c>
      <c r="AO48" s="324">
        <v>12</v>
      </c>
      <c r="AP48" s="63">
        <v>10</v>
      </c>
      <c r="AQ48" s="63">
        <v>0</v>
      </c>
      <c r="AR48" s="39">
        <v>3</v>
      </c>
      <c r="AS48" s="39">
        <v>6</v>
      </c>
      <c r="AT48" s="39">
        <v>0</v>
      </c>
      <c r="AU48" s="63">
        <v>1.4</v>
      </c>
      <c r="AV48" s="63">
        <f t="shared" si="536"/>
        <v>2.08955223880597</v>
      </c>
      <c r="AW48" s="63">
        <v>1</v>
      </c>
      <c r="AX48" s="63">
        <v>1</v>
      </c>
      <c r="AY48" s="63" t="s">
        <v>1763</v>
      </c>
      <c r="AZ48" s="39">
        <v>2</v>
      </c>
      <c r="BA48" s="39">
        <v>1</v>
      </c>
      <c r="BB48" s="328">
        <v>1</v>
      </c>
      <c r="BC48" s="39">
        <v>600</v>
      </c>
      <c r="BD48" s="39">
        <v>0.18</v>
      </c>
      <c r="BE48" s="39">
        <v>0.8</v>
      </c>
      <c r="BF48" s="39">
        <v>1</v>
      </c>
      <c r="BG48" s="39" t="s">
        <v>1751</v>
      </c>
      <c r="BH48" s="331" t="s">
        <v>1778</v>
      </c>
      <c r="BI48" s="331" t="s">
        <v>1779</v>
      </c>
      <c r="BJ48" s="334" t="s">
        <v>1122</v>
      </c>
      <c r="BK48" s="265" t="s">
        <v>425</v>
      </c>
      <c r="BL48" s="265" t="s">
        <v>752</v>
      </c>
      <c r="BM48" s="265" t="s">
        <v>1766</v>
      </c>
      <c r="BN48" s="81">
        <f t="shared" si="387"/>
        <v>70</v>
      </c>
      <c r="BO48" s="343">
        <f t="shared" si="542"/>
        <v>2.1428571428571428</v>
      </c>
      <c r="BP48" s="81" t="s">
        <v>1606</v>
      </c>
      <c r="BQ48" s="81">
        <f t="shared" si="388"/>
        <v>1.0449999999999999</v>
      </c>
      <c r="BR48" s="81"/>
      <c r="BS48" s="63">
        <f t="shared" si="543"/>
        <v>700</v>
      </c>
      <c r="BT48" s="63">
        <f t="shared" si="557"/>
        <v>700</v>
      </c>
      <c r="BV48" s="63">
        <f t="shared" si="544"/>
        <v>0</v>
      </c>
      <c r="CG48" s="371">
        <f t="shared" si="545"/>
        <v>770.00000000000011</v>
      </c>
      <c r="CH48" s="374">
        <v>0</v>
      </c>
      <c r="CI48" s="373">
        <v>12</v>
      </c>
      <c r="CJ48" s="143">
        <v>5</v>
      </c>
      <c r="CK48" s="373">
        <v>14</v>
      </c>
      <c r="CL48" s="143">
        <v>2</v>
      </c>
      <c r="CM48" s="373">
        <v>16</v>
      </c>
      <c r="CN48" s="143">
        <v>2</v>
      </c>
      <c r="CO48" s="143">
        <f t="shared" si="174"/>
        <v>13.333333333333334</v>
      </c>
      <c r="CP48" s="143">
        <f t="shared" si="550"/>
        <v>7.5</v>
      </c>
      <c r="CQ48" s="377">
        <f t="shared" si="176"/>
        <v>0</v>
      </c>
      <c r="CR48" s="143">
        <f t="shared" si="550"/>
        <v>15</v>
      </c>
      <c r="CS48" s="378">
        <f t="shared" si="177"/>
        <v>0</v>
      </c>
      <c r="CT48" s="143">
        <f t="shared" si="550"/>
        <v>22.5</v>
      </c>
      <c r="CU48" s="392">
        <f t="shared" si="178"/>
        <v>0</v>
      </c>
      <c r="CW48" s="241">
        <v>2E-3</v>
      </c>
      <c r="CX48" s="396">
        <f>CX5</f>
        <v>0</v>
      </c>
      <c r="CY48" s="270">
        <f t="shared" si="546"/>
        <v>0</v>
      </c>
      <c r="CZ48" s="394">
        <f t="shared" si="547"/>
        <v>0</v>
      </c>
      <c r="DA48" s="394">
        <f t="shared" si="35"/>
        <v>0</v>
      </c>
      <c r="DB48" s="395">
        <f t="shared" si="179"/>
        <v>0</v>
      </c>
      <c r="DC48" s="419">
        <f t="shared" si="548"/>
        <v>0</v>
      </c>
      <c r="DD48" s="394">
        <f t="shared" si="37"/>
        <v>0</v>
      </c>
      <c r="DE48" s="420" t="e">
        <f t="shared" si="549"/>
        <v>#DIV/0!</v>
      </c>
      <c r="DF48" s="421">
        <f t="shared" si="180"/>
        <v>15</v>
      </c>
      <c r="DG48" s="422">
        <f t="shared" si="181"/>
        <v>1</v>
      </c>
      <c r="DH48" s="284"/>
      <c r="DI48" s="282">
        <v>15</v>
      </c>
      <c r="DJ48" s="283">
        <v>1</v>
      </c>
      <c r="DL48" s="431"/>
      <c r="DM48" s="242"/>
      <c r="DQ48" s="427"/>
      <c r="DR48" s="434">
        <v>0</v>
      </c>
      <c r="DS48" s="270">
        <v>1</v>
      </c>
      <c r="DT48" s="427">
        <f t="shared" si="39"/>
        <v>0</v>
      </c>
      <c r="DU48" s="421">
        <f t="shared" si="40"/>
        <v>0</v>
      </c>
      <c r="DV48" s="270">
        <f t="shared" si="182"/>
        <v>1</v>
      </c>
      <c r="DW48" s="427">
        <f t="shared" si="42"/>
        <v>0</v>
      </c>
      <c r="DX48" s="421">
        <f t="shared" si="43"/>
        <v>0</v>
      </c>
      <c r="DY48" s="270">
        <f t="shared" si="183"/>
        <v>1</v>
      </c>
      <c r="DZ48" s="427">
        <f t="shared" si="45"/>
        <v>0</v>
      </c>
      <c r="EA48" s="421">
        <f t="shared" si="184"/>
        <v>0</v>
      </c>
      <c r="EB48" s="270">
        <f t="shared" si="185"/>
        <v>1</v>
      </c>
      <c r="EC48" s="427">
        <f t="shared" si="48"/>
        <v>0</v>
      </c>
      <c r="ED48" s="421">
        <f t="shared" si="186"/>
        <v>0</v>
      </c>
      <c r="EE48" s="270">
        <f t="shared" si="187"/>
        <v>1</v>
      </c>
      <c r="EF48" s="427">
        <f t="shared" si="51"/>
        <v>0</v>
      </c>
      <c r="EG48" s="421">
        <f t="shared" si="188"/>
        <v>0</v>
      </c>
      <c r="EH48" s="270">
        <f t="shared" si="189"/>
        <v>1</v>
      </c>
      <c r="EI48" s="427">
        <f t="shared" si="54"/>
        <v>0</v>
      </c>
      <c r="EJ48" s="421">
        <f t="shared" si="190"/>
        <v>0</v>
      </c>
      <c r="EK48" s="270">
        <f t="shared" si="191"/>
        <v>1</v>
      </c>
      <c r="EL48" s="427">
        <f t="shared" si="57"/>
        <v>0</v>
      </c>
      <c r="EM48" s="421">
        <f t="shared" si="192"/>
        <v>0</v>
      </c>
      <c r="EN48" s="270">
        <f t="shared" si="193"/>
        <v>1</v>
      </c>
      <c r="EO48" s="427">
        <f t="shared" si="60"/>
        <v>0</v>
      </c>
      <c r="EP48" s="421">
        <f t="shared" si="194"/>
        <v>0</v>
      </c>
      <c r="EQ48" s="270">
        <f t="shared" si="195"/>
        <v>1</v>
      </c>
      <c r="ER48" s="427">
        <f t="shared" si="63"/>
        <v>0</v>
      </c>
      <c r="ES48" s="421">
        <f t="shared" si="196"/>
        <v>0</v>
      </c>
      <c r="ET48" s="270">
        <f t="shared" si="197"/>
        <v>1</v>
      </c>
      <c r="EU48" s="427">
        <f t="shared" si="66"/>
        <v>0</v>
      </c>
      <c r="EV48" s="421">
        <f t="shared" ref="EV48:FW63" si="558">$ES48*EV$4/$ES$4</f>
        <v>0</v>
      </c>
      <c r="EW48" s="270">
        <f t="shared" si="68"/>
        <v>2</v>
      </c>
      <c r="EX48" s="427">
        <f t="shared" si="69"/>
        <v>0</v>
      </c>
      <c r="EY48" s="421">
        <f t="shared" si="558"/>
        <v>0</v>
      </c>
      <c r="EZ48" s="270">
        <f t="shared" si="71"/>
        <v>4</v>
      </c>
      <c r="FA48" s="427">
        <f t="shared" si="72"/>
        <v>0</v>
      </c>
      <c r="FB48" s="421">
        <f t="shared" si="558"/>
        <v>0</v>
      </c>
      <c r="FC48" s="270">
        <f t="shared" si="74"/>
        <v>6</v>
      </c>
      <c r="FD48" s="427">
        <f t="shared" si="75"/>
        <v>0</v>
      </c>
      <c r="FE48" s="421">
        <f t="shared" si="558"/>
        <v>0</v>
      </c>
      <c r="FF48" s="270">
        <f t="shared" si="77"/>
        <v>8</v>
      </c>
      <c r="FG48" s="427">
        <f t="shared" si="78"/>
        <v>0</v>
      </c>
      <c r="FH48" s="421">
        <f t="shared" si="558"/>
        <v>0</v>
      </c>
      <c r="FI48" s="270">
        <f t="shared" si="80"/>
        <v>10</v>
      </c>
      <c r="FJ48" s="427">
        <f t="shared" si="81"/>
        <v>0</v>
      </c>
      <c r="FK48" s="421">
        <f t="shared" si="558"/>
        <v>0</v>
      </c>
      <c r="FL48" s="270">
        <f t="shared" si="83"/>
        <v>20</v>
      </c>
      <c r="FM48" s="427">
        <f t="shared" si="84"/>
        <v>0</v>
      </c>
      <c r="FN48" s="421">
        <f t="shared" si="558"/>
        <v>0</v>
      </c>
      <c r="FO48" s="270">
        <f t="shared" si="86"/>
        <v>40</v>
      </c>
      <c r="FP48" s="427">
        <f t="shared" si="87"/>
        <v>0</v>
      </c>
      <c r="FQ48" s="421">
        <f t="shared" si="558"/>
        <v>0</v>
      </c>
      <c r="FR48" s="270">
        <f t="shared" si="89"/>
        <v>60</v>
      </c>
      <c r="FS48" s="427">
        <f t="shared" si="90"/>
        <v>0</v>
      </c>
      <c r="FT48" s="421">
        <f t="shared" si="558"/>
        <v>0</v>
      </c>
      <c r="FU48" s="270">
        <f t="shared" si="92"/>
        <v>80</v>
      </c>
      <c r="FV48" s="427">
        <f t="shared" si="93"/>
        <v>0</v>
      </c>
      <c r="FW48" s="421">
        <f t="shared" si="558"/>
        <v>0</v>
      </c>
      <c r="FX48" s="270">
        <f t="shared" si="95"/>
        <v>100</v>
      </c>
      <c r="FY48" s="427">
        <f t="shared" si="96"/>
        <v>0</v>
      </c>
      <c r="GA48" s="431"/>
      <c r="GB48" s="242"/>
      <c r="GF48" s="427"/>
      <c r="GG48" s="434">
        <v>0</v>
      </c>
      <c r="GH48" s="270">
        <v>1</v>
      </c>
      <c r="GI48" s="427">
        <f t="shared" si="97"/>
        <v>0</v>
      </c>
      <c r="GJ48" s="421">
        <f t="shared" si="98"/>
        <v>0</v>
      </c>
      <c r="GK48" s="270">
        <f t="shared" si="99"/>
        <v>1</v>
      </c>
      <c r="GL48" s="427">
        <f t="shared" si="100"/>
        <v>0</v>
      </c>
      <c r="GM48" s="421">
        <f t="shared" si="101"/>
        <v>0</v>
      </c>
      <c r="GN48" s="270">
        <f t="shared" si="102"/>
        <v>1</v>
      </c>
      <c r="GO48" s="427">
        <f t="shared" si="103"/>
        <v>0</v>
      </c>
      <c r="GP48" s="421">
        <f t="shared" si="104"/>
        <v>0</v>
      </c>
      <c r="GQ48" s="270">
        <f t="shared" si="105"/>
        <v>1</v>
      </c>
      <c r="GR48" s="427">
        <f t="shared" si="106"/>
        <v>0</v>
      </c>
      <c r="GS48" s="421">
        <f t="shared" si="107"/>
        <v>0</v>
      </c>
      <c r="GT48" s="270">
        <f t="shared" si="108"/>
        <v>1</v>
      </c>
      <c r="GU48" s="427">
        <f t="shared" si="109"/>
        <v>0</v>
      </c>
      <c r="GV48" s="421">
        <f t="shared" si="110"/>
        <v>0</v>
      </c>
      <c r="GW48" s="270">
        <f t="shared" si="111"/>
        <v>1</v>
      </c>
      <c r="GX48" s="427">
        <f t="shared" si="112"/>
        <v>0</v>
      </c>
      <c r="GY48" s="421">
        <f t="shared" si="113"/>
        <v>0</v>
      </c>
      <c r="GZ48" s="270">
        <f t="shared" si="114"/>
        <v>1</v>
      </c>
      <c r="HA48" s="427">
        <f t="shared" si="115"/>
        <v>0</v>
      </c>
      <c r="HB48" s="421">
        <f t="shared" si="116"/>
        <v>0</v>
      </c>
      <c r="HC48" s="270">
        <f t="shared" si="117"/>
        <v>1</v>
      </c>
      <c r="HD48" s="427">
        <f t="shared" si="118"/>
        <v>0</v>
      </c>
      <c r="HE48" s="421">
        <f t="shared" si="119"/>
        <v>0</v>
      </c>
      <c r="HF48" s="270">
        <f t="shared" si="120"/>
        <v>1</v>
      </c>
      <c r="HG48" s="427">
        <f t="shared" si="121"/>
        <v>0</v>
      </c>
      <c r="HH48" s="421">
        <f t="shared" si="122"/>
        <v>0</v>
      </c>
      <c r="HI48" s="270">
        <f t="shared" si="123"/>
        <v>1</v>
      </c>
      <c r="HJ48" s="427">
        <f t="shared" si="124"/>
        <v>0</v>
      </c>
      <c r="HK48" s="421">
        <f t="shared" si="125"/>
        <v>0</v>
      </c>
      <c r="HL48" s="270">
        <f t="shared" si="125"/>
        <v>1</v>
      </c>
      <c r="HM48" s="427">
        <f t="shared" si="126"/>
        <v>0</v>
      </c>
      <c r="HN48" s="421">
        <f t="shared" si="127"/>
        <v>0</v>
      </c>
      <c r="HO48" s="270">
        <f t="shared" si="127"/>
        <v>1</v>
      </c>
      <c r="HP48" s="427">
        <f t="shared" si="128"/>
        <v>0</v>
      </c>
      <c r="HQ48" s="421">
        <f t="shared" si="129"/>
        <v>0</v>
      </c>
      <c r="HR48" s="270">
        <f t="shared" si="129"/>
        <v>1</v>
      </c>
      <c r="HS48" s="427">
        <f t="shared" si="130"/>
        <v>0</v>
      </c>
      <c r="HT48" s="421">
        <f t="shared" si="131"/>
        <v>0</v>
      </c>
      <c r="HU48" s="270">
        <f t="shared" si="131"/>
        <v>1</v>
      </c>
      <c r="HV48" s="427">
        <f t="shared" si="132"/>
        <v>0</v>
      </c>
      <c r="HW48" s="421">
        <f t="shared" si="133"/>
        <v>0</v>
      </c>
      <c r="HX48" s="270">
        <f t="shared" si="133"/>
        <v>1</v>
      </c>
      <c r="HY48" s="427">
        <f t="shared" si="134"/>
        <v>0</v>
      </c>
      <c r="HZ48" s="421">
        <f t="shared" si="135"/>
        <v>0</v>
      </c>
      <c r="IA48" s="270">
        <f t="shared" si="135"/>
        <v>1</v>
      </c>
      <c r="IB48" s="427">
        <f t="shared" si="136"/>
        <v>0</v>
      </c>
      <c r="IC48" s="421">
        <f t="shared" si="137"/>
        <v>0</v>
      </c>
      <c r="ID48" s="270">
        <f t="shared" si="137"/>
        <v>1</v>
      </c>
      <c r="IE48" s="427">
        <f t="shared" si="138"/>
        <v>0</v>
      </c>
      <c r="IF48" s="421">
        <f t="shared" si="139"/>
        <v>0</v>
      </c>
      <c r="IG48" s="270">
        <f t="shared" si="139"/>
        <v>1</v>
      </c>
      <c r="IH48" s="427">
        <f t="shared" si="140"/>
        <v>0</v>
      </c>
      <c r="II48" s="421">
        <f t="shared" si="141"/>
        <v>0</v>
      </c>
      <c r="IJ48" s="270">
        <f t="shared" si="141"/>
        <v>1</v>
      </c>
      <c r="IK48" s="427">
        <f t="shared" si="142"/>
        <v>0</v>
      </c>
      <c r="IL48" s="421">
        <f t="shared" si="143"/>
        <v>0</v>
      </c>
      <c r="IM48" s="270">
        <f t="shared" si="143"/>
        <v>1</v>
      </c>
      <c r="IN48" s="427">
        <f t="shared" si="144"/>
        <v>0</v>
      </c>
      <c r="IS48" s="447">
        <f t="shared" si="554"/>
        <v>0</v>
      </c>
      <c r="IT48" s="447">
        <f t="shared" si="554"/>
        <v>0</v>
      </c>
      <c r="IU48" s="447">
        <f t="shared" si="554"/>
        <v>0</v>
      </c>
      <c r="IV48" s="447">
        <f t="shared" si="554"/>
        <v>0</v>
      </c>
      <c r="IW48" s="447">
        <f t="shared" si="554"/>
        <v>0</v>
      </c>
      <c r="IX48" s="447">
        <f t="shared" si="554"/>
        <v>0</v>
      </c>
      <c r="IY48" s="447">
        <f t="shared" si="554"/>
        <v>0</v>
      </c>
      <c r="IZ48" s="447">
        <f t="shared" si="554"/>
        <v>0</v>
      </c>
      <c r="JA48" s="447">
        <f t="shared" si="554"/>
        <v>0</v>
      </c>
      <c r="JB48" s="447">
        <f t="shared" si="554"/>
        <v>0</v>
      </c>
      <c r="JC48" s="447">
        <f t="shared" si="555"/>
        <v>0</v>
      </c>
      <c r="JD48" s="447">
        <f t="shared" si="555"/>
        <v>0</v>
      </c>
      <c r="JE48" s="447">
        <f t="shared" si="555"/>
        <v>0</v>
      </c>
      <c r="JF48" s="447">
        <f t="shared" si="555"/>
        <v>0</v>
      </c>
      <c r="JG48" s="447">
        <f t="shared" si="555"/>
        <v>0</v>
      </c>
      <c r="JH48" s="447">
        <f t="shared" si="555"/>
        <v>0</v>
      </c>
      <c r="JI48" s="447">
        <f t="shared" si="555"/>
        <v>0</v>
      </c>
      <c r="JJ48" s="447">
        <f t="shared" si="555"/>
        <v>0</v>
      </c>
      <c r="JK48" s="447">
        <f t="shared" si="555"/>
        <v>0</v>
      </c>
      <c r="JL48" s="447">
        <f t="shared" si="555"/>
        <v>0</v>
      </c>
      <c r="JU48" s="242">
        <f t="shared" si="198"/>
        <v>14000000</v>
      </c>
      <c r="JV48" s="242">
        <f t="shared" si="199"/>
        <v>10000000</v>
      </c>
      <c r="JW48" s="242">
        <f t="shared" si="216"/>
        <v>0.2</v>
      </c>
      <c r="JX48" s="242">
        <f t="shared" si="200"/>
        <v>15000000</v>
      </c>
      <c r="JY48" s="241">
        <f t="shared" si="217"/>
        <v>0.8</v>
      </c>
      <c r="JZ48" s="241">
        <f t="shared" si="218"/>
        <v>14000000</v>
      </c>
      <c r="KA48" s="241" t="str">
        <f t="shared" si="219"/>
        <v>期望符合预期</v>
      </c>
      <c r="KC48" s="242">
        <f t="shared" si="201"/>
        <v>28000000</v>
      </c>
      <c r="KD48" s="242">
        <f t="shared" si="202"/>
        <v>20000000</v>
      </c>
      <c r="KE48" s="242">
        <f t="shared" si="220"/>
        <v>0.2</v>
      </c>
      <c r="KF48" s="242">
        <f t="shared" si="203"/>
        <v>30000000</v>
      </c>
      <c r="KG48" s="241">
        <f t="shared" si="221"/>
        <v>0.8</v>
      </c>
      <c r="KH48" s="241">
        <f t="shared" si="222"/>
        <v>28000000</v>
      </c>
      <c r="KI48" s="241" t="str">
        <f t="shared" si="223"/>
        <v>期望符合预期</v>
      </c>
      <c r="KK48" s="242">
        <f t="shared" si="204"/>
        <v>42000000</v>
      </c>
      <c r="KL48" s="242">
        <f t="shared" si="205"/>
        <v>40000000</v>
      </c>
      <c r="KM48" s="242">
        <f t="shared" si="224"/>
        <v>0.8</v>
      </c>
      <c r="KN48" s="242">
        <f t="shared" si="206"/>
        <v>50000000</v>
      </c>
      <c r="KO48" s="241">
        <f t="shared" si="225"/>
        <v>0.2</v>
      </c>
      <c r="KP48" s="241">
        <f t="shared" si="226"/>
        <v>42000000</v>
      </c>
      <c r="KQ48" s="241" t="str">
        <f t="shared" si="227"/>
        <v>期望符合预期</v>
      </c>
      <c r="KS48" s="242">
        <f t="shared" si="207"/>
        <v>56000000</v>
      </c>
      <c r="KT48" s="242">
        <f t="shared" si="208"/>
        <v>50000000</v>
      </c>
      <c r="KU48" s="242">
        <f t="shared" si="228"/>
        <v>0.4</v>
      </c>
      <c r="KV48" s="242">
        <f t="shared" si="209"/>
        <v>60000000</v>
      </c>
      <c r="KW48" s="241">
        <f t="shared" si="229"/>
        <v>0.6</v>
      </c>
      <c r="KX48" s="241">
        <f t="shared" si="230"/>
        <v>56000000</v>
      </c>
      <c r="KY48" s="241" t="str">
        <f t="shared" si="231"/>
        <v>期望符合预期</v>
      </c>
      <c r="LA48" s="242">
        <f t="shared" si="210"/>
        <v>70000000</v>
      </c>
      <c r="LB48" s="242">
        <f t="shared" si="211"/>
        <v>70000000</v>
      </c>
      <c r="LC48" s="242">
        <f t="shared" si="232"/>
        <v>1</v>
      </c>
      <c r="LD48" s="242">
        <f t="shared" si="212"/>
        <v>80000000</v>
      </c>
      <c r="LE48" s="241">
        <f t="shared" si="233"/>
        <v>0</v>
      </c>
      <c r="LF48" s="241">
        <f t="shared" si="234"/>
        <v>70000000</v>
      </c>
      <c r="LG48" s="241" t="str">
        <f t="shared" si="235"/>
        <v>期望符合预期</v>
      </c>
    </row>
    <row r="49" spans="1:319" ht="16.2" x14ac:dyDescent="0.4">
      <c r="A49" s="63">
        <v>43</v>
      </c>
      <c r="B49" s="241" t="s">
        <v>1300</v>
      </c>
      <c r="C49" s="63">
        <v>6</v>
      </c>
      <c r="D49" s="63">
        <v>8</v>
      </c>
      <c r="E49" s="73">
        <v>1000</v>
      </c>
      <c r="F49" s="63"/>
      <c r="G49" s="63">
        <f t="shared" si="167"/>
        <v>1000</v>
      </c>
      <c r="H49" s="63"/>
      <c r="I49" s="265"/>
      <c r="J49" s="63">
        <f t="shared" si="551"/>
        <v>0</v>
      </c>
      <c r="K49" s="63">
        <f t="shared" si="552"/>
        <v>0</v>
      </c>
      <c r="L49" s="63">
        <v>0</v>
      </c>
      <c r="M49" s="266">
        <f>ROUND($BX$7/('全局参数|GlobalPar'!$B$19/10000/E49),6)*(7/5)</f>
        <v>0.69444479999999997</v>
      </c>
      <c r="N49" s="267">
        <v>15</v>
      </c>
      <c r="O49" s="268">
        <f>ROUND(IF(N49&lt;&gt;0,$BX$4/('全局参数|GlobalPar'!$B$19/10000/E49)/N49,0),6)</f>
        <v>0</v>
      </c>
      <c r="P49" s="270">
        <f t="shared" si="386"/>
        <v>0</v>
      </c>
      <c r="Q49" s="285">
        <f t="shared" si="535"/>
        <v>0</v>
      </c>
      <c r="R49" s="282">
        <v>15</v>
      </c>
      <c r="S49" s="283">
        <v>1</v>
      </c>
      <c r="T49" s="284" t="str">
        <f t="shared" si="21"/>
        <v>[[0,1],[0,1],[0,1],[0,1],[0,1],[0,1],[0,1],[0,1],[0,1],[0,1],[0,2],[0,4],[0,6],[0,8],[0,10],[0,20],[0,40],[0,60],[0,80],[0,100]]</v>
      </c>
      <c r="U49" s="284">
        <v>1</v>
      </c>
      <c r="V49" s="284">
        <v>1</v>
      </c>
      <c r="W49" s="284" t="str">
        <f t="shared" si="168"/>
        <v>[[0,1],[0,1],[0,1],[0,1],[0,1],[0,1],[0,1],[0,1],[0,1],[0,1],[0,1],[0,1],[0,1],[0,1],[0,1],[0,1],[0,1],[0,1],[0,1],[0,1]]</v>
      </c>
      <c r="X49" s="63">
        <v>0</v>
      </c>
      <c r="Y49" s="305">
        <v>0</v>
      </c>
      <c r="Z49" s="303">
        <f t="shared" si="541"/>
        <v>0</v>
      </c>
      <c r="AA49" s="303">
        <v>0</v>
      </c>
      <c r="AB49" s="303">
        <v>0</v>
      </c>
      <c r="AC49" s="304">
        <v>0</v>
      </c>
      <c r="AD49" s="303">
        <v>0</v>
      </c>
      <c r="AE49" s="303">
        <v>0</v>
      </c>
      <c r="AF49" s="303">
        <v>0</v>
      </c>
      <c r="AG49" s="63" t="str">
        <f t="shared" si="170"/>
        <v>[[12,5],[14,2],[16,2]]</v>
      </c>
      <c r="AH49" s="256" t="str">
        <f t="shared" si="171"/>
        <v>[0,0,0]</v>
      </c>
      <c r="AI49" s="256">
        <v>0</v>
      </c>
      <c r="AJ49" s="256">
        <v>1</v>
      </c>
      <c r="AK49" s="256">
        <f t="shared" si="243"/>
        <v>1</v>
      </c>
      <c r="AL49" s="256">
        <v>1</v>
      </c>
      <c r="AM49" s="256">
        <f t="shared" si="172"/>
        <v>300</v>
      </c>
      <c r="AN49" s="256" t="s">
        <v>2551</v>
      </c>
      <c r="AO49" s="324">
        <v>12</v>
      </c>
      <c r="AP49" s="63">
        <v>10</v>
      </c>
      <c r="AQ49" s="63">
        <v>1</v>
      </c>
      <c r="AR49" s="39">
        <v>3</v>
      </c>
      <c r="AS49" s="39">
        <v>6</v>
      </c>
      <c r="AT49" s="39">
        <v>0</v>
      </c>
      <c r="AU49" s="63">
        <v>1.5</v>
      </c>
      <c r="AV49" s="63">
        <f t="shared" ref="AV49:AV50" si="559">AU49</f>
        <v>1.5</v>
      </c>
      <c r="AW49" s="63">
        <v>1</v>
      </c>
      <c r="AX49" s="63">
        <v>1</v>
      </c>
      <c r="AY49" s="261" t="s">
        <v>1743</v>
      </c>
      <c r="AZ49" s="39" t="s">
        <v>1780</v>
      </c>
      <c r="BA49" s="39" t="s">
        <v>1781</v>
      </c>
      <c r="BB49" s="328">
        <v>1</v>
      </c>
      <c r="BC49" s="39">
        <v>1000</v>
      </c>
      <c r="BD49" s="39">
        <v>0.18</v>
      </c>
      <c r="BE49" s="329">
        <v>0.3</v>
      </c>
      <c r="BF49" s="39">
        <v>1</v>
      </c>
      <c r="BG49" s="39" t="s">
        <v>1751</v>
      </c>
      <c r="BH49" s="331" t="s">
        <v>1782</v>
      </c>
      <c r="BI49" s="331" t="s">
        <v>1783</v>
      </c>
      <c r="BJ49" s="265" t="s">
        <v>280</v>
      </c>
      <c r="BK49" s="265" t="s">
        <v>266</v>
      </c>
      <c r="BL49" s="265"/>
      <c r="BM49" s="265"/>
      <c r="BN49" s="81">
        <f t="shared" si="387"/>
        <v>100</v>
      </c>
      <c r="BO49" s="343">
        <f t="shared" si="542"/>
        <v>1.5</v>
      </c>
      <c r="BP49" s="81" t="s">
        <v>1606</v>
      </c>
      <c r="BQ49" s="81">
        <f t="shared" si="388"/>
        <v>1.5</v>
      </c>
      <c r="BR49" s="81"/>
      <c r="BS49" s="63">
        <f t="shared" si="543"/>
        <v>1000</v>
      </c>
      <c r="BT49" s="63">
        <f t="shared" si="557"/>
        <v>1000</v>
      </c>
      <c r="BV49" s="63">
        <f t="shared" si="544"/>
        <v>0</v>
      </c>
      <c r="CG49" s="371">
        <f t="shared" si="545"/>
        <v>1100</v>
      </c>
      <c r="CH49" s="374">
        <v>0</v>
      </c>
      <c r="CI49" s="373">
        <v>12</v>
      </c>
      <c r="CJ49" s="143">
        <v>5</v>
      </c>
      <c r="CK49" s="373">
        <v>14</v>
      </c>
      <c r="CL49" s="143">
        <v>2</v>
      </c>
      <c r="CM49" s="373">
        <v>16</v>
      </c>
      <c r="CN49" s="143">
        <v>2</v>
      </c>
      <c r="CO49" s="143">
        <f t="shared" si="174"/>
        <v>13.333333333333334</v>
      </c>
      <c r="CP49" s="143">
        <f t="shared" si="550"/>
        <v>7.5</v>
      </c>
      <c r="CQ49" s="377">
        <f t="shared" si="176"/>
        <v>0</v>
      </c>
      <c r="CR49" s="143">
        <f t="shared" si="550"/>
        <v>15</v>
      </c>
      <c r="CS49" s="378">
        <f t="shared" si="177"/>
        <v>0</v>
      </c>
      <c r="CT49" s="143">
        <f t="shared" si="550"/>
        <v>22.5</v>
      </c>
      <c r="CU49" s="392">
        <f t="shared" si="178"/>
        <v>0</v>
      </c>
      <c r="CW49" s="241">
        <v>0</v>
      </c>
      <c r="CX49" s="396">
        <v>0</v>
      </c>
      <c r="CY49" s="270">
        <f t="shared" si="546"/>
        <v>0</v>
      </c>
      <c r="CZ49" s="394">
        <f t="shared" si="547"/>
        <v>0</v>
      </c>
      <c r="DA49" s="394">
        <f t="shared" si="35"/>
        <v>0</v>
      </c>
      <c r="DB49" s="395">
        <f t="shared" si="179"/>
        <v>0</v>
      </c>
      <c r="DC49" s="419">
        <f t="shared" si="548"/>
        <v>0</v>
      </c>
      <c r="DD49" s="394">
        <f t="shared" si="37"/>
        <v>0</v>
      </c>
      <c r="DE49" s="420" t="e">
        <f t="shared" si="549"/>
        <v>#DIV/0!</v>
      </c>
      <c r="DF49" s="421">
        <f t="shared" si="180"/>
        <v>15</v>
      </c>
      <c r="DG49" s="422">
        <f t="shared" si="181"/>
        <v>1</v>
      </c>
      <c r="DH49" s="284"/>
      <c r="DI49" s="282">
        <v>15</v>
      </c>
      <c r="DJ49" s="283">
        <v>1</v>
      </c>
      <c r="DL49" s="431"/>
      <c r="DM49" s="242"/>
      <c r="DQ49" s="427"/>
      <c r="DR49" s="421">
        <v>0</v>
      </c>
      <c r="DS49" s="270">
        <v>1</v>
      </c>
      <c r="DT49" s="427">
        <f t="shared" si="39"/>
        <v>0</v>
      </c>
      <c r="DU49" s="421">
        <f t="shared" si="40"/>
        <v>0</v>
      </c>
      <c r="DV49" s="270">
        <f t="shared" si="182"/>
        <v>1</v>
      </c>
      <c r="DW49" s="427">
        <f t="shared" si="42"/>
        <v>0</v>
      </c>
      <c r="DX49" s="421">
        <f t="shared" si="43"/>
        <v>0</v>
      </c>
      <c r="DY49" s="270">
        <f t="shared" si="183"/>
        <v>1</v>
      </c>
      <c r="DZ49" s="427">
        <f t="shared" si="45"/>
        <v>0</v>
      </c>
      <c r="EA49" s="421">
        <f t="shared" si="184"/>
        <v>0</v>
      </c>
      <c r="EB49" s="270">
        <f t="shared" si="185"/>
        <v>1</v>
      </c>
      <c r="EC49" s="427">
        <f t="shared" si="48"/>
        <v>0</v>
      </c>
      <c r="ED49" s="421">
        <f t="shared" si="186"/>
        <v>0</v>
      </c>
      <c r="EE49" s="270">
        <f t="shared" si="187"/>
        <v>1</v>
      </c>
      <c r="EF49" s="427">
        <f t="shared" si="51"/>
        <v>0</v>
      </c>
      <c r="EG49" s="421">
        <f t="shared" si="188"/>
        <v>0</v>
      </c>
      <c r="EH49" s="270">
        <f t="shared" si="189"/>
        <v>1</v>
      </c>
      <c r="EI49" s="427">
        <f t="shared" si="54"/>
        <v>0</v>
      </c>
      <c r="EJ49" s="421">
        <f t="shared" si="190"/>
        <v>0</v>
      </c>
      <c r="EK49" s="270">
        <f t="shared" si="191"/>
        <v>1</v>
      </c>
      <c r="EL49" s="427">
        <f t="shared" si="57"/>
        <v>0</v>
      </c>
      <c r="EM49" s="421">
        <f t="shared" si="192"/>
        <v>0</v>
      </c>
      <c r="EN49" s="270">
        <f t="shared" si="193"/>
        <v>1</v>
      </c>
      <c r="EO49" s="427">
        <f t="shared" si="60"/>
        <v>0</v>
      </c>
      <c r="EP49" s="421">
        <f t="shared" si="194"/>
        <v>0</v>
      </c>
      <c r="EQ49" s="270">
        <f t="shared" si="195"/>
        <v>1</v>
      </c>
      <c r="ER49" s="427">
        <f t="shared" si="63"/>
        <v>0</v>
      </c>
      <c r="ES49" s="421">
        <f t="shared" si="196"/>
        <v>0</v>
      </c>
      <c r="ET49" s="270">
        <f t="shared" si="197"/>
        <v>1</v>
      </c>
      <c r="EU49" s="427">
        <f t="shared" si="66"/>
        <v>0</v>
      </c>
      <c r="EV49" s="421">
        <f t="shared" si="558"/>
        <v>0</v>
      </c>
      <c r="EW49" s="270">
        <f t="shared" si="68"/>
        <v>2</v>
      </c>
      <c r="EX49" s="427">
        <f t="shared" si="69"/>
        <v>0</v>
      </c>
      <c r="EY49" s="421">
        <f t="shared" si="558"/>
        <v>0</v>
      </c>
      <c r="EZ49" s="270">
        <f t="shared" si="71"/>
        <v>4</v>
      </c>
      <c r="FA49" s="427">
        <f t="shared" si="72"/>
        <v>0</v>
      </c>
      <c r="FB49" s="421">
        <f t="shared" si="558"/>
        <v>0</v>
      </c>
      <c r="FC49" s="270">
        <f t="shared" si="74"/>
        <v>6</v>
      </c>
      <c r="FD49" s="427">
        <f t="shared" si="75"/>
        <v>0</v>
      </c>
      <c r="FE49" s="421">
        <f t="shared" si="558"/>
        <v>0</v>
      </c>
      <c r="FF49" s="270">
        <f t="shared" si="77"/>
        <v>8</v>
      </c>
      <c r="FG49" s="427">
        <f t="shared" si="78"/>
        <v>0</v>
      </c>
      <c r="FH49" s="421">
        <f t="shared" si="558"/>
        <v>0</v>
      </c>
      <c r="FI49" s="270">
        <f t="shared" si="80"/>
        <v>10</v>
      </c>
      <c r="FJ49" s="427">
        <f t="shared" si="81"/>
        <v>0</v>
      </c>
      <c r="FK49" s="421">
        <f t="shared" si="558"/>
        <v>0</v>
      </c>
      <c r="FL49" s="270">
        <f t="shared" si="83"/>
        <v>20</v>
      </c>
      <c r="FM49" s="427">
        <f t="shared" si="84"/>
        <v>0</v>
      </c>
      <c r="FN49" s="421">
        <f t="shared" si="558"/>
        <v>0</v>
      </c>
      <c r="FO49" s="270">
        <f t="shared" si="86"/>
        <v>40</v>
      </c>
      <c r="FP49" s="427">
        <f t="shared" si="87"/>
        <v>0</v>
      </c>
      <c r="FQ49" s="421">
        <f t="shared" si="558"/>
        <v>0</v>
      </c>
      <c r="FR49" s="270">
        <f t="shared" si="89"/>
        <v>60</v>
      </c>
      <c r="FS49" s="427">
        <f t="shared" si="90"/>
        <v>0</v>
      </c>
      <c r="FT49" s="421">
        <f t="shared" si="558"/>
        <v>0</v>
      </c>
      <c r="FU49" s="270">
        <f t="shared" si="92"/>
        <v>80</v>
      </c>
      <c r="FV49" s="427">
        <f t="shared" si="93"/>
        <v>0</v>
      </c>
      <c r="FW49" s="421">
        <f t="shared" si="558"/>
        <v>0</v>
      </c>
      <c r="FX49" s="270">
        <f t="shared" si="95"/>
        <v>100</v>
      </c>
      <c r="FY49" s="427">
        <f t="shared" si="96"/>
        <v>0</v>
      </c>
      <c r="GA49" s="431"/>
      <c r="GB49" s="242"/>
      <c r="GF49" s="427"/>
      <c r="GG49" s="421">
        <v>0</v>
      </c>
      <c r="GH49" s="270">
        <v>1</v>
      </c>
      <c r="GI49" s="427">
        <f t="shared" si="97"/>
        <v>0</v>
      </c>
      <c r="GJ49" s="421">
        <f t="shared" si="98"/>
        <v>0</v>
      </c>
      <c r="GK49" s="270">
        <f t="shared" si="99"/>
        <v>1</v>
      </c>
      <c r="GL49" s="427">
        <f t="shared" si="100"/>
        <v>0</v>
      </c>
      <c r="GM49" s="421">
        <f t="shared" si="101"/>
        <v>0</v>
      </c>
      <c r="GN49" s="270">
        <f t="shared" si="102"/>
        <v>1</v>
      </c>
      <c r="GO49" s="427">
        <f t="shared" si="103"/>
        <v>0</v>
      </c>
      <c r="GP49" s="421">
        <f t="shared" si="104"/>
        <v>0</v>
      </c>
      <c r="GQ49" s="270">
        <f t="shared" si="105"/>
        <v>1</v>
      </c>
      <c r="GR49" s="427">
        <f t="shared" si="106"/>
        <v>0</v>
      </c>
      <c r="GS49" s="421">
        <f t="shared" si="107"/>
        <v>0</v>
      </c>
      <c r="GT49" s="270">
        <f t="shared" si="108"/>
        <v>1</v>
      </c>
      <c r="GU49" s="427">
        <f t="shared" si="109"/>
        <v>0</v>
      </c>
      <c r="GV49" s="421">
        <f t="shared" si="110"/>
        <v>0</v>
      </c>
      <c r="GW49" s="270">
        <f t="shared" si="111"/>
        <v>1</v>
      </c>
      <c r="GX49" s="427">
        <f t="shared" si="112"/>
        <v>0</v>
      </c>
      <c r="GY49" s="421">
        <f t="shared" si="113"/>
        <v>0</v>
      </c>
      <c r="GZ49" s="270">
        <f t="shared" si="114"/>
        <v>1</v>
      </c>
      <c r="HA49" s="427">
        <f t="shared" si="115"/>
        <v>0</v>
      </c>
      <c r="HB49" s="421">
        <f t="shared" si="116"/>
        <v>0</v>
      </c>
      <c r="HC49" s="270">
        <f t="shared" si="117"/>
        <v>1</v>
      </c>
      <c r="HD49" s="427">
        <f t="shared" si="118"/>
        <v>0</v>
      </c>
      <c r="HE49" s="421">
        <f t="shared" si="119"/>
        <v>0</v>
      </c>
      <c r="HF49" s="270">
        <f t="shared" si="120"/>
        <v>1</v>
      </c>
      <c r="HG49" s="427">
        <f t="shared" si="121"/>
        <v>0</v>
      </c>
      <c r="HH49" s="421">
        <f t="shared" si="122"/>
        <v>0</v>
      </c>
      <c r="HI49" s="270">
        <f t="shared" si="123"/>
        <v>1</v>
      </c>
      <c r="HJ49" s="427">
        <f t="shared" si="124"/>
        <v>0</v>
      </c>
      <c r="HK49" s="421">
        <f t="shared" si="125"/>
        <v>0</v>
      </c>
      <c r="HL49" s="270">
        <f t="shared" si="125"/>
        <v>1</v>
      </c>
      <c r="HM49" s="427">
        <f t="shared" si="126"/>
        <v>0</v>
      </c>
      <c r="HN49" s="421">
        <f t="shared" si="127"/>
        <v>0</v>
      </c>
      <c r="HO49" s="270">
        <f t="shared" si="127"/>
        <v>1</v>
      </c>
      <c r="HP49" s="427">
        <f t="shared" si="128"/>
        <v>0</v>
      </c>
      <c r="HQ49" s="421">
        <f t="shared" si="129"/>
        <v>0</v>
      </c>
      <c r="HR49" s="270">
        <f t="shared" si="129"/>
        <v>1</v>
      </c>
      <c r="HS49" s="427">
        <f t="shared" si="130"/>
        <v>0</v>
      </c>
      <c r="HT49" s="421">
        <f t="shared" si="131"/>
        <v>0</v>
      </c>
      <c r="HU49" s="270">
        <f t="shared" si="131"/>
        <v>1</v>
      </c>
      <c r="HV49" s="427">
        <f t="shared" si="132"/>
        <v>0</v>
      </c>
      <c r="HW49" s="421">
        <f t="shared" si="133"/>
        <v>0</v>
      </c>
      <c r="HX49" s="270">
        <f t="shared" si="133"/>
        <v>1</v>
      </c>
      <c r="HY49" s="427">
        <f t="shared" si="134"/>
        <v>0</v>
      </c>
      <c r="HZ49" s="421">
        <f t="shared" si="135"/>
        <v>0</v>
      </c>
      <c r="IA49" s="270">
        <f t="shared" si="135"/>
        <v>1</v>
      </c>
      <c r="IB49" s="427">
        <f t="shared" si="136"/>
        <v>0</v>
      </c>
      <c r="IC49" s="421">
        <f t="shared" si="137"/>
        <v>0</v>
      </c>
      <c r="ID49" s="270">
        <f t="shared" si="137"/>
        <v>1</v>
      </c>
      <c r="IE49" s="427">
        <f t="shared" si="138"/>
        <v>0</v>
      </c>
      <c r="IF49" s="421">
        <f t="shared" si="139"/>
        <v>0</v>
      </c>
      <c r="IG49" s="270">
        <f t="shared" si="139"/>
        <v>1</v>
      </c>
      <c r="IH49" s="427">
        <f t="shared" si="140"/>
        <v>0</v>
      </c>
      <c r="II49" s="421">
        <f t="shared" si="141"/>
        <v>0</v>
      </c>
      <c r="IJ49" s="270">
        <f t="shared" si="141"/>
        <v>1</v>
      </c>
      <c r="IK49" s="427">
        <f t="shared" si="142"/>
        <v>0</v>
      </c>
      <c r="IL49" s="421">
        <f t="shared" si="143"/>
        <v>0</v>
      </c>
      <c r="IM49" s="270">
        <f t="shared" si="143"/>
        <v>1</v>
      </c>
      <c r="IN49" s="427">
        <f t="shared" si="144"/>
        <v>0</v>
      </c>
      <c r="IS49" s="447">
        <f t="shared" si="554"/>
        <v>0</v>
      </c>
      <c r="IT49" s="447">
        <f t="shared" si="554"/>
        <v>0</v>
      </c>
      <c r="IU49" s="447">
        <f t="shared" si="554"/>
        <v>0</v>
      </c>
      <c r="IV49" s="447">
        <f t="shared" si="554"/>
        <v>0</v>
      </c>
      <c r="IW49" s="447">
        <f t="shared" si="554"/>
        <v>0</v>
      </c>
      <c r="IX49" s="447">
        <f t="shared" si="554"/>
        <v>0</v>
      </c>
      <c r="IY49" s="447">
        <f t="shared" si="554"/>
        <v>0</v>
      </c>
      <c r="IZ49" s="447">
        <f t="shared" si="554"/>
        <v>0</v>
      </c>
      <c r="JA49" s="447">
        <f t="shared" si="554"/>
        <v>0</v>
      </c>
      <c r="JB49" s="447">
        <f t="shared" si="554"/>
        <v>0</v>
      </c>
      <c r="JC49" s="447">
        <f t="shared" si="555"/>
        <v>0</v>
      </c>
      <c r="JD49" s="447">
        <f t="shared" si="555"/>
        <v>0</v>
      </c>
      <c r="JE49" s="447">
        <f t="shared" si="555"/>
        <v>0</v>
      </c>
      <c r="JF49" s="447">
        <f t="shared" si="555"/>
        <v>0</v>
      </c>
      <c r="JG49" s="447">
        <f t="shared" si="555"/>
        <v>0</v>
      </c>
      <c r="JH49" s="447">
        <f t="shared" si="555"/>
        <v>0</v>
      </c>
      <c r="JI49" s="447">
        <f t="shared" si="555"/>
        <v>0</v>
      </c>
      <c r="JJ49" s="447">
        <f t="shared" si="555"/>
        <v>0</v>
      </c>
      <c r="JK49" s="447">
        <f t="shared" si="555"/>
        <v>0</v>
      </c>
      <c r="JL49" s="447">
        <f t="shared" si="555"/>
        <v>0</v>
      </c>
      <c r="JU49" s="242">
        <f t="shared" si="198"/>
        <v>20000000</v>
      </c>
      <c r="JV49" s="242">
        <f t="shared" si="199"/>
        <v>20000000</v>
      </c>
      <c r="JW49" s="242">
        <f t="shared" si="216"/>
        <v>1</v>
      </c>
      <c r="JX49" s="242">
        <f t="shared" si="200"/>
        <v>30000000</v>
      </c>
      <c r="JY49" s="241">
        <f t="shared" si="217"/>
        <v>0</v>
      </c>
      <c r="JZ49" s="241">
        <f t="shared" si="218"/>
        <v>20000000</v>
      </c>
      <c r="KA49" s="241" t="str">
        <f t="shared" si="219"/>
        <v>期望符合预期</v>
      </c>
      <c r="KC49" s="242">
        <f t="shared" si="201"/>
        <v>40000000</v>
      </c>
      <c r="KD49" s="242">
        <f t="shared" si="202"/>
        <v>40000000</v>
      </c>
      <c r="KE49" s="242">
        <f t="shared" si="220"/>
        <v>1</v>
      </c>
      <c r="KF49" s="242">
        <f t="shared" si="203"/>
        <v>50000000</v>
      </c>
      <c r="KG49" s="241">
        <f t="shared" si="221"/>
        <v>0</v>
      </c>
      <c r="KH49" s="241">
        <f t="shared" si="222"/>
        <v>40000000</v>
      </c>
      <c r="KI49" s="241" t="str">
        <f t="shared" si="223"/>
        <v>期望符合预期</v>
      </c>
      <c r="KK49" s="242">
        <f t="shared" si="204"/>
        <v>60000000</v>
      </c>
      <c r="KL49" s="242">
        <f t="shared" si="205"/>
        <v>60000000</v>
      </c>
      <c r="KM49" s="242">
        <f t="shared" si="224"/>
        <v>1</v>
      </c>
      <c r="KN49" s="242">
        <f t="shared" si="206"/>
        <v>70000000</v>
      </c>
      <c r="KO49" s="241">
        <f t="shared" si="225"/>
        <v>0</v>
      </c>
      <c r="KP49" s="241">
        <f t="shared" si="226"/>
        <v>60000000</v>
      </c>
      <c r="KQ49" s="241" t="str">
        <f t="shared" si="227"/>
        <v>期望符合预期</v>
      </c>
      <c r="KS49" s="242">
        <f t="shared" si="207"/>
        <v>80000000</v>
      </c>
      <c r="KT49" s="242">
        <f t="shared" si="208"/>
        <v>80000000</v>
      </c>
      <c r="KU49" s="242">
        <f t="shared" si="228"/>
        <v>1</v>
      </c>
      <c r="KV49" s="242">
        <f t="shared" si="209"/>
        <v>90000000</v>
      </c>
      <c r="KW49" s="241">
        <f t="shared" si="229"/>
        <v>0</v>
      </c>
      <c r="KX49" s="241">
        <f t="shared" si="230"/>
        <v>80000000</v>
      </c>
      <c r="KY49" s="241" t="str">
        <f t="shared" si="231"/>
        <v>期望符合预期</v>
      </c>
      <c r="LA49" s="242">
        <f t="shared" si="210"/>
        <v>100000000</v>
      </c>
      <c r="LB49" s="242">
        <f t="shared" si="211"/>
        <v>100000000</v>
      </c>
      <c r="LC49" s="242">
        <f t="shared" si="232"/>
        <v>1</v>
      </c>
      <c r="LD49" s="242">
        <f t="shared" si="212"/>
        <v>110000000</v>
      </c>
      <c r="LE49" s="241">
        <f t="shared" si="233"/>
        <v>0</v>
      </c>
      <c r="LF49" s="241">
        <f t="shared" si="234"/>
        <v>100000000</v>
      </c>
      <c r="LG49" s="241" t="str">
        <f t="shared" si="235"/>
        <v>期望符合预期</v>
      </c>
    </row>
    <row r="50" spans="1:319" ht="16.2" x14ac:dyDescent="0.4">
      <c r="A50" s="63">
        <v>44</v>
      </c>
      <c r="B50" s="254" t="s">
        <v>1784</v>
      </c>
      <c r="C50" s="259">
        <v>5</v>
      </c>
      <c r="D50" s="63">
        <v>2</v>
      </c>
      <c r="E50" s="63">
        <v>200</v>
      </c>
      <c r="F50" s="260" t="s">
        <v>1785</v>
      </c>
      <c r="G50" s="63">
        <f t="shared" si="167"/>
        <v>200</v>
      </c>
      <c r="H50" s="261"/>
      <c r="I50" s="265"/>
      <c r="J50" s="63">
        <f t="shared" si="551"/>
        <v>0</v>
      </c>
      <c r="K50" s="63">
        <f t="shared" si="552"/>
        <v>0</v>
      </c>
      <c r="L50" s="63">
        <v>0</v>
      </c>
      <c r="M50" s="63">
        <f>ROUND($BX$7/('全局参数|GlobalPar'!$B$19/10000/BS50),6)*0</f>
        <v>0</v>
      </c>
      <c r="N50" s="267">
        <v>0</v>
      </c>
      <c r="O50" s="268">
        <f>ROUND(IF(N50&lt;&gt;0,$BX$4/('全局参数|GlobalPar'!$B$19/10000/E50)/N50,0),6)</f>
        <v>0</v>
      </c>
      <c r="P50" s="270">
        <f t="shared" si="386"/>
        <v>0</v>
      </c>
      <c r="Q50" s="285">
        <f t="shared" si="535"/>
        <v>0</v>
      </c>
      <c r="R50" s="282">
        <v>12</v>
      </c>
      <c r="S50" s="283">
        <v>1</v>
      </c>
      <c r="T50" s="284" t="str">
        <f t="shared" si="21"/>
        <v>[[0,1],[0,1],[0,1],[0,1],[0,1],[0,1],[0,1],[0,1],[0,1],[0,1],[0,2],[0,4],[0,6],[0,8],[0,10],[0,20],[0,40],[0,60],[0,80],[0,100]]</v>
      </c>
      <c r="U50" s="284">
        <v>1</v>
      </c>
      <c r="V50" s="284">
        <v>1</v>
      </c>
      <c r="W50" s="284" t="str">
        <f t="shared" si="168"/>
        <v>[[0,1],[0,1],[0,1],[0,1],[0,1],[0,1],[0,1],[0,1],[0,1],[0,1],[0,1],[0,1],[0,1],[0,1],[0,1],[0,1],[0,1],[0,1],[0,1],[0,1]]</v>
      </c>
      <c r="X50" s="63">
        <v>0</v>
      </c>
      <c r="Y50" s="268">
        <v>0</v>
      </c>
      <c r="Z50" s="308">
        <f t="shared" si="541"/>
        <v>0</v>
      </c>
      <c r="AA50" s="309">
        <v>0</v>
      </c>
      <c r="AB50" s="310">
        <v>0</v>
      </c>
      <c r="AC50" s="304">
        <v>0</v>
      </c>
      <c r="AD50" s="303">
        <v>0</v>
      </c>
      <c r="AE50" s="303">
        <v>0</v>
      </c>
      <c r="AF50" s="303">
        <v>0</v>
      </c>
      <c r="AG50" s="63" t="str">
        <f t="shared" si="170"/>
        <v>[[8,5],[9,2],[10,2]]</v>
      </c>
      <c r="AH50" s="256" t="str">
        <f t="shared" si="171"/>
        <v>[0.307692,0.153846,0.102564]</v>
      </c>
      <c r="AI50" s="256">
        <v>0</v>
      </c>
      <c r="AJ50" s="256">
        <v>1</v>
      </c>
      <c r="AK50" s="256">
        <f t="shared" si="243"/>
        <v>1</v>
      </c>
      <c r="AL50" s="256">
        <v>1</v>
      </c>
      <c r="AM50" s="256">
        <f t="shared" si="172"/>
        <v>60</v>
      </c>
      <c r="AN50" s="256" t="s">
        <v>2549</v>
      </c>
      <c r="AO50" s="324">
        <v>11</v>
      </c>
      <c r="AP50" s="73">
        <v>1</v>
      </c>
      <c r="AQ50" s="63">
        <v>0</v>
      </c>
      <c r="AR50" s="39">
        <v>2</v>
      </c>
      <c r="AS50" s="39">
        <v>4</v>
      </c>
      <c r="AT50" s="39">
        <v>0</v>
      </c>
      <c r="AU50" s="63">
        <v>1.5</v>
      </c>
      <c r="AV50" s="63">
        <f t="shared" si="559"/>
        <v>1.5</v>
      </c>
      <c r="AW50" s="63">
        <v>1</v>
      </c>
      <c r="AX50" s="63">
        <v>1</v>
      </c>
      <c r="AY50" s="63" t="s">
        <v>1159</v>
      </c>
      <c r="AZ50" s="39"/>
      <c r="BA50" s="39"/>
      <c r="BB50" s="328">
        <v>1</v>
      </c>
      <c r="BC50" s="39">
        <v>200</v>
      </c>
      <c r="BD50" s="39">
        <v>0.18</v>
      </c>
      <c r="BE50" s="39">
        <v>0.8</v>
      </c>
      <c r="BF50" s="39">
        <v>1</v>
      </c>
      <c r="BG50" s="39" t="s">
        <v>1786</v>
      </c>
      <c r="BH50" s="335" t="s">
        <v>1787</v>
      </c>
      <c r="BI50" s="335" t="s">
        <v>1788</v>
      </c>
      <c r="BJ50" s="81">
        <v>1</v>
      </c>
      <c r="BK50" s="81">
        <v>2</v>
      </c>
      <c r="BL50" s="81"/>
      <c r="BM50" s="81"/>
      <c r="BN50" s="81">
        <f t="shared" si="387"/>
        <v>20</v>
      </c>
      <c r="BO50" s="343">
        <f t="shared" si="542"/>
        <v>7.5</v>
      </c>
      <c r="BP50" s="81" t="s">
        <v>1606</v>
      </c>
      <c r="BQ50" s="81">
        <f t="shared" si="388"/>
        <v>1.119</v>
      </c>
      <c r="BR50" s="81"/>
      <c r="BS50" s="63">
        <f t="shared" si="543"/>
        <v>200</v>
      </c>
      <c r="BT50" s="63">
        <f t="shared" si="557"/>
        <v>200</v>
      </c>
      <c r="BV50" s="63">
        <f t="shared" si="544"/>
        <v>0</v>
      </c>
      <c r="CG50" s="371">
        <f t="shared" si="545"/>
        <v>220.00000000000003</v>
      </c>
      <c r="CH50" s="372">
        <v>0.1</v>
      </c>
      <c r="CI50" s="373">
        <v>8</v>
      </c>
      <c r="CJ50" s="143">
        <v>5</v>
      </c>
      <c r="CK50" s="373">
        <v>9</v>
      </c>
      <c r="CL50" s="143">
        <v>2</v>
      </c>
      <c r="CM50" s="373">
        <v>10</v>
      </c>
      <c r="CN50" s="143">
        <v>2</v>
      </c>
      <c r="CO50" s="143">
        <f t="shared" si="174"/>
        <v>8.6666666666666661</v>
      </c>
      <c r="CP50" s="143">
        <f t="shared" si="550"/>
        <v>7.5</v>
      </c>
      <c r="CQ50" s="377">
        <f t="shared" si="176"/>
        <v>0.30769200000000002</v>
      </c>
      <c r="CR50" s="143">
        <f t="shared" si="550"/>
        <v>15</v>
      </c>
      <c r="CS50" s="378">
        <f t="shared" si="177"/>
        <v>0.15384600000000001</v>
      </c>
      <c r="CT50" s="143">
        <f t="shared" si="550"/>
        <v>22.5</v>
      </c>
      <c r="CU50" s="392">
        <f t="shared" si="178"/>
        <v>0.102564</v>
      </c>
      <c r="CW50" s="241">
        <v>0</v>
      </c>
      <c r="CX50" s="396">
        <v>0</v>
      </c>
      <c r="CY50" s="270">
        <f t="shared" si="546"/>
        <v>0</v>
      </c>
      <c r="CZ50" s="394">
        <f t="shared" si="547"/>
        <v>0</v>
      </c>
      <c r="DA50" s="394">
        <f t="shared" si="35"/>
        <v>0</v>
      </c>
      <c r="DB50" s="395">
        <f t="shared" si="179"/>
        <v>0</v>
      </c>
      <c r="DC50" s="419">
        <f t="shared" si="548"/>
        <v>0</v>
      </c>
      <c r="DD50" s="394">
        <f t="shared" si="37"/>
        <v>0</v>
      </c>
      <c r="DE50" s="420" t="e">
        <f t="shared" si="549"/>
        <v>#DIV/0!</v>
      </c>
      <c r="DF50" s="421">
        <f t="shared" si="180"/>
        <v>12</v>
      </c>
      <c r="DG50" s="422">
        <f t="shared" si="181"/>
        <v>1</v>
      </c>
      <c r="DH50" s="284"/>
      <c r="DI50" s="282">
        <v>12</v>
      </c>
      <c r="DJ50" s="283">
        <v>1</v>
      </c>
      <c r="DL50" s="431"/>
      <c r="DM50" s="242"/>
      <c r="DQ50" s="427"/>
      <c r="DR50" s="421">
        <v>0</v>
      </c>
      <c r="DS50" s="270">
        <v>1</v>
      </c>
      <c r="DT50" s="427">
        <f t="shared" si="39"/>
        <v>0</v>
      </c>
      <c r="DU50" s="421">
        <f t="shared" si="40"/>
        <v>0</v>
      </c>
      <c r="DV50" s="270">
        <f t="shared" si="182"/>
        <v>1</v>
      </c>
      <c r="DW50" s="427">
        <f t="shared" si="42"/>
        <v>0</v>
      </c>
      <c r="DX50" s="421">
        <f t="shared" si="43"/>
        <v>0</v>
      </c>
      <c r="DY50" s="270">
        <f t="shared" si="183"/>
        <v>1</v>
      </c>
      <c r="DZ50" s="427">
        <f t="shared" si="45"/>
        <v>0</v>
      </c>
      <c r="EA50" s="421">
        <f t="shared" si="184"/>
        <v>0</v>
      </c>
      <c r="EB50" s="270">
        <f t="shared" si="185"/>
        <v>1</v>
      </c>
      <c r="EC50" s="427">
        <f t="shared" si="48"/>
        <v>0</v>
      </c>
      <c r="ED50" s="421">
        <f t="shared" si="186"/>
        <v>0</v>
      </c>
      <c r="EE50" s="270">
        <f t="shared" si="187"/>
        <v>1</v>
      </c>
      <c r="EF50" s="427">
        <f t="shared" si="51"/>
        <v>0</v>
      </c>
      <c r="EG50" s="421">
        <f t="shared" si="188"/>
        <v>0</v>
      </c>
      <c r="EH50" s="270">
        <f t="shared" si="189"/>
        <v>1</v>
      </c>
      <c r="EI50" s="427">
        <f t="shared" si="54"/>
        <v>0</v>
      </c>
      <c r="EJ50" s="421">
        <f t="shared" si="190"/>
        <v>0</v>
      </c>
      <c r="EK50" s="270">
        <f t="shared" si="191"/>
        <v>1</v>
      </c>
      <c r="EL50" s="427">
        <f t="shared" si="57"/>
        <v>0</v>
      </c>
      <c r="EM50" s="421">
        <f t="shared" si="192"/>
        <v>0</v>
      </c>
      <c r="EN50" s="270">
        <f t="shared" si="193"/>
        <v>1</v>
      </c>
      <c r="EO50" s="427">
        <f t="shared" si="60"/>
        <v>0</v>
      </c>
      <c r="EP50" s="421">
        <f t="shared" si="194"/>
        <v>0</v>
      </c>
      <c r="EQ50" s="270">
        <f t="shared" si="195"/>
        <v>1</v>
      </c>
      <c r="ER50" s="427">
        <f t="shared" si="63"/>
        <v>0</v>
      </c>
      <c r="ES50" s="421">
        <f t="shared" si="196"/>
        <v>0</v>
      </c>
      <c r="ET50" s="270">
        <f t="shared" si="197"/>
        <v>1</v>
      </c>
      <c r="EU50" s="427">
        <f t="shared" si="66"/>
        <v>0</v>
      </c>
      <c r="EV50" s="421">
        <f t="shared" si="558"/>
        <v>0</v>
      </c>
      <c r="EW50" s="270">
        <f t="shared" si="68"/>
        <v>2</v>
      </c>
      <c r="EX50" s="427">
        <f t="shared" si="69"/>
        <v>0</v>
      </c>
      <c r="EY50" s="421">
        <f t="shared" si="558"/>
        <v>0</v>
      </c>
      <c r="EZ50" s="270">
        <f t="shared" si="71"/>
        <v>4</v>
      </c>
      <c r="FA50" s="427">
        <f t="shared" si="72"/>
        <v>0</v>
      </c>
      <c r="FB50" s="421">
        <f t="shared" si="558"/>
        <v>0</v>
      </c>
      <c r="FC50" s="270">
        <f t="shared" si="74"/>
        <v>6</v>
      </c>
      <c r="FD50" s="427">
        <f t="shared" si="75"/>
        <v>0</v>
      </c>
      <c r="FE50" s="421">
        <f t="shared" si="558"/>
        <v>0</v>
      </c>
      <c r="FF50" s="270">
        <f t="shared" si="77"/>
        <v>8</v>
      </c>
      <c r="FG50" s="427">
        <f t="shared" si="78"/>
        <v>0</v>
      </c>
      <c r="FH50" s="421">
        <f t="shared" si="558"/>
        <v>0</v>
      </c>
      <c r="FI50" s="270">
        <f t="shared" si="80"/>
        <v>10</v>
      </c>
      <c r="FJ50" s="427">
        <f t="shared" si="81"/>
        <v>0</v>
      </c>
      <c r="FK50" s="421">
        <f t="shared" si="558"/>
        <v>0</v>
      </c>
      <c r="FL50" s="270">
        <f t="shared" si="83"/>
        <v>20</v>
      </c>
      <c r="FM50" s="427">
        <f t="shared" si="84"/>
        <v>0</v>
      </c>
      <c r="FN50" s="421">
        <f t="shared" si="558"/>
        <v>0</v>
      </c>
      <c r="FO50" s="270">
        <f t="shared" si="86"/>
        <v>40</v>
      </c>
      <c r="FP50" s="427">
        <f t="shared" si="87"/>
        <v>0</v>
      </c>
      <c r="FQ50" s="421">
        <f t="shared" si="558"/>
        <v>0</v>
      </c>
      <c r="FR50" s="270">
        <f t="shared" si="89"/>
        <v>60</v>
      </c>
      <c r="FS50" s="427">
        <f t="shared" si="90"/>
        <v>0</v>
      </c>
      <c r="FT50" s="421">
        <f t="shared" si="558"/>
        <v>0</v>
      </c>
      <c r="FU50" s="270">
        <f t="shared" si="92"/>
        <v>80</v>
      </c>
      <c r="FV50" s="427">
        <f t="shared" si="93"/>
        <v>0</v>
      </c>
      <c r="FW50" s="421">
        <f t="shared" si="558"/>
        <v>0</v>
      </c>
      <c r="FX50" s="270">
        <f t="shared" si="95"/>
        <v>100</v>
      </c>
      <c r="FY50" s="427">
        <f t="shared" si="96"/>
        <v>0</v>
      </c>
      <c r="GA50" s="431"/>
      <c r="GB50" s="242"/>
      <c r="GF50" s="427"/>
      <c r="GG50" s="421">
        <v>0</v>
      </c>
      <c r="GH50" s="270">
        <v>1</v>
      </c>
      <c r="GI50" s="427">
        <f t="shared" si="97"/>
        <v>0</v>
      </c>
      <c r="GJ50" s="421">
        <f t="shared" si="98"/>
        <v>0</v>
      </c>
      <c r="GK50" s="270">
        <f t="shared" si="99"/>
        <v>1</v>
      </c>
      <c r="GL50" s="427">
        <f t="shared" si="100"/>
        <v>0</v>
      </c>
      <c r="GM50" s="421">
        <f t="shared" si="101"/>
        <v>0</v>
      </c>
      <c r="GN50" s="270">
        <f t="shared" si="102"/>
        <v>1</v>
      </c>
      <c r="GO50" s="427">
        <f t="shared" si="103"/>
        <v>0</v>
      </c>
      <c r="GP50" s="421">
        <f t="shared" si="104"/>
        <v>0</v>
      </c>
      <c r="GQ50" s="270">
        <f t="shared" si="105"/>
        <v>1</v>
      </c>
      <c r="GR50" s="427">
        <f t="shared" si="106"/>
        <v>0</v>
      </c>
      <c r="GS50" s="421">
        <f t="shared" si="107"/>
        <v>0</v>
      </c>
      <c r="GT50" s="270">
        <f t="shared" si="108"/>
        <v>1</v>
      </c>
      <c r="GU50" s="427">
        <f t="shared" si="109"/>
        <v>0</v>
      </c>
      <c r="GV50" s="421">
        <f t="shared" si="110"/>
        <v>0</v>
      </c>
      <c r="GW50" s="270">
        <f t="shared" si="111"/>
        <v>1</v>
      </c>
      <c r="GX50" s="427">
        <f t="shared" si="112"/>
        <v>0</v>
      </c>
      <c r="GY50" s="421">
        <f t="shared" si="113"/>
        <v>0</v>
      </c>
      <c r="GZ50" s="270">
        <f t="shared" si="114"/>
        <v>1</v>
      </c>
      <c r="HA50" s="427">
        <f t="shared" si="115"/>
        <v>0</v>
      </c>
      <c r="HB50" s="421">
        <f t="shared" si="116"/>
        <v>0</v>
      </c>
      <c r="HC50" s="270">
        <f t="shared" si="117"/>
        <v>1</v>
      </c>
      <c r="HD50" s="427">
        <f t="shared" si="118"/>
        <v>0</v>
      </c>
      <c r="HE50" s="421">
        <f t="shared" si="119"/>
        <v>0</v>
      </c>
      <c r="HF50" s="270">
        <f t="shared" si="120"/>
        <v>1</v>
      </c>
      <c r="HG50" s="427">
        <f t="shared" si="121"/>
        <v>0</v>
      </c>
      <c r="HH50" s="421">
        <f t="shared" si="122"/>
        <v>0</v>
      </c>
      <c r="HI50" s="270">
        <f t="shared" si="123"/>
        <v>1</v>
      </c>
      <c r="HJ50" s="427">
        <f t="shared" si="124"/>
        <v>0</v>
      </c>
      <c r="HK50" s="421">
        <f t="shared" si="125"/>
        <v>0</v>
      </c>
      <c r="HL50" s="270">
        <f t="shared" si="125"/>
        <v>1</v>
      </c>
      <c r="HM50" s="427">
        <f t="shared" si="126"/>
        <v>0</v>
      </c>
      <c r="HN50" s="421">
        <f t="shared" si="127"/>
        <v>0</v>
      </c>
      <c r="HO50" s="270">
        <f t="shared" si="127"/>
        <v>1</v>
      </c>
      <c r="HP50" s="427">
        <f t="shared" si="128"/>
        <v>0</v>
      </c>
      <c r="HQ50" s="421">
        <f t="shared" si="129"/>
        <v>0</v>
      </c>
      <c r="HR50" s="270">
        <f t="shared" si="129"/>
        <v>1</v>
      </c>
      <c r="HS50" s="427">
        <f t="shared" si="130"/>
        <v>0</v>
      </c>
      <c r="HT50" s="421">
        <f t="shared" si="131"/>
        <v>0</v>
      </c>
      <c r="HU50" s="270">
        <f t="shared" si="131"/>
        <v>1</v>
      </c>
      <c r="HV50" s="427">
        <f t="shared" si="132"/>
        <v>0</v>
      </c>
      <c r="HW50" s="421">
        <f t="shared" si="133"/>
        <v>0</v>
      </c>
      <c r="HX50" s="270">
        <f t="shared" si="133"/>
        <v>1</v>
      </c>
      <c r="HY50" s="427">
        <f t="shared" si="134"/>
        <v>0</v>
      </c>
      <c r="HZ50" s="421">
        <f t="shared" si="135"/>
        <v>0</v>
      </c>
      <c r="IA50" s="270">
        <f t="shared" si="135"/>
        <v>1</v>
      </c>
      <c r="IB50" s="427">
        <f t="shared" si="136"/>
        <v>0</v>
      </c>
      <c r="IC50" s="421">
        <f t="shared" si="137"/>
        <v>0</v>
      </c>
      <c r="ID50" s="270">
        <f t="shared" si="137"/>
        <v>1</v>
      </c>
      <c r="IE50" s="427">
        <f t="shared" si="138"/>
        <v>0</v>
      </c>
      <c r="IF50" s="421">
        <f t="shared" si="139"/>
        <v>0</v>
      </c>
      <c r="IG50" s="270">
        <f t="shared" si="139"/>
        <v>1</v>
      </c>
      <c r="IH50" s="427">
        <f t="shared" si="140"/>
        <v>0</v>
      </c>
      <c r="II50" s="421">
        <f t="shared" si="141"/>
        <v>0</v>
      </c>
      <c r="IJ50" s="270">
        <f t="shared" si="141"/>
        <v>1</v>
      </c>
      <c r="IK50" s="427">
        <f t="shared" si="142"/>
        <v>0</v>
      </c>
      <c r="IL50" s="421">
        <f t="shared" si="143"/>
        <v>0</v>
      </c>
      <c r="IM50" s="270">
        <f t="shared" si="143"/>
        <v>1</v>
      </c>
      <c r="IN50" s="427">
        <f t="shared" si="144"/>
        <v>0</v>
      </c>
      <c r="IS50" s="447">
        <f t="shared" si="554"/>
        <v>0</v>
      </c>
      <c r="IT50" s="447">
        <f t="shared" si="554"/>
        <v>0</v>
      </c>
      <c r="IU50" s="447">
        <f t="shared" si="554"/>
        <v>0</v>
      </c>
      <c r="IV50" s="447">
        <f t="shared" si="554"/>
        <v>0</v>
      </c>
      <c r="IW50" s="447">
        <f t="shared" si="554"/>
        <v>0</v>
      </c>
      <c r="IX50" s="447">
        <f t="shared" si="554"/>
        <v>0</v>
      </c>
      <c r="IY50" s="447">
        <f t="shared" si="554"/>
        <v>0</v>
      </c>
      <c r="IZ50" s="447">
        <f t="shared" si="554"/>
        <v>0</v>
      </c>
      <c r="JA50" s="447">
        <f t="shared" si="554"/>
        <v>0</v>
      </c>
      <c r="JB50" s="447">
        <f t="shared" si="554"/>
        <v>0</v>
      </c>
      <c r="JC50" s="447">
        <f t="shared" si="555"/>
        <v>0</v>
      </c>
      <c r="JD50" s="447">
        <f t="shared" si="555"/>
        <v>0</v>
      </c>
      <c r="JE50" s="447">
        <f t="shared" si="555"/>
        <v>0</v>
      </c>
      <c r="JF50" s="447">
        <f t="shared" si="555"/>
        <v>0</v>
      </c>
      <c r="JG50" s="447">
        <f t="shared" si="555"/>
        <v>0</v>
      </c>
      <c r="JH50" s="447">
        <f t="shared" si="555"/>
        <v>0</v>
      </c>
      <c r="JI50" s="447">
        <f t="shared" si="555"/>
        <v>0</v>
      </c>
      <c r="JJ50" s="447">
        <f t="shared" si="555"/>
        <v>0</v>
      </c>
      <c r="JK50" s="447">
        <f t="shared" si="555"/>
        <v>0</v>
      </c>
      <c r="JL50" s="447">
        <f t="shared" si="555"/>
        <v>0</v>
      </c>
      <c r="JU50" s="242">
        <f t="shared" si="198"/>
        <v>4000000</v>
      </c>
      <c r="JV50" s="242">
        <f t="shared" si="199"/>
        <v>4000000</v>
      </c>
      <c r="JW50" s="242">
        <f t="shared" si="216"/>
        <v>1</v>
      </c>
      <c r="JX50" s="242">
        <f t="shared" si="200"/>
        <v>5000000</v>
      </c>
      <c r="JY50" s="241">
        <f t="shared" si="217"/>
        <v>0</v>
      </c>
      <c r="JZ50" s="241">
        <f t="shared" si="218"/>
        <v>4000000</v>
      </c>
      <c r="KA50" s="241" t="str">
        <f t="shared" si="219"/>
        <v>期望符合预期</v>
      </c>
      <c r="KC50" s="242">
        <f t="shared" si="201"/>
        <v>8000000</v>
      </c>
      <c r="KD50" s="242">
        <f t="shared" si="202"/>
        <v>5000000</v>
      </c>
      <c r="KE50" s="242">
        <f t="shared" si="220"/>
        <v>0.4</v>
      </c>
      <c r="KF50" s="242">
        <f t="shared" si="203"/>
        <v>10000000</v>
      </c>
      <c r="KG50" s="241">
        <f t="shared" si="221"/>
        <v>0.6</v>
      </c>
      <c r="KH50" s="241">
        <f t="shared" si="222"/>
        <v>8000000</v>
      </c>
      <c r="KI50" s="241" t="str">
        <f t="shared" si="223"/>
        <v>期望符合预期</v>
      </c>
      <c r="KK50" s="242">
        <f t="shared" si="204"/>
        <v>12000000</v>
      </c>
      <c r="KL50" s="242">
        <f t="shared" si="205"/>
        <v>10000000</v>
      </c>
      <c r="KM50" s="242">
        <f t="shared" si="224"/>
        <v>0.6</v>
      </c>
      <c r="KN50" s="242">
        <f t="shared" si="206"/>
        <v>15000000</v>
      </c>
      <c r="KO50" s="241">
        <f t="shared" si="225"/>
        <v>0.4</v>
      </c>
      <c r="KP50" s="241">
        <f t="shared" si="226"/>
        <v>12000000</v>
      </c>
      <c r="KQ50" s="241" t="str">
        <f t="shared" si="227"/>
        <v>期望符合预期</v>
      </c>
      <c r="KS50" s="242">
        <f t="shared" si="207"/>
        <v>16000000</v>
      </c>
      <c r="KT50" s="242">
        <f t="shared" si="208"/>
        <v>15000000</v>
      </c>
      <c r="KU50" s="242">
        <f t="shared" si="228"/>
        <v>0.8</v>
      </c>
      <c r="KV50" s="242">
        <f t="shared" si="209"/>
        <v>20000000</v>
      </c>
      <c r="KW50" s="241">
        <f t="shared" si="229"/>
        <v>0.2</v>
      </c>
      <c r="KX50" s="241">
        <f t="shared" si="230"/>
        <v>16000000</v>
      </c>
      <c r="KY50" s="241" t="str">
        <f t="shared" si="231"/>
        <v>期望符合预期</v>
      </c>
      <c r="LA50" s="242">
        <f t="shared" si="210"/>
        <v>20000000</v>
      </c>
      <c r="LB50" s="242">
        <f t="shared" si="211"/>
        <v>20000000</v>
      </c>
      <c r="LC50" s="242">
        <f t="shared" si="232"/>
        <v>1</v>
      </c>
      <c r="LD50" s="242">
        <f t="shared" si="212"/>
        <v>30000000</v>
      </c>
      <c r="LE50" s="241">
        <f t="shared" si="233"/>
        <v>0</v>
      </c>
      <c r="LF50" s="241">
        <f t="shared" si="234"/>
        <v>20000000</v>
      </c>
      <c r="LG50" s="241" t="str">
        <f t="shared" si="235"/>
        <v>期望符合预期</v>
      </c>
    </row>
    <row r="51" spans="1:319" x14ac:dyDescent="0.35">
      <c r="A51" s="63">
        <v>45</v>
      </c>
      <c r="B51" s="262"/>
      <c r="C51" s="259">
        <v>5</v>
      </c>
      <c r="D51" s="63">
        <v>-1</v>
      </c>
      <c r="E51" s="63">
        <v>200</v>
      </c>
      <c r="F51" s="63"/>
      <c r="G51" s="63">
        <f t="shared" si="167"/>
        <v>200</v>
      </c>
      <c r="H51" s="63"/>
      <c r="I51" s="265"/>
      <c r="J51" s="63">
        <f t="shared" si="551"/>
        <v>0</v>
      </c>
      <c r="K51" s="63">
        <f t="shared" si="552"/>
        <v>0</v>
      </c>
      <c r="L51" s="63">
        <v>0</v>
      </c>
      <c r="M51" s="63">
        <f>ROUND($BX$7/('全局参数|GlobalPar'!$B$19/10000/BS51),6)*0</f>
        <v>0</v>
      </c>
      <c r="N51" s="267">
        <v>0</v>
      </c>
      <c r="O51" s="268">
        <f>ROUND(IF(N51&lt;&gt;0,$BX$4/('全局参数|GlobalPar'!$B$19/10000/E51)/N51,0),6)</f>
        <v>0</v>
      </c>
      <c r="P51" s="270">
        <f t="shared" si="386"/>
        <v>0</v>
      </c>
      <c r="Q51" s="285">
        <f t="shared" si="535"/>
        <v>0</v>
      </c>
      <c r="R51" s="282">
        <v>12</v>
      </c>
      <c r="S51" s="283">
        <v>1</v>
      </c>
      <c r="T51" s="284" t="str">
        <f t="shared" si="21"/>
        <v>[[0,1],[0,1],[0,1],[0,1],[0,1],[0,1],[0,1],[0,1],[0,1],[0,1],[0,2],[0,4],[0,6],[0,8],[0,10],[0,20],[0,40],[0,60],[0,80],[0,100]]</v>
      </c>
      <c r="U51" s="284">
        <v>1</v>
      </c>
      <c r="V51" s="284">
        <v>1</v>
      </c>
      <c r="W51" s="284" t="str">
        <f t="shared" si="168"/>
        <v>[[0,1],[0,1],[0,1],[0,1],[0,1],[0,1],[0,1],[0,1],[0,1],[0,1],[0,1],[0,1],[0,1],[0,1],[0,1],[0,1],[0,1],[0,1],[0,1],[0,1]]</v>
      </c>
      <c r="X51" s="63">
        <v>0</v>
      </c>
      <c r="Y51" s="268">
        <v>0</v>
      </c>
      <c r="Z51" s="311">
        <f t="shared" si="541"/>
        <v>0</v>
      </c>
      <c r="AA51" s="312">
        <v>0</v>
      </c>
      <c r="AB51" s="313">
        <v>0</v>
      </c>
      <c r="AC51" s="304">
        <v>0</v>
      </c>
      <c r="AD51" s="303">
        <v>0</v>
      </c>
      <c r="AE51" s="303">
        <v>0</v>
      </c>
      <c r="AF51" s="303">
        <v>0</v>
      </c>
      <c r="AG51" s="63" t="str">
        <f t="shared" si="170"/>
        <v>[[6,5],[8,2],[10,2]]</v>
      </c>
      <c r="AH51" s="256" t="str">
        <f t="shared" si="171"/>
        <v>[0.363636,0.181818,0.121212]</v>
      </c>
      <c r="AI51" s="256">
        <v>0</v>
      </c>
      <c r="AJ51" s="256">
        <v>1</v>
      </c>
      <c r="AK51" s="256">
        <f t="shared" si="243"/>
        <v>1</v>
      </c>
      <c r="AL51" s="256">
        <v>1</v>
      </c>
      <c r="AM51" s="256">
        <f t="shared" si="172"/>
        <v>60</v>
      </c>
      <c r="AN51" s="256" t="s">
        <v>2552</v>
      </c>
      <c r="AO51" s="324">
        <v>11</v>
      </c>
      <c r="AP51" s="63">
        <f>IF(C51=4,1,IF(OR(C51=5,C51=6),2,-1))</f>
        <v>2</v>
      </c>
      <c r="AQ51" s="63">
        <v>0</v>
      </c>
      <c r="AR51" s="39">
        <v>2</v>
      </c>
      <c r="AS51" s="39"/>
      <c r="AT51" s="39">
        <v>0</v>
      </c>
      <c r="AU51" s="63">
        <v>1</v>
      </c>
      <c r="AV51" s="63">
        <f t="shared" si="536"/>
        <v>1.4925373134328357</v>
      </c>
      <c r="AW51" s="63">
        <v>1</v>
      </c>
      <c r="AX51" s="63">
        <v>1</v>
      </c>
      <c r="AY51" s="63" t="s">
        <v>1159</v>
      </c>
      <c r="AZ51" s="39"/>
      <c r="BA51" s="39"/>
      <c r="BB51" s="328">
        <v>1</v>
      </c>
      <c r="BC51" s="39">
        <v>200</v>
      </c>
      <c r="BD51" s="39">
        <v>0.18</v>
      </c>
      <c r="BE51" s="39">
        <v>0.8</v>
      </c>
      <c r="BF51" s="39">
        <v>1</v>
      </c>
      <c r="BG51" s="39" t="s">
        <v>1786</v>
      </c>
      <c r="BH51" s="265" t="s">
        <v>1789</v>
      </c>
      <c r="BI51" s="265" t="s">
        <v>1789</v>
      </c>
      <c r="BJ51" s="265"/>
      <c r="BK51" s="265"/>
      <c r="BL51" s="265"/>
      <c r="BM51" s="265"/>
      <c r="BN51" s="81">
        <f t="shared" si="387"/>
        <v>20</v>
      </c>
      <c r="BO51" s="343">
        <f t="shared" si="542"/>
        <v>7.5</v>
      </c>
      <c r="BP51" s="81" t="s">
        <v>1606</v>
      </c>
      <c r="BQ51" s="81">
        <f t="shared" si="388"/>
        <v>0.746</v>
      </c>
      <c r="BR51" s="81"/>
      <c r="BS51" s="63">
        <f t="shared" si="543"/>
        <v>200</v>
      </c>
      <c r="BT51" s="63">
        <f t="shared" si="557"/>
        <v>200</v>
      </c>
      <c r="BV51" s="63">
        <f t="shared" si="544"/>
        <v>0</v>
      </c>
      <c r="CG51" s="371">
        <f t="shared" si="545"/>
        <v>220.00000000000003</v>
      </c>
      <c r="CH51" s="372">
        <f t="shared" si="214"/>
        <v>0.1</v>
      </c>
      <c r="CI51" s="373">
        <v>6</v>
      </c>
      <c r="CJ51" s="143">
        <v>5</v>
      </c>
      <c r="CK51" s="373">
        <v>8</v>
      </c>
      <c r="CL51" s="143">
        <v>2</v>
      </c>
      <c r="CM51" s="373">
        <v>10</v>
      </c>
      <c r="CN51" s="143">
        <v>2</v>
      </c>
      <c r="CO51" s="143">
        <f t="shared" si="174"/>
        <v>7.333333333333333</v>
      </c>
      <c r="CP51" s="143">
        <f t="shared" si="550"/>
        <v>7.5</v>
      </c>
      <c r="CQ51" s="377">
        <f t="shared" si="176"/>
        <v>0.36363600000000001</v>
      </c>
      <c r="CR51" s="143">
        <f t="shared" si="550"/>
        <v>15</v>
      </c>
      <c r="CS51" s="378">
        <f t="shared" si="177"/>
        <v>0.18181800000000001</v>
      </c>
      <c r="CT51" s="143">
        <f t="shared" si="550"/>
        <v>22.5</v>
      </c>
      <c r="CU51" s="392">
        <f t="shared" si="178"/>
        <v>0.121212</v>
      </c>
      <c r="CW51" s="241">
        <v>0</v>
      </c>
      <c r="CX51" s="396">
        <f t="shared" si="215"/>
        <v>0</v>
      </c>
      <c r="CY51" s="270">
        <f t="shared" si="546"/>
        <v>0</v>
      </c>
      <c r="CZ51" s="394">
        <f t="shared" si="547"/>
        <v>0</v>
      </c>
      <c r="DA51" s="394">
        <f t="shared" si="35"/>
        <v>0</v>
      </c>
      <c r="DB51" s="395">
        <f t="shared" si="179"/>
        <v>0</v>
      </c>
      <c r="DC51" s="419">
        <f t="shared" si="548"/>
        <v>0</v>
      </c>
      <c r="DD51" s="394">
        <f t="shared" si="37"/>
        <v>0</v>
      </c>
      <c r="DE51" s="420" t="e">
        <f t="shared" si="549"/>
        <v>#DIV/0!</v>
      </c>
      <c r="DF51" s="421">
        <f t="shared" si="180"/>
        <v>12</v>
      </c>
      <c r="DG51" s="422">
        <f t="shared" si="181"/>
        <v>1</v>
      </c>
      <c r="DH51" s="284"/>
      <c r="DI51" s="282">
        <v>12</v>
      </c>
      <c r="DJ51" s="283">
        <v>1</v>
      </c>
      <c r="DL51" s="431"/>
      <c r="DM51" s="242"/>
      <c r="DQ51" s="427"/>
      <c r="DR51" s="421">
        <v>0</v>
      </c>
      <c r="DS51" s="270">
        <v>1</v>
      </c>
      <c r="DT51" s="427">
        <f t="shared" si="39"/>
        <v>0</v>
      </c>
      <c r="DU51" s="421">
        <f t="shared" si="40"/>
        <v>0</v>
      </c>
      <c r="DV51" s="270">
        <f t="shared" si="182"/>
        <v>1</v>
      </c>
      <c r="DW51" s="427">
        <f t="shared" si="42"/>
        <v>0</v>
      </c>
      <c r="DX51" s="421">
        <f t="shared" si="43"/>
        <v>0</v>
      </c>
      <c r="DY51" s="270">
        <f t="shared" si="183"/>
        <v>1</v>
      </c>
      <c r="DZ51" s="427">
        <f t="shared" si="45"/>
        <v>0</v>
      </c>
      <c r="EA51" s="421">
        <f t="shared" si="184"/>
        <v>0</v>
      </c>
      <c r="EB51" s="270">
        <f t="shared" si="185"/>
        <v>1</v>
      </c>
      <c r="EC51" s="427">
        <f t="shared" si="48"/>
        <v>0</v>
      </c>
      <c r="ED51" s="421">
        <f t="shared" si="186"/>
        <v>0</v>
      </c>
      <c r="EE51" s="270">
        <f t="shared" si="187"/>
        <v>1</v>
      </c>
      <c r="EF51" s="427">
        <f t="shared" si="51"/>
        <v>0</v>
      </c>
      <c r="EG51" s="421">
        <f t="shared" si="188"/>
        <v>0</v>
      </c>
      <c r="EH51" s="270">
        <f t="shared" si="189"/>
        <v>1</v>
      </c>
      <c r="EI51" s="427">
        <f t="shared" si="54"/>
        <v>0</v>
      </c>
      <c r="EJ51" s="421">
        <f t="shared" si="190"/>
        <v>0</v>
      </c>
      <c r="EK51" s="270">
        <f t="shared" si="191"/>
        <v>1</v>
      </c>
      <c r="EL51" s="427">
        <f t="shared" si="57"/>
        <v>0</v>
      </c>
      <c r="EM51" s="421">
        <f t="shared" si="192"/>
        <v>0</v>
      </c>
      <c r="EN51" s="270">
        <f t="shared" si="193"/>
        <v>1</v>
      </c>
      <c r="EO51" s="427">
        <f t="shared" si="60"/>
        <v>0</v>
      </c>
      <c r="EP51" s="421">
        <f t="shared" si="194"/>
        <v>0</v>
      </c>
      <c r="EQ51" s="270">
        <f t="shared" si="195"/>
        <v>1</v>
      </c>
      <c r="ER51" s="427">
        <f t="shared" si="63"/>
        <v>0</v>
      </c>
      <c r="ES51" s="421">
        <f t="shared" si="196"/>
        <v>0</v>
      </c>
      <c r="ET51" s="270">
        <f t="shared" si="197"/>
        <v>1</v>
      </c>
      <c r="EU51" s="427">
        <f t="shared" si="66"/>
        <v>0</v>
      </c>
      <c r="EV51" s="421">
        <f t="shared" si="558"/>
        <v>0</v>
      </c>
      <c r="EW51" s="270">
        <f t="shared" si="68"/>
        <v>2</v>
      </c>
      <c r="EX51" s="427">
        <f t="shared" si="69"/>
        <v>0</v>
      </c>
      <c r="EY51" s="421">
        <f t="shared" si="558"/>
        <v>0</v>
      </c>
      <c r="EZ51" s="270">
        <f t="shared" si="71"/>
        <v>4</v>
      </c>
      <c r="FA51" s="427">
        <f t="shared" si="72"/>
        <v>0</v>
      </c>
      <c r="FB51" s="421">
        <f t="shared" si="558"/>
        <v>0</v>
      </c>
      <c r="FC51" s="270">
        <f t="shared" si="74"/>
        <v>6</v>
      </c>
      <c r="FD51" s="427">
        <f t="shared" si="75"/>
        <v>0</v>
      </c>
      <c r="FE51" s="421">
        <f t="shared" si="558"/>
        <v>0</v>
      </c>
      <c r="FF51" s="270">
        <f t="shared" si="77"/>
        <v>8</v>
      </c>
      <c r="FG51" s="427">
        <f t="shared" si="78"/>
        <v>0</v>
      </c>
      <c r="FH51" s="421">
        <f t="shared" si="558"/>
        <v>0</v>
      </c>
      <c r="FI51" s="270">
        <f t="shared" si="80"/>
        <v>10</v>
      </c>
      <c r="FJ51" s="427">
        <f t="shared" si="81"/>
        <v>0</v>
      </c>
      <c r="FK51" s="421">
        <f t="shared" si="558"/>
        <v>0</v>
      </c>
      <c r="FL51" s="270">
        <f t="shared" si="83"/>
        <v>20</v>
      </c>
      <c r="FM51" s="427">
        <f t="shared" si="84"/>
        <v>0</v>
      </c>
      <c r="FN51" s="421">
        <f t="shared" si="558"/>
        <v>0</v>
      </c>
      <c r="FO51" s="270">
        <f t="shared" si="86"/>
        <v>40</v>
      </c>
      <c r="FP51" s="427">
        <f t="shared" si="87"/>
        <v>0</v>
      </c>
      <c r="FQ51" s="421">
        <f t="shared" si="558"/>
        <v>0</v>
      </c>
      <c r="FR51" s="270">
        <f t="shared" si="89"/>
        <v>60</v>
      </c>
      <c r="FS51" s="427">
        <f t="shared" si="90"/>
        <v>0</v>
      </c>
      <c r="FT51" s="421">
        <f t="shared" si="558"/>
        <v>0</v>
      </c>
      <c r="FU51" s="270">
        <f t="shared" si="92"/>
        <v>80</v>
      </c>
      <c r="FV51" s="427">
        <f t="shared" si="93"/>
        <v>0</v>
      </c>
      <c r="FW51" s="421">
        <f t="shared" si="558"/>
        <v>0</v>
      </c>
      <c r="FX51" s="270">
        <f t="shared" si="95"/>
        <v>100</v>
      </c>
      <c r="FY51" s="427">
        <f t="shared" si="96"/>
        <v>0</v>
      </c>
      <c r="GA51" s="431"/>
      <c r="GB51" s="242"/>
      <c r="GF51" s="427"/>
      <c r="GG51" s="421">
        <v>0</v>
      </c>
      <c r="GH51" s="270">
        <v>1</v>
      </c>
      <c r="GI51" s="427">
        <f t="shared" si="97"/>
        <v>0</v>
      </c>
      <c r="GJ51" s="421">
        <f t="shared" si="98"/>
        <v>0</v>
      </c>
      <c r="GK51" s="270">
        <f t="shared" si="99"/>
        <v>1</v>
      </c>
      <c r="GL51" s="427">
        <f t="shared" si="100"/>
        <v>0</v>
      </c>
      <c r="GM51" s="421">
        <f t="shared" si="101"/>
        <v>0</v>
      </c>
      <c r="GN51" s="270">
        <f t="shared" si="102"/>
        <v>1</v>
      </c>
      <c r="GO51" s="427">
        <f t="shared" si="103"/>
        <v>0</v>
      </c>
      <c r="GP51" s="421">
        <f t="shared" si="104"/>
        <v>0</v>
      </c>
      <c r="GQ51" s="270">
        <f t="shared" si="105"/>
        <v>1</v>
      </c>
      <c r="GR51" s="427">
        <f t="shared" si="106"/>
        <v>0</v>
      </c>
      <c r="GS51" s="421">
        <f t="shared" si="107"/>
        <v>0</v>
      </c>
      <c r="GT51" s="270">
        <f t="shared" si="108"/>
        <v>1</v>
      </c>
      <c r="GU51" s="427">
        <f t="shared" si="109"/>
        <v>0</v>
      </c>
      <c r="GV51" s="421">
        <f t="shared" si="110"/>
        <v>0</v>
      </c>
      <c r="GW51" s="270">
        <f t="shared" si="111"/>
        <v>1</v>
      </c>
      <c r="GX51" s="427">
        <f t="shared" si="112"/>
        <v>0</v>
      </c>
      <c r="GY51" s="421">
        <f t="shared" si="113"/>
        <v>0</v>
      </c>
      <c r="GZ51" s="270">
        <f t="shared" si="114"/>
        <v>1</v>
      </c>
      <c r="HA51" s="427">
        <f t="shared" si="115"/>
        <v>0</v>
      </c>
      <c r="HB51" s="421">
        <f t="shared" si="116"/>
        <v>0</v>
      </c>
      <c r="HC51" s="270">
        <f t="shared" si="117"/>
        <v>1</v>
      </c>
      <c r="HD51" s="427">
        <f t="shared" si="118"/>
        <v>0</v>
      </c>
      <c r="HE51" s="421">
        <f t="shared" si="119"/>
        <v>0</v>
      </c>
      <c r="HF51" s="270">
        <f t="shared" si="120"/>
        <v>1</v>
      </c>
      <c r="HG51" s="427">
        <f t="shared" si="121"/>
        <v>0</v>
      </c>
      <c r="HH51" s="421">
        <f t="shared" si="122"/>
        <v>0</v>
      </c>
      <c r="HI51" s="270">
        <f t="shared" si="123"/>
        <v>1</v>
      </c>
      <c r="HJ51" s="427">
        <f t="shared" si="124"/>
        <v>0</v>
      </c>
      <c r="HK51" s="421">
        <f t="shared" si="125"/>
        <v>0</v>
      </c>
      <c r="HL51" s="270">
        <f t="shared" si="125"/>
        <v>1</v>
      </c>
      <c r="HM51" s="427">
        <f t="shared" si="126"/>
        <v>0</v>
      </c>
      <c r="HN51" s="421">
        <f t="shared" si="127"/>
        <v>0</v>
      </c>
      <c r="HO51" s="270">
        <f t="shared" si="127"/>
        <v>1</v>
      </c>
      <c r="HP51" s="427">
        <f t="shared" si="128"/>
        <v>0</v>
      </c>
      <c r="HQ51" s="421">
        <f t="shared" si="129"/>
        <v>0</v>
      </c>
      <c r="HR51" s="270">
        <f t="shared" si="129"/>
        <v>1</v>
      </c>
      <c r="HS51" s="427">
        <f t="shared" si="130"/>
        <v>0</v>
      </c>
      <c r="HT51" s="421">
        <f t="shared" si="131"/>
        <v>0</v>
      </c>
      <c r="HU51" s="270">
        <f t="shared" si="131"/>
        <v>1</v>
      </c>
      <c r="HV51" s="427">
        <f t="shared" si="132"/>
        <v>0</v>
      </c>
      <c r="HW51" s="421">
        <f t="shared" si="133"/>
        <v>0</v>
      </c>
      <c r="HX51" s="270">
        <f t="shared" si="133"/>
        <v>1</v>
      </c>
      <c r="HY51" s="427">
        <f t="shared" si="134"/>
        <v>0</v>
      </c>
      <c r="HZ51" s="421">
        <f t="shared" si="135"/>
        <v>0</v>
      </c>
      <c r="IA51" s="270">
        <f t="shared" si="135"/>
        <v>1</v>
      </c>
      <c r="IB51" s="427">
        <f t="shared" si="136"/>
        <v>0</v>
      </c>
      <c r="IC51" s="421">
        <f t="shared" si="137"/>
        <v>0</v>
      </c>
      <c r="ID51" s="270">
        <f t="shared" si="137"/>
        <v>1</v>
      </c>
      <c r="IE51" s="427">
        <f t="shared" si="138"/>
        <v>0</v>
      </c>
      <c r="IF51" s="421">
        <f t="shared" si="139"/>
        <v>0</v>
      </c>
      <c r="IG51" s="270">
        <f t="shared" si="139"/>
        <v>1</v>
      </c>
      <c r="IH51" s="427">
        <f t="shared" si="140"/>
        <v>0</v>
      </c>
      <c r="II51" s="421">
        <f t="shared" si="141"/>
        <v>0</v>
      </c>
      <c r="IJ51" s="270">
        <f t="shared" si="141"/>
        <v>1</v>
      </c>
      <c r="IK51" s="427">
        <f t="shared" si="142"/>
        <v>0</v>
      </c>
      <c r="IL51" s="421">
        <f t="shared" si="143"/>
        <v>0</v>
      </c>
      <c r="IM51" s="270">
        <f t="shared" si="143"/>
        <v>1</v>
      </c>
      <c r="IN51" s="427">
        <f t="shared" si="144"/>
        <v>0</v>
      </c>
      <c r="IS51" s="447">
        <f t="shared" si="554"/>
        <v>0</v>
      </c>
      <c r="IT51" s="447">
        <f t="shared" si="554"/>
        <v>0</v>
      </c>
      <c r="IU51" s="447">
        <f t="shared" si="554"/>
        <v>0</v>
      </c>
      <c r="IV51" s="447">
        <f t="shared" si="554"/>
        <v>0</v>
      </c>
      <c r="IW51" s="447">
        <f t="shared" si="554"/>
        <v>0</v>
      </c>
      <c r="IX51" s="447">
        <f t="shared" si="554"/>
        <v>0</v>
      </c>
      <c r="IY51" s="447">
        <f t="shared" si="554"/>
        <v>0</v>
      </c>
      <c r="IZ51" s="447">
        <f t="shared" si="554"/>
        <v>0</v>
      </c>
      <c r="JA51" s="447">
        <f t="shared" si="554"/>
        <v>0</v>
      </c>
      <c r="JB51" s="447">
        <f t="shared" si="554"/>
        <v>0</v>
      </c>
      <c r="JC51" s="447">
        <f t="shared" si="555"/>
        <v>0</v>
      </c>
      <c r="JD51" s="447">
        <f t="shared" si="555"/>
        <v>0</v>
      </c>
      <c r="JE51" s="447">
        <f t="shared" si="555"/>
        <v>0</v>
      </c>
      <c r="JF51" s="447">
        <f t="shared" si="555"/>
        <v>0</v>
      </c>
      <c r="JG51" s="447">
        <f t="shared" si="555"/>
        <v>0</v>
      </c>
      <c r="JH51" s="447">
        <f t="shared" si="555"/>
        <v>0</v>
      </c>
      <c r="JI51" s="447">
        <f t="shared" si="555"/>
        <v>0</v>
      </c>
      <c r="JJ51" s="447">
        <f t="shared" si="555"/>
        <v>0</v>
      </c>
      <c r="JK51" s="447">
        <f t="shared" si="555"/>
        <v>0</v>
      </c>
      <c r="JL51" s="447">
        <f t="shared" si="555"/>
        <v>0</v>
      </c>
      <c r="JU51" s="242">
        <f t="shared" si="198"/>
        <v>4000000</v>
      </c>
      <c r="JV51" s="242">
        <f t="shared" si="199"/>
        <v>4000000</v>
      </c>
      <c r="JW51" s="242">
        <f t="shared" si="216"/>
        <v>1</v>
      </c>
      <c r="JX51" s="242">
        <f t="shared" si="200"/>
        <v>5000000</v>
      </c>
      <c r="JY51" s="241">
        <f t="shared" si="217"/>
        <v>0</v>
      </c>
      <c r="JZ51" s="241">
        <f t="shared" si="218"/>
        <v>4000000</v>
      </c>
      <c r="KA51" s="241" t="str">
        <f t="shared" si="219"/>
        <v>期望符合预期</v>
      </c>
      <c r="KC51" s="242">
        <f t="shared" si="201"/>
        <v>8000000</v>
      </c>
      <c r="KD51" s="242">
        <f t="shared" si="202"/>
        <v>5000000</v>
      </c>
      <c r="KE51" s="242">
        <f t="shared" si="220"/>
        <v>0.4</v>
      </c>
      <c r="KF51" s="242">
        <f t="shared" si="203"/>
        <v>10000000</v>
      </c>
      <c r="KG51" s="241">
        <f t="shared" si="221"/>
        <v>0.6</v>
      </c>
      <c r="KH51" s="241">
        <f t="shared" si="222"/>
        <v>8000000</v>
      </c>
      <c r="KI51" s="241" t="str">
        <f t="shared" si="223"/>
        <v>期望符合预期</v>
      </c>
      <c r="KK51" s="242">
        <f t="shared" si="204"/>
        <v>12000000</v>
      </c>
      <c r="KL51" s="242">
        <f t="shared" si="205"/>
        <v>10000000</v>
      </c>
      <c r="KM51" s="242">
        <f t="shared" si="224"/>
        <v>0.6</v>
      </c>
      <c r="KN51" s="242">
        <f t="shared" si="206"/>
        <v>15000000</v>
      </c>
      <c r="KO51" s="241">
        <f t="shared" si="225"/>
        <v>0.4</v>
      </c>
      <c r="KP51" s="241">
        <f t="shared" si="226"/>
        <v>12000000</v>
      </c>
      <c r="KQ51" s="241" t="str">
        <f t="shared" si="227"/>
        <v>期望符合预期</v>
      </c>
      <c r="KS51" s="242">
        <f t="shared" si="207"/>
        <v>16000000</v>
      </c>
      <c r="KT51" s="242">
        <f t="shared" si="208"/>
        <v>15000000</v>
      </c>
      <c r="KU51" s="242">
        <f t="shared" si="228"/>
        <v>0.8</v>
      </c>
      <c r="KV51" s="242">
        <f t="shared" si="209"/>
        <v>20000000</v>
      </c>
      <c r="KW51" s="241">
        <f t="shared" si="229"/>
        <v>0.2</v>
      </c>
      <c r="KX51" s="241">
        <f t="shared" si="230"/>
        <v>16000000</v>
      </c>
      <c r="KY51" s="241" t="str">
        <f t="shared" si="231"/>
        <v>期望符合预期</v>
      </c>
      <c r="LA51" s="242">
        <f t="shared" si="210"/>
        <v>20000000</v>
      </c>
      <c r="LB51" s="242">
        <f t="shared" si="211"/>
        <v>20000000</v>
      </c>
      <c r="LC51" s="242">
        <f t="shared" si="232"/>
        <v>1</v>
      </c>
      <c r="LD51" s="242">
        <f t="shared" si="212"/>
        <v>30000000</v>
      </c>
      <c r="LE51" s="241">
        <f t="shared" si="233"/>
        <v>0</v>
      </c>
      <c r="LF51" s="241">
        <f t="shared" si="234"/>
        <v>20000000</v>
      </c>
      <c r="LG51" s="241" t="str">
        <f t="shared" si="235"/>
        <v>期望符合预期</v>
      </c>
    </row>
    <row r="52" spans="1:319" s="242" customFormat="1" x14ac:dyDescent="0.35">
      <c r="A52" s="63">
        <v>46</v>
      </c>
      <c r="B52" s="254" t="s">
        <v>1790</v>
      </c>
      <c r="C52" s="259">
        <v>5</v>
      </c>
      <c r="D52" s="63">
        <v>10</v>
      </c>
      <c r="E52" s="73">
        <v>300</v>
      </c>
      <c r="F52" s="63" t="s">
        <v>1762</v>
      </c>
      <c r="G52" s="63">
        <f t="shared" si="167"/>
        <v>300</v>
      </c>
      <c r="H52" s="63"/>
      <c r="I52" s="265"/>
      <c r="J52" s="63">
        <f t="shared" si="551"/>
        <v>0</v>
      </c>
      <c r="K52" s="63">
        <f t="shared" si="552"/>
        <v>0</v>
      </c>
      <c r="L52" s="63">
        <v>0</v>
      </c>
      <c r="M52" s="63">
        <f>ROUND($BX$7/('全局参数|GlobalPar'!$B$19/10000/BS52),6)*0</f>
        <v>0</v>
      </c>
      <c r="N52" s="267">
        <v>0</v>
      </c>
      <c r="O52" s="268">
        <f>ROUND(IF(N52&lt;&gt;0,$BX$4/('全局参数|GlobalPar'!$B$19/10000/E52)/N52,0),6)</f>
        <v>0</v>
      </c>
      <c r="P52" s="270">
        <f t="shared" si="386"/>
        <v>0</v>
      </c>
      <c r="Q52" s="285">
        <f t="shared" si="535"/>
        <v>0</v>
      </c>
      <c r="R52" s="282">
        <v>12</v>
      </c>
      <c r="S52" s="283">
        <v>1</v>
      </c>
      <c r="T52" s="284" t="str">
        <f t="shared" si="21"/>
        <v>[[0,1],[0,1],[0,1],[0,1],[0,1],[0,1],[0,1],[0,1],[0,1],[0,1],[0,2],[0,4],[0,6],[0,8],[0,10],[0,20],[0,40],[0,60],[0,80],[0,100]]</v>
      </c>
      <c r="U52" s="284">
        <v>1</v>
      </c>
      <c r="V52" s="284">
        <v>1</v>
      </c>
      <c r="W52" s="284" t="str">
        <f t="shared" si="168"/>
        <v>[[0,1],[0,1],[0,1],[0,1],[0,1],[0,1],[0,1],[0,1],[0,1],[0,1],[0,1],[0,1],[0,1],[0,1],[0,1],[0,1],[0,1],[0,1],[0,1],[0,1]]</v>
      </c>
      <c r="X52" s="63">
        <v>0</v>
      </c>
      <c r="Y52" s="268">
        <v>0</v>
      </c>
      <c r="Z52" s="311">
        <f t="shared" si="541"/>
        <v>0</v>
      </c>
      <c r="AA52" s="312">
        <v>0</v>
      </c>
      <c r="AB52" s="313">
        <v>0</v>
      </c>
      <c r="AC52" s="304">
        <v>0</v>
      </c>
      <c r="AD52" s="303">
        <v>0</v>
      </c>
      <c r="AE52" s="303">
        <v>0</v>
      </c>
      <c r="AF52" s="303">
        <v>0</v>
      </c>
      <c r="AG52" s="63" t="str">
        <f t="shared" si="170"/>
        <v>[[6,5],[8,2],[10,2]]</v>
      </c>
      <c r="AH52" s="256" t="str">
        <f t="shared" si="171"/>
        <v>[0.545455,0.272727,0.181818]</v>
      </c>
      <c r="AI52" s="256">
        <v>0</v>
      </c>
      <c r="AJ52" s="256">
        <v>1</v>
      </c>
      <c r="AK52" s="256">
        <f t="shared" si="243"/>
        <v>1</v>
      </c>
      <c r="AL52" s="256">
        <v>1</v>
      </c>
      <c r="AM52" s="256">
        <f t="shared" si="172"/>
        <v>90</v>
      </c>
      <c r="AN52" s="256" t="s">
        <v>2551</v>
      </c>
      <c r="AO52" s="324">
        <v>11</v>
      </c>
      <c r="AP52" s="73">
        <v>1</v>
      </c>
      <c r="AQ52" s="63">
        <v>1</v>
      </c>
      <c r="AR52" s="39">
        <v>2</v>
      </c>
      <c r="AS52" s="63">
        <v>4</v>
      </c>
      <c r="AT52" s="39">
        <v>0</v>
      </c>
      <c r="AU52" s="63">
        <v>1</v>
      </c>
      <c r="AV52" s="63">
        <v>1</v>
      </c>
      <c r="AW52" s="63">
        <v>1</v>
      </c>
      <c r="AX52" s="63">
        <v>1</v>
      </c>
      <c r="AY52" s="63" t="s">
        <v>1736</v>
      </c>
      <c r="AZ52" s="39"/>
      <c r="BA52" s="39"/>
      <c r="BB52" s="328">
        <v>1</v>
      </c>
      <c r="BC52" s="39">
        <v>300</v>
      </c>
      <c r="BD52" s="39">
        <v>0.18</v>
      </c>
      <c r="BE52" s="39">
        <v>0.8</v>
      </c>
      <c r="BF52" s="39">
        <v>1</v>
      </c>
      <c r="BG52" s="39" t="s">
        <v>1786</v>
      </c>
      <c r="BH52" s="331" t="s">
        <v>1791</v>
      </c>
      <c r="BI52" s="331" t="s">
        <v>1791</v>
      </c>
      <c r="BJ52" s="265" t="s">
        <v>425</v>
      </c>
      <c r="BK52" s="265" t="s">
        <v>425</v>
      </c>
      <c r="BL52" s="265"/>
      <c r="BM52" s="265"/>
      <c r="BN52" s="81">
        <f t="shared" si="387"/>
        <v>30</v>
      </c>
      <c r="BO52" s="343">
        <f t="shared" si="542"/>
        <v>5</v>
      </c>
      <c r="BP52" s="81" t="s">
        <v>1606</v>
      </c>
      <c r="BQ52" s="81">
        <f t="shared" si="388"/>
        <v>1</v>
      </c>
      <c r="BR52" s="81"/>
      <c r="BS52" s="63">
        <f t="shared" si="543"/>
        <v>300</v>
      </c>
      <c r="BT52" s="63">
        <f t="shared" si="557"/>
        <v>300</v>
      </c>
      <c r="BV52" s="63">
        <f t="shared" si="544"/>
        <v>0</v>
      </c>
      <c r="CG52" s="371">
        <f t="shared" si="545"/>
        <v>330</v>
      </c>
      <c r="CH52" s="372">
        <f t="shared" si="214"/>
        <v>0.1</v>
      </c>
      <c r="CI52" s="373">
        <v>6</v>
      </c>
      <c r="CJ52" s="143">
        <v>5</v>
      </c>
      <c r="CK52" s="373">
        <v>8</v>
      </c>
      <c r="CL52" s="143">
        <v>2</v>
      </c>
      <c r="CM52" s="373">
        <v>10</v>
      </c>
      <c r="CN52" s="143">
        <v>2</v>
      </c>
      <c r="CO52" s="143">
        <f t="shared" si="174"/>
        <v>7.333333333333333</v>
      </c>
      <c r="CP52" s="143">
        <f t="shared" si="550"/>
        <v>7.5</v>
      </c>
      <c r="CQ52" s="377">
        <f t="shared" si="176"/>
        <v>0.54545500000000002</v>
      </c>
      <c r="CR52" s="143">
        <f t="shared" si="550"/>
        <v>15</v>
      </c>
      <c r="CS52" s="378">
        <f t="shared" si="177"/>
        <v>0.272727</v>
      </c>
      <c r="CT52" s="143">
        <f t="shared" si="550"/>
        <v>22.5</v>
      </c>
      <c r="CU52" s="392">
        <f t="shared" si="178"/>
        <v>0.18181800000000001</v>
      </c>
      <c r="CW52" s="242">
        <v>0</v>
      </c>
      <c r="CX52" s="396">
        <f t="shared" si="215"/>
        <v>0</v>
      </c>
      <c r="CY52" s="270">
        <f t="shared" si="546"/>
        <v>0</v>
      </c>
      <c r="CZ52" s="394">
        <f t="shared" si="547"/>
        <v>0</v>
      </c>
      <c r="DA52" s="394">
        <f t="shared" si="35"/>
        <v>0</v>
      </c>
      <c r="DB52" s="395">
        <f t="shared" si="179"/>
        <v>0</v>
      </c>
      <c r="DC52" s="419">
        <f t="shared" si="548"/>
        <v>0</v>
      </c>
      <c r="DD52" s="394">
        <f t="shared" si="37"/>
        <v>0</v>
      </c>
      <c r="DE52" s="420" t="e">
        <f t="shared" si="549"/>
        <v>#DIV/0!</v>
      </c>
      <c r="DF52" s="421">
        <f t="shared" si="180"/>
        <v>12</v>
      </c>
      <c r="DG52" s="422">
        <f t="shared" si="181"/>
        <v>1</v>
      </c>
      <c r="DH52" s="284"/>
      <c r="DI52" s="282">
        <v>12</v>
      </c>
      <c r="DJ52" s="283">
        <v>1</v>
      </c>
      <c r="DL52" s="430"/>
      <c r="DQ52" s="427"/>
      <c r="DR52" s="421">
        <v>0</v>
      </c>
      <c r="DS52" s="270">
        <v>1</v>
      </c>
      <c r="DT52" s="427">
        <f t="shared" si="39"/>
        <v>0</v>
      </c>
      <c r="DU52" s="421">
        <f t="shared" si="40"/>
        <v>0</v>
      </c>
      <c r="DV52" s="270">
        <f t="shared" si="182"/>
        <v>1</v>
      </c>
      <c r="DW52" s="427">
        <f t="shared" si="42"/>
        <v>0</v>
      </c>
      <c r="DX52" s="421">
        <f t="shared" si="43"/>
        <v>0</v>
      </c>
      <c r="DY52" s="270">
        <f t="shared" si="183"/>
        <v>1</v>
      </c>
      <c r="DZ52" s="427">
        <f t="shared" si="45"/>
        <v>0</v>
      </c>
      <c r="EA52" s="421">
        <f t="shared" si="184"/>
        <v>0</v>
      </c>
      <c r="EB52" s="270">
        <f t="shared" si="185"/>
        <v>1</v>
      </c>
      <c r="EC52" s="427">
        <f t="shared" si="48"/>
        <v>0</v>
      </c>
      <c r="ED52" s="421">
        <f t="shared" si="186"/>
        <v>0</v>
      </c>
      <c r="EE52" s="270">
        <f t="shared" si="187"/>
        <v>1</v>
      </c>
      <c r="EF52" s="427">
        <f t="shared" si="51"/>
        <v>0</v>
      </c>
      <c r="EG52" s="421">
        <f t="shared" si="188"/>
        <v>0</v>
      </c>
      <c r="EH52" s="270">
        <f t="shared" si="189"/>
        <v>1</v>
      </c>
      <c r="EI52" s="427">
        <f t="shared" si="54"/>
        <v>0</v>
      </c>
      <c r="EJ52" s="421">
        <f t="shared" si="190"/>
        <v>0</v>
      </c>
      <c r="EK52" s="270">
        <f t="shared" si="191"/>
        <v>1</v>
      </c>
      <c r="EL52" s="427">
        <f t="shared" si="57"/>
        <v>0</v>
      </c>
      <c r="EM52" s="421">
        <f t="shared" si="192"/>
        <v>0</v>
      </c>
      <c r="EN52" s="270">
        <f t="shared" si="193"/>
        <v>1</v>
      </c>
      <c r="EO52" s="427">
        <f t="shared" si="60"/>
        <v>0</v>
      </c>
      <c r="EP52" s="421">
        <f t="shared" si="194"/>
        <v>0</v>
      </c>
      <c r="EQ52" s="270">
        <f t="shared" si="195"/>
        <v>1</v>
      </c>
      <c r="ER52" s="427">
        <f t="shared" si="63"/>
        <v>0</v>
      </c>
      <c r="ES52" s="421">
        <f t="shared" si="196"/>
        <v>0</v>
      </c>
      <c r="ET52" s="270">
        <f t="shared" si="197"/>
        <v>1</v>
      </c>
      <c r="EU52" s="427">
        <f t="shared" si="66"/>
        <v>0</v>
      </c>
      <c r="EV52" s="421">
        <f t="shared" si="558"/>
        <v>0</v>
      </c>
      <c r="EW52" s="270">
        <f t="shared" si="68"/>
        <v>2</v>
      </c>
      <c r="EX52" s="427">
        <f t="shared" si="69"/>
        <v>0</v>
      </c>
      <c r="EY52" s="421">
        <f t="shared" si="558"/>
        <v>0</v>
      </c>
      <c r="EZ52" s="270">
        <f t="shared" si="71"/>
        <v>4</v>
      </c>
      <c r="FA52" s="427">
        <f t="shared" si="72"/>
        <v>0</v>
      </c>
      <c r="FB52" s="421">
        <f t="shared" si="558"/>
        <v>0</v>
      </c>
      <c r="FC52" s="270">
        <f t="shared" si="74"/>
        <v>6</v>
      </c>
      <c r="FD52" s="427">
        <f t="shared" si="75"/>
        <v>0</v>
      </c>
      <c r="FE52" s="421">
        <f t="shared" si="558"/>
        <v>0</v>
      </c>
      <c r="FF52" s="270">
        <f t="shared" si="77"/>
        <v>8</v>
      </c>
      <c r="FG52" s="427">
        <f t="shared" si="78"/>
        <v>0</v>
      </c>
      <c r="FH52" s="421">
        <f t="shared" si="558"/>
        <v>0</v>
      </c>
      <c r="FI52" s="270">
        <f t="shared" si="80"/>
        <v>10</v>
      </c>
      <c r="FJ52" s="427">
        <f t="shared" si="81"/>
        <v>0</v>
      </c>
      <c r="FK52" s="421">
        <f t="shared" si="558"/>
        <v>0</v>
      </c>
      <c r="FL52" s="270">
        <f t="shared" si="83"/>
        <v>20</v>
      </c>
      <c r="FM52" s="427">
        <f t="shared" si="84"/>
        <v>0</v>
      </c>
      <c r="FN52" s="421">
        <f t="shared" si="558"/>
        <v>0</v>
      </c>
      <c r="FO52" s="270">
        <f t="shared" si="86"/>
        <v>40</v>
      </c>
      <c r="FP52" s="427">
        <f t="shared" si="87"/>
        <v>0</v>
      </c>
      <c r="FQ52" s="421">
        <f t="shared" si="558"/>
        <v>0</v>
      </c>
      <c r="FR52" s="270">
        <f t="shared" si="89"/>
        <v>60</v>
      </c>
      <c r="FS52" s="427">
        <f t="shared" si="90"/>
        <v>0</v>
      </c>
      <c r="FT52" s="421">
        <f t="shared" si="558"/>
        <v>0</v>
      </c>
      <c r="FU52" s="270">
        <f t="shared" si="92"/>
        <v>80</v>
      </c>
      <c r="FV52" s="427">
        <f t="shared" si="93"/>
        <v>0</v>
      </c>
      <c r="FW52" s="421">
        <f t="shared" si="558"/>
        <v>0</v>
      </c>
      <c r="FX52" s="270">
        <f t="shared" si="95"/>
        <v>100</v>
      </c>
      <c r="FY52" s="427">
        <f t="shared" si="96"/>
        <v>0</v>
      </c>
      <c r="GA52" s="430"/>
      <c r="GF52" s="427"/>
      <c r="GG52" s="421">
        <v>0</v>
      </c>
      <c r="GH52" s="270">
        <v>1</v>
      </c>
      <c r="GI52" s="427">
        <f t="shared" si="97"/>
        <v>0</v>
      </c>
      <c r="GJ52" s="421">
        <f t="shared" si="98"/>
        <v>0</v>
      </c>
      <c r="GK52" s="270">
        <f t="shared" si="99"/>
        <v>1</v>
      </c>
      <c r="GL52" s="427">
        <f t="shared" si="100"/>
        <v>0</v>
      </c>
      <c r="GM52" s="421">
        <f t="shared" si="101"/>
        <v>0</v>
      </c>
      <c r="GN52" s="270">
        <f t="shared" si="102"/>
        <v>1</v>
      </c>
      <c r="GO52" s="427">
        <f t="shared" si="103"/>
        <v>0</v>
      </c>
      <c r="GP52" s="421">
        <f t="shared" si="104"/>
        <v>0</v>
      </c>
      <c r="GQ52" s="270">
        <f t="shared" si="105"/>
        <v>1</v>
      </c>
      <c r="GR52" s="427">
        <f t="shared" si="106"/>
        <v>0</v>
      </c>
      <c r="GS52" s="421">
        <f t="shared" si="107"/>
        <v>0</v>
      </c>
      <c r="GT52" s="270">
        <f t="shared" si="108"/>
        <v>1</v>
      </c>
      <c r="GU52" s="427">
        <f t="shared" si="109"/>
        <v>0</v>
      </c>
      <c r="GV52" s="421">
        <f t="shared" si="110"/>
        <v>0</v>
      </c>
      <c r="GW52" s="270">
        <f t="shared" si="111"/>
        <v>1</v>
      </c>
      <c r="GX52" s="427">
        <f t="shared" si="112"/>
        <v>0</v>
      </c>
      <c r="GY52" s="421">
        <f t="shared" si="113"/>
        <v>0</v>
      </c>
      <c r="GZ52" s="270">
        <f t="shared" si="114"/>
        <v>1</v>
      </c>
      <c r="HA52" s="427">
        <f t="shared" si="115"/>
        <v>0</v>
      </c>
      <c r="HB52" s="421">
        <f t="shared" si="116"/>
        <v>0</v>
      </c>
      <c r="HC52" s="270">
        <f t="shared" si="117"/>
        <v>1</v>
      </c>
      <c r="HD52" s="427">
        <f t="shared" si="118"/>
        <v>0</v>
      </c>
      <c r="HE52" s="421">
        <f t="shared" si="119"/>
        <v>0</v>
      </c>
      <c r="HF52" s="270">
        <f t="shared" si="120"/>
        <v>1</v>
      </c>
      <c r="HG52" s="427">
        <f t="shared" si="121"/>
        <v>0</v>
      </c>
      <c r="HH52" s="421">
        <f t="shared" si="122"/>
        <v>0</v>
      </c>
      <c r="HI52" s="270">
        <f t="shared" si="123"/>
        <v>1</v>
      </c>
      <c r="HJ52" s="427">
        <f t="shared" si="124"/>
        <v>0</v>
      </c>
      <c r="HK52" s="421">
        <f t="shared" si="125"/>
        <v>0</v>
      </c>
      <c r="HL52" s="270">
        <f t="shared" si="125"/>
        <v>1</v>
      </c>
      <c r="HM52" s="427">
        <f t="shared" si="126"/>
        <v>0</v>
      </c>
      <c r="HN52" s="421">
        <f t="shared" si="127"/>
        <v>0</v>
      </c>
      <c r="HO52" s="270">
        <f t="shared" si="127"/>
        <v>1</v>
      </c>
      <c r="HP52" s="427">
        <f t="shared" si="128"/>
        <v>0</v>
      </c>
      <c r="HQ52" s="421">
        <f t="shared" si="129"/>
        <v>0</v>
      </c>
      <c r="HR52" s="270">
        <f t="shared" si="129"/>
        <v>1</v>
      </c>
      <c r="HS52" s="427">
        <f t="shared" si="130"/>
        <v>0</v>
      </c>
      <c r="HT52" s="421">
        <f t="shared" si="131"/>
        <v>0</v>
      </c>
      <c r="HU52" s="270">
        <f t="shared" si="131"/>
        <v>1</v>
      </c>
      <c r="HV52" s="427">
        <f t="shared" si="132"/>
        <v>0</v>
      </c>
      <c r="HW52" s="421">
        <f t="shared" si="133"/>
        <v>0</v>
      </c>
      <c r="HX52" s="270">
        <f t="shared" si="133"/>
        <v>1</v>
      </c>
      <c r="HY52" s="427">
        <f t="shared" si="134"/>
        <v>0</v>
      </c>
      <c r="HZ52" s="421">
        <f t="shared" si="135"/>
        <v>0</v>
      </c>
      <c r="IA52" s="270">
        <f t="shared" si="135"/>
        <v>1</v>
      </c>
      <c r="IB52" s="427">
        <f t="shared" si="136"/>
        <v>0</v>
      </c>
      <c r="IC52" s="421">
        <f t="shared" si="137"/>
        <v>0</v>
      </c>
      <c r="ID52" s="270">
        <f t="shared" si="137"/>
        <v>1</v>
      </c>
      <c r="IE52" s="427">
        <f t="shared" si="138"/>
        <v>0</v>
      </c>
      <c r="IF52" s="421">
        <f t="shared" si="139"/>
        <v>0</v>
      </c>
      <c r="IG52" s="270">
        <f t="shared" si="139"/>
        <v>1</v>
      </c>
      <c r="IH52" s="427">
        <f t="shared" si="140"/>
        <v>0</v>
      </c>
      <c r="II52" s="421">
        <f t="shared" si="141"/>
        <v>0</v>
      </c>
      <c r="IJ52" s="270">
        <f t="shared" si="141"/>
        <v>1</v>
      </c>
      <c r="IK52" s="427">
        <f t="shared" si="142"/>
        <v>0</v>
      </c>
      <c r="IL52" s="421">
        <f t="shared" si="143"/>
        <v>0</v>
      </c>
      <c r="IM52" s="270">
        <f t="shared" si="143"/>
        <v>1</v>
      </c>
      <c r="IN52" s="427">
        <f t="shared" si="144"/>
        <v>0</v>
      </c>
      <c r="IS52" s="447">
        <f t="shared" si="554"/>
        <v>0</v>
      </c>
      <c r="IT52" s="447">
        <f t="shared" si="554"/>
        <v>0</v>
      </c>
      <c r="IU52" s="447">
        <f t="shared" si="554"/>
        <v>0</v>
      </c>
      <c r="IV52" s="447">
        <f t="shared" si="554"/>
        <v>0</v>
      </c>
      <c r="IW52" s="447">
        <f t="shared" si="554"/>
        <v>0</v>
      </c>
      <c r="IX52" s="447">
        <f t="shared" si="554"/>
        <v>0</v>
      </c>
      <c r="IY52" s="447">
        <f t="shared" si="554"/>
        <v>0</v>
      </c>
      <c r="IZ52" s="447">
        <f t="shared" si="554"/>
        <v>0</v>
      </c>
      <c r="JA52" s="447">
        <f t="shared" si="554"/>
        <v>0</v>
      </c>
      <c r="JB52" s="447">
        <f t="shared" si="554"/>
        <v>0</v>
      </c>
      <c r="JC52" s="447">
        <f t="shared" si="555"/>
        <v>0</v>
      </c>
      <c r="JD52" s="447">
        <f t="shared" si="555"/>
        <v>0</v>
      </c>
      <c r="JE52" s="447">
        <f t="shared" si="555"/>
        <v>0</v>
      </c>
      <c r="JF52" s="447">
        <f t="shared" si="555"/>
        <v>0</v>
      </c>
      <c r="JG52" s="447">
        <f t="shared" si="555"/>
        <v>0</v>
      </c>
      <c r="JH52" s="447">
        <f t="shared" si="555"/>
        <v>0</v>
      </c>
      <c r="JI52" s="447">
        <f t="shared" si="555"/>
        <v>0</v>
      </c>
      <c r="JJ52" s="447">
        <f t="shared" si="555"/>
        <v>0</v>
      </c>
      <c r="JK52" s="447">
        <f t="shared" si="555"/>
        <v>0</v>
      </c>
      <c r="JL52" s="447">
        <f t="shared" si="555"/>
        <v>0</v>
      </c>
      <c r="JU52" s="242">
        <f t="shared" si="198"/>
        <v>6000000</v>
      </c>
      <c r="JV52" s="242">
        <f t="shared" si="199"/>
        <v>5000000</v>
      </c>
      <c r="JW52" s="242">
        <f t="shared" si="216"/>
        <v>0.8</v>
      </c>
      <c r="JX52" s="242">
        <f t="shared" si="200"/>
        <v>10000000</v>
      </c>
      <c r="JY52" s="241">
        <f t="shared" si="217"/>
        <v>0.2</v>
      </c>
      <c r="JZ52" s="241">
        <f t="shared" si="218"/>
        <v>6000000</v>
      </c>
      <c r="KA52" s="241" t="str">
        <f t="shared" si="219"/>
        <v>期望符合预期</v>
      </c>
      <c r="KC52" s="242">
        <f t="shared" si="201"/>
        <v>12000000</v>
      </c>
      <c r="KD52" s="242">
        <f t="shared" si="202"/>
        <v>10000000</v>
      </c>
      <c r="KE52" s="242">
        <f t="shared" si="220"/>
        <v>0.6</v>
      </c>
      <c r="KF52" s="242">
        <f t="shared" si="203"/>
        <v>15000000</v>
      </c>
      <c r="KG52" s="241">
        <f t="shared" si="221"/>
        <v>0.4</v>
      </c>
      <c r="KH52" s="241">
        <f t="shared" si="222"/>
        <v>12000000</v>
      </c>
      <c r="KI52" s="241" t="str">
        <f t="shared" si="223"/>
        <v>期望符合预期</v>
      </c>
      <c r="KK52" s="242">
        <f t="shared" si="204"/>
        <v>18000000</v>
      </c>
      <c r="KL52" s="242">
        <f t="shared" si="205"/>
        <v>15000000</v>
      </c>
      <c r="KM52" s="242">
        <f t="shared" si="224"/>
        <v>0.4</v>
      </c>
      <c r="KN52" s="242">
        <f t="shared" si="206"/>
        <v>20000000</v>
      </c>
      <c r="KO52" s="241">
        <f t="shared" si="225"/>
        <v>0.6</v>
      </c>
      <c r="KP52" s="241">
        <f t="shared" si="226"/>
        <v>18000000</v>
      </c>
      <c r="KQ52" s="241" t="str">
        <f t="shared" si="227"/>
        <v>期望符合预期</v>
      </c>
      <c r="KS52" s="242">
        <f t="shared" si="207"/>
        <v>24000000</v>
      </c>
      <c r="KT52" s="242">
        <f t="shared" si="208"/>
        <v>20000000</v>
      </c>
      <c r="KU52" s="242">
        <f t="shared" si="228"/>
        <v>0.6</v>
      </c>
      <c r="KV52" s="242">
        <f t="shared" si="209"/>
        <v>30000000</v>
      </c>
      <c r="KW52" s="241">
        <f t="shared" si="229"/>
        <v>0.4</v>
      </c>
      <c r="KX52" s="241">
        <f t="shared" si="230"/>
        <v>24000000</v>
      </c>
      <c r="KY52" s="241" t="str">
        <f t="shared" si="231"/>
        <v>期望符合预期</v>
      </c>
      <c r="LA52" s="242">
        <f t="shared" si="210"/>
        <v>30000000</v>
      </c>
      <c r="LB52" s="242">
        <f t="shared" si="211"/>
        <v>30000000</v>
      </c>
      <c r="LC52" s="242">
        <f t="shared" si="232"/>
        <v>1</v>
      </c>
      <c r="LD52" s="242">
        <f t="shared" si="212"/>
        <v>40000000</v>
      </c>
      <c r="LE52" s="241">
        <f t="shared" si="233"/>
        <v>0</v>
      </c>
      <c r="LF52" s="241">
        <f t="shared" si="234"/>
        <v>30000000</v>
      </c>
      <c r="LG52" s="241" t="str">
        <f t="shared" si="235"/>
        <v>期望符合预期</v>
      </c>
    </row>
    <row r="53" spans="1:319" s="242" customFormat="1" x14ac:dyDescent="0.35">
      <c r="A53" s="63">
        <v>47</v>
      </c>
      <c r="B53" s="254" t="s">
        <v>1792</v>
      </c>
      <c r="C53" s="259">
        <v>5</v>
      </c>
      <c r="D53" s="63">
        <v>1</v>
      </c>
      <c r="E53" s="63">
        <v>300</v>
      </c>
      <c r="F53" s="63">
        <v>300</v>
      </c>
      <c r="G53" s="63">
        <f t="shared" si="167"/>
        <v>300</v>
      </c>
      <c r="H53" s="63"/>
      <c r="I53" s="265"/>
      <c r="J53" s="63">
        <f t="shared" si="551"/>
        <v>0</v>
      </c>
      <c r="K53" s="63">
        <f t="shared" si="552"/>
        <v>0</v>
      </c>
      <c r="L53" s="63">
        <v>0</v>
      </c>
      <c r="M53" s="63">
        <f>ROUND($BX$7/('全局参数|GlobalPar'!$B$19/10000/BS53),6)*0</f>
        <v>0</v>
      </c>
      <c r="N53" s="267">
        <v>0</v>
      </c>
      <c r="O53" s="268">
        <f>ROUND(IF(N53&lt;&gt;0,$BX$4/('全局参数|GlobalPar'!$B$19/10000/E53)/N53,0),6)</f>
        <v>0</v>
      </c>
      <c r="P53" s="270">
        <f t="shared" si="386"/>
        <v>1</v>
      </c>
      <c r="Q53" s="285">
        <f t="shared" si="535"/>
        <v>0</v>
      </c>
      <c r="R53" s="282">
        <v>12</v>
      </c>
      <c r="S53" s="283">
        <v>1</v>
      </c>
      <c r="T53" s="284" t="str">
        <f t="shared" si="21"/>
        <v>[[0,1],[0,1],[0,1],[0,1],[0,1],[0,1],[0,1],[0,1],[0,1],[0,1],[0,2],[0,4],[0,6],[0,8],[0,10],[0,20],[0,40],[0,60],[0,80],[0,100]]</v>
      </c>
      <c r="U53" s="284">
        <v>1</v>
      </c>
      <c r="V53" s="284">
        <v>1</v>
      </c>
      <c r="W53" s="284" t="str">
        <f t="shared" si="168"/>
        <v>[[0,1],[0,1],[0,1],[0,1],[0,1],[0,1],[0,1],[0,1],[0,1],[0,1],[0,1],[0,1],[0,1],[0,1],[0,1],[0,1],[0,1],[0,1],[0,1],[0,1]]</v>
      </c>
      <c r="X53" s="63">
        <v>0</v>
      </c>
      <c r="Y53" s="268">
        <v>0</v>
      </c>
      <c r="Z53" s="311">
        <f t="shared" si="541"/>
        <v>0</v>
      </c>
      <c r="AA53" s="314">
        <v>0</v>
      </c>
      <c r="AB53" s="313">
        <f t="shared" si="169"/>
        <v>0</v>
      </c>
      <c r="AC53" s="304">
        <v>0</v>
      </c>
      <c r="AD53" s="303">
        <v>0</v>
      </c>
      <c r="AE53" s="303">
        <v>0</v>
      </c>
      <c r="AF53" s="303">
        <v>0</v>
      </c>
      <c r="AG53" s="63" t="str">
        <f t="shared" si="170"/>
        <v>[[6,5],[8,2],[10,2]]</v>
      </c>
      <c r="AH53" s="256" t="str">
        <f t="shared" si="171"/>
        <v>[0,0,0]</v>
      </c>
      <c r="AI53" s="256">
        <v>0</v>
      </c>
      <c r="AJ53" s="256">
        <v>1</v>
      </c>
      <c r="AK53" s="256">
        <f t="shared" si="243"/>
        <v>1</v>
      </c>
      <c r="AL53" s="256">
        <v>1</v>
      </c>
      <c r="AM53" s="256">
        <f t="shared" si="172"/>
        <v>90</v>
      </c>
      <c r="AN53" s="256" t="s">
        <v>2550</v>
      </c>
      <c r="AO53" s="324">
        <v>11</v>
      </c>
      <c r="AP53" s="63">
        <f>IF(C53=4,1,IF(OR(C53=5,C53=6),2,-1))</f>
        <v>2</v>
      </c>
      <c r="AQ53" s="63">
        <v>0</v>
      </c>
      <c r="AR53" s="39">
        <v>2</v>
      </c>
      <c r="AS53" s="63">
        <v>4</v>
      </c>
      <c r="AT53" s="39">
        <v>0</v>
      </c>
      <c r="AU53" s="63">
        <v>1</v>
      </c>
      <c r="AV53" s="63">
        <f t="shared" si="536"/>
        <v>1.4925373134328357</v>
      </c>
      <c r="AW53" s="63">
        <v>1</v>
      </c>
      <c r="AX53" s="63">
        <v>1</v>
      </c>
      <c r="AY53" s="63" t="s">
        <v>1159</v>
      </c>
      <c r="AZ53" s="39"/>
      <c r="BA53" s="39"/>
      <c r="BB53" s="328">
        <v>1</v>
      </c>
      <c r="BC53" s="39">
        <v>300</v>
      </c>
      <c r="BD53" s="39">
        <v>0.18</v>
      </c>
      <c r="BE53" s="39">
        <v>0.8</v>
      </c>
      <c r="BF53" s="39">
        <v>1</v>
      </c>
      <c r="BG53" s="39" t="s">
        <v>1786</v>
      </c>
      <c r="BH53" s="331" t="s">
        <v>1793</v>
      </c>
      <c r="BI53" s="331" t="s">
        <v>1794</v>
      </c>
      <c r="BJ53" s="265" t="s">
        <v>541</v>
      </c>
      <c r="BK53" s="265" t="s">
        <v>425</v>
      </c>
      <c r="BL53" s="265"/>
      <c r="BM53" s="265"/>
      <c r="BN53" s="81">
        <f t="shared" si="387"/>
        <v>30</v>
      </c>
      <c r="BO53" s="343">
        <f t="shared" si="542"/>
        <v>5</v>
      </c>
      <c r="BP53" s="81" t="s">
        <v>1606</v>
      </c>
      <c r="BQ53" s="81">
        <f t="shared" si="388"/>
        <v>0.746</v>
      </c>
      <c r="BR53" s="81"/>
      <c r="BS53" s="63">
        <f t="shared" si="543"/>
        <v>300</v>
      </c>
      <c r="BT53" s="73">
        <f>CA2*P53</f>
        <v>300</v>
      </c>
      <c r="BV53" s="63">
        <f t="shared" si="544"/>
        <v>0</v>
      </c>
      <c r="CG53" s="371">
        <f t="shared" si="545"/>
        <v>330</v>
      </c>
      <c r="CH53" s="372">
        <v>0</v>
      </c>
      <c r="CI53" s="373">
        <v>6</v>
      </c>
      <c r="CJ53" s="143">
        <v>5</v>
      </c>
      <c r="CK53" s="373">
        <v>8</v>
      </c>
      <c r="CL53" s="143">
        <v>2</v>
      </c>
      <c r="CM53" s="373">
        <v>10</v>
      </c>
      <c r="CN53" s="143">
        <v>2</v>
      </c>
      <c r="CO53" s="143">
        <f t="shared" si="174"/>
        <v>7.333333333333333</v>
      </c>
      <c r="CP53" s="143">
        <f t="shared" si="550"/>
        <v>7.5</v>
      </c>
      <c r="CQ53" s="377">
        <f t="shared" si="176"/>
        <v>0</v>
      </c>
      <c r="CR53" s="143">
        <f t="shared" si="550"/>
        <v>15</v>
      </c>
      <c r="CS53" s="378">
        <f t="shared" si="177"/>
        <v>0</v>
      </c>
      <c r="CT53" s="143">
        <f t="shared" si="550"/>
        <v>22.5</v>
      </c>
      <c r="CU53" s="392">
        <f t="shared" si="178"/>
        <v>0</v>
      </c>
      <c r="CW53" s="242">
        <v>0</v>
      </c>
      <c r="CX53" s="396">
        <f t="shared" si="215"/>
        <v>0</v>
      </c>
      <c r="CY53" s="270">
        <f t="shared" si="546"/>
        <v>0</v>
      </c>
      <c r="CZ53" s="394">
        <f t="shared" si="547"/>
        <v>0</v>
      </c>
      <c r="DA53" s="394">
        <f t="shared" si="35"/>
        <v>0</v>
      </c>
      <c r="DB53" s="395">
        <f t="shared" si="179"/>
        <v>0</v>
      </c>
      <c r="DC53" s="419">
        <f t="shared" si="548"/>
        <v>0</v>
      </c>
      <c r="DD53" s="394">
        <f t="shared" si="37"/>
        <v>0</v>
      </c>
      <c r="DE53" s="420" t="e">
        <f t="shared" si="549"/>
        <v>#DIV/0!</v>
      </c>
      <c r="DF53" s="421">
        <f t="shared" si="180"/>
        <v>12</v>
      </c>
      <c r="DG53" s="422">
        <f t="shared" si="181"/>
        <v>1</v>
      </c>
      <c r="DH53" s="284"/>
      <c r="DI53" s="282">
        <v>12</v>
      </c>
      <c r="DJ53" s="283">
        <v>1</v>
      </c>
      <c r="DL53" s="430"/>
      <c r="DQ53" s="427"/>
      <c r="DR53" s="421">
        <v>0</v>
      </c>
      <c r="DS53" s="270">
        <v>1</v>
      </c>
      <c r="DT53" s="427">
        <f t="shared" si="39"/>
        <v>0</v>
      </c>
      <c r="DU53" s="421">
        <f t="shared" si="40"/>
        <v>0</v>
      </c>
      <c r="DV53" s="270">
        <f t="shared" si="182"/>
        <v>1</v>
      </c>
      <c r="DW53" s="427">
        <f t="shared" si="42"/>
        <v>0</v>
      </c>
      <c r="DX53" s="421">
        <f t="shared" si="43"/>
        <v>0</v>
      </c>
      <c r="DY53" s="270">
        <f t="shared" si="183"/>
        <v>1</v>
      </c>
      <c r="DZ53" s="427">
        <f t="shared" si="45"/>
        <v>0</v>
      </c>
      <c r="EA53" s="421">
        <f t="shared" si="184"/>
        <v>0</v>
      </c>
      <c r="EB53" s="270">
        <f t="shared" si="185"/>
        <v>1</v>
      </c>
      <c r="EC53" s="427">
        <f t="shared" si="48"/>
        <v>0</v>
      </c>
      <c r="ED53" s="421">
        <f t="shared" si="186"/>
        <v>0</v>
      </c>
      <c r="EE53" s="270">
        <f t="shared" si="187"/>
        <v>1</v>
      </c>
      <c r="EF53" s="427">
        <f t="shared" si="51"/>
        <v>0</v>
      </c>
      <c r="EG53" s="421">
        <f t="shared" si="188"/>
        <v>0</v>
      </c>
      <c r="EH53" s="270">
        <f t="shared" si="189"/>
        <v>1</v>
      </c>
      <c r="EI53" s="427">
        <f t="shared" si="54"/>
        <v>0</v>
      </c>
      <c r="EJ53" s="421">
        <f t="shared" si="190"/>
        <v>0</v>
      </c>
      <c r="EK53" s="270">
        <f t="shared" si="191"/>
        <v>1</v>
      </c>
      <c r="EL53" s="427">
        <f t="shared" si="57"/>
        <v>0</v>
      </c>
      <c r="EM53" s="421">
        <f t="shared" si="192"/>
        <v>0</v>
      </c>
      <c r="EN53" s="270">
        <f t="shared" si="193"/>
        <v>1</v>
      </c>
      <c r="EO53" s="427">
        <f t="shared" si="60"/>
        <v>0</v>
      </c>
      <c r="EP53" s="421">
        <f t="shared" si="194"/>
        <v>0</v>
      </c>
      <c r="EQ53" s="270">
        <f t="shared" si="195"/>
        <v>1</v>
      </c>
      <c r="ER53" s="427">
        <f t="shared" si="63"/>
        <v>0</v>
      </c>
      <c r="ES53" s="421">
        <f t="shared" si="196"/>
        <v>0</v>
      </c>
      <c r="ET53" s="270">
        <f t="shared" si="197"/>
        <v>1</v>
      </c>
      <c r="EU53" s="427">
        <f t="shared" si="66"/>
        <v>0</v>
      </c>
      <c r="EV53" s="421">
        <f t="shared" si="558"/>
        <v>0</v>
      </c>
      <c r="EW53" s="270">
        <f t="shared" si="68"/>
        <v>2</v>
      </c>
      <c r="EX53" s="427">
        <f t="shared" si="69"/>
        <v>0</v>
      </c>
      <c r="EY53" s="421">
        <f t="shared" si="558"/>
        <v>0</v>
      </c>
      <c r="EZ53" s="270">
        <f t="shared" si="71"/>
        <v>4</v>
      </c>
      <c r="FA53" s="427">
        <f t="shared" si="72"/>
        <v>0</v>
      </c>
      <c r="FB53" s="421">
        <f t="shared" si="558"/>
        <v>0</v>
      </c>
      <c r="FC53" s="270">
        <f t="shared" si="74"/>
        <v>6</v>
      </c>
      <c r="FD53" s="427">
        <f t="shared" si="75"/>
        <v>0</v>
      </c>
      <c r="FE53" s="421">
        <f t="shared" si="558"/>
        <v>0</v>
      </c>
      <c r="FF53" s="270">
        <f t="shared" si="77"/>
        <v>8</v>
      </c>
      <c r="FG53" s="427">
        <f t="shared" si="78"/>
        <v>0</v>
      </c>
      <c r="FH53" s="421">
        <f t="shared" si="558"/>
        <v>0</v>
      </c>
      <c r="FI53" s="270">
        <f t="shared" si="80"/>
        <v>10</v>
      </c>
      <c r="FJ53" s="427">
        <f t="shared" si="81"/>
        <v>0</v>
      </c>
      <c r="FK53" s="421">
        <f t="shared" si="558"/>
        <v>0</v>
      </c>
      <c r="FL53" s="270">
        <f t="shared" si="83"/>
        <v>20</v>
      </c>
      <c r="FM53" s="427">
        <f t="shared" si="84"/>
        <v>0</v>
      </c>
      <c r="FN53" s="421">
        <f t="shared" si="558"/>
        <v>0</v>
      </c>
      <c r="FO53" s="270">
        <f t="shared" si="86"/>
        <v>40</v>
      </c>
      <c r="FP53" s="427">
        <f t="shared" si="87"/>
        <v>0</v>
      </c>
      <c r="FQ53" s="421">
        <f t="shared" si="558"/>
        <v>0</v>
      </c>
      <c r="FR53" s="270">
        <f t="shared" si="89"/>
        <v>60</v>
      </c>
      <c r="FS53" s="427">
        <f t="shared" si="90"/>
        <v>0</v>
      </c>
      <c r="FT53" s="421">
        <f t="shared" si="558"/>
        <v>0</v>
      </c>
      <c r="FU53" s="270">
        <f t="shared" si="92"/>
        <v>80</v>
      </c>
      <c r="FV53" s="427">
        <f t="shared" si="93"/>
        <v>0</v>
      </c>
      <c r="FW53" s="421">
        <f t="shared" si="558"/>
        <v>0</v>
      </c>
      <c r="FX53" s="270">
        <f t="shared" si="95"/>
        <v>100</v>
      </c>
      <c r="FY53" s="427">
        <f t="shared" si="96"/>
        <v>0</v>
      </c>
      <c r="GA53" s="430"/>
      <c r="GF53" s="427"/>
      <c r="GG53" s="421">
        <v>0</v>
      </c>
      <c r="GH53" s="270">
        <v>1</v>
      </c>
      <c r="GI53" s="427">
        <f t="shared" si="97"/>
        <v>0</v>
      </c>
      <c r="GJ53" s="421">
        <f t="shared" si="98"/>
        <v>0</v>
      </c>
      <c r="GK53" s="270">
        <f t="shared" si="99"/>
        <v>1</v>
      </c>
      <c r="GL53" s="427">
        <f t="shared" si="100"/>
        <v>0</v>
      </c>
      <c r="GM53" s="421">
        <f t="shared" si="101"/>
        <v>0</v>
      </c>
      <c r="GN53" s="270">
        <f t="shared" si="102"/>
        <v>1</v>
      </c>
      <c r="GO53" s="427">
        <f t="shared" si="103"/>
        <v>0</v>
      </c>
      <c r="GP53" s="421">
        <f t="shared" si="104"/>
        <v>0</v>
      </c>
      <c r="GQ53" s="270">
        <f t="shared" si="105"/>
        <v>1</v>
      </c>
      <c r="GR53" s="427">
        <f t="shared" si="106"/>
        <v>0</v>
      </c>
      <c r="GS53" s="421">
        <f t="shared" si="107"/>
        <v>0</v>
      </c>
      <c r="GT53" s="270">
        <f t="shared" si="108"/>
        <v>1</v>
      </c>
      <c r="GU53" s="427">
        <f t="shared" si="109"/>
        <v>0</v>
      </c>
      <c r="GV53" s="421">
        <f t="shared" si="110"/>
        <v>0</v>
      </c>
      <c r="GW53" s="270">
        <f t="shared" si="111"/>
        <v>1</v>
      </c>
      <c r="GX53" s="427">
        <f t="shared" si="112"/>
        <v>0</v>
      </c>
      <c r="GY53" s="421">
        <f t="shared" si="113"/>
        <v>0</v>
      </c>
      <c r="GZ53" s="270">
        <f t="shared" si="114"/>
        <v>1</v>
      </c>
      <c r="HA53" s="427">
        <f t="shared" si="115"/>
        <v>0</v>
      </c>
      <c r="HB53" s="421">
        <f t="shared" si="116"/>
        <v>0</v>
      </c>
      <c r="HC53" s="270">
        <f t="shared" si="117"/>
        <v>1</v>
      </c>
      <c r="HD53" s="427">
        <f t="shared" si="118"/>
        <v>0</v>
      </c>
      <c r="HE53" s="421">
        <f t="shared" si="119"/>
        <v>0</v>
      </c>
      <c r="HF53" s="270">
        <f t="shared" si="120"/>
        <v>1</v>
      </c>
      <c r="HG53" s="427">
        <f t="shared" si="121"/>
        <v>0</v>
      </c>
      <c r="HH53" s="421">
        <f t="shared" si="122"/>
        <v>0</v>
      </c>
      <c r="HI53" s="270">
        <f t="shared" si="123"/>
        <v>1</v>
      </c>
      <c r="HJ53" s="427">
        <f t="shared" si="124"/>
        <v>0</v>
      </c>
      <c r="HK53" s="421">
        <f t="shared" si="125"/>
        <v>0</v>
      </c>
      <c r="HL53" s="270">
        <f t="shared" si="125"/>
        <v>1</v>
      </c>
      <c r="HM53" s="427">
        <f t="shared" si="126"/>
        <v>0</v>
      </c>
      <c r="HN53" s="421">
        <f t="shared" si="127"/>
        <v>0</v>
      </c>
      <c r="HO53" s="270">
        <f t="shared" si="127"/>
        <v>1</v>
      </c>
      <c r="HP53" s="427">
        <f t="shared" si="128"/>
        <v>0</v>
      </c>
      <c r="HQ53" s="421">
        <f t="shared" si="129"/>
        <v>0</v>
      </c>
      <c r="HR53" s="270">
        <f t="shared" si="129"/>
        <v>1</v>
      </c>
      <c r="HS53" s="427">
        <f t="shared" si="130"/>
        <v>0</v>
      </c>
      <c r="HT53" s="421">
        <f t="shared" si="131"/>
        <v>0</v>
      </c>
      <c r="HU53" s="270">
        <f t="shared" si="131"/>
        <v>1</v>
      </c>
      <c r="HV53" s="427">
        <f t="shared" si="132"/>
        <v>0</v>
      </c>
      <c r="HW53" s="421">
        <f t="shared" si="133"/>
        <v>0</v>
      </c>
      <c r="HX53" s="270">
        <f t="shared" si="133"/>
        <v>1</v>
      </c>
      <c r="HY53" s="427">
        <f t="shared" si="134"/>
        <v>0</v>
      </c>
      <c r="HZ53" s="421">
        <f t="shared" si="135"/>
        <v>0</v>
      </c>
      <c r="IA53" s="270">
        <f t="shared" si="135"/>
        <v>1</v>
      </c>
      <c r="IB53" s="427">
        <f t="shared" si="136"/>
        <v>0</v>
      </c>
      <c r="IC53" s="421">
        <f t="shared" si="137"/>
        <v>0</v>
      </c>
      <c r="ID53" s="270">
        <f t="shared" si="137"/>
        <v>1</v>
      </c>
      <c r="IE53" s="427">
        <f t="shared" si="138"/>
        <v>0</v>
      </c>
      <c r="IF53" s="421">
        <f t="shared" si="139"/>
        <v>0</v>
      </c>
      <c r="IG53" s="270">
        <f t="shared" si="139"/>
        <v>1</v>
      </c>
      <c r="IH53" s="427">
        <f t="shared" si="140"/>
        <v>0</v>
      </c>
      <c r="II53" s="421">
        <f t="shared" si="141"/>
        <v>0</v>
      </c>
      <c r="IJ53" s="270">
        <f t="shared" si="141"/>
        <v>1</v>
      </c>
      <c r="IK53" s="427">
        <f t="shared" si="142"/>
        <v>0</v>
      </c>
      <c r="IL53" s="421">
        <f t="shared" si="143"/>
        <v>0</v>
      </c>
      <c r="IM53" s="270">
        <f t="shared" si="143"/>
        <v>1</v>
      </c>
      <c r="IN53" s="427">
        <f t="shared" si="144"/>
        <v>0</v>
      </c>
      <c r="IS53" s="447">
        <f t="shared" si="554"/>
        <v>0</v>
      </c>
      <c r="IT53" s="447">
        <f t="shared" si="554"/>
        <v>0</v>
      </c>
      <c r="IU53" s="447">
        <f t="shared" si="554"/>
        <v>0</v>
      </c>
      <c r="IV53" s="447">
        <f t="shared" si="554"/>
        <v>0</v>
      </c>
      <c r="IW53" s="447">
        <f t="shared" si="554"/>
        <v>0</v>
      </c>
      <c r="IX53" s="447">
        <f t="shared" si="554"/>
        <v>0</v>
      </c>
      <c r="IY53" s="447">
        <f t="shared" si="554"/>
        <v>0</v>
      </c>
      <c r="IZ53" s="447">
        <f t="shared" si="554"/>
        <v>0</v>
      </c>
      <c r="JA53" s="447">
        <f t="shared" si="554"/>
        <v>0</v>
      </c>
      <c r="JB53" s="447">
        <f t="shared" si="554"/>
        <v>0</v>
      </c>
      <c r="JC53" s="447">
        <f t="shared" si="555"/>
        <v>0</v>
      </c>
      <c r="JD53" s="447">
        <f t="shared" si="555"/>
        <v>0</v>
      </c>
      <c r="JE53" s="447">
        <f t="shared" si="555"/>
        <v>0</v>
      </c>
      <c r="JF53" s="447">
        <f t="shared" si="555"/>
        <v>0</v>
      </c>
      <c r="JG53" s="447">
        <f t="shared" si="555"/>
        <v>0</v>
      </c>
      <c r="JH53" s="447">
        <f t="shared" si="555"/>
        <v>0</v>
      </c>
      <c r="JI53" s="447">
        <f t="shared" si="555"/>
        <v>0</v>
      </c>
      <c r="JJ53" s="447">
        <f t="shared" si="555"/>
        <v>0</v>
      </c>
      <c r="JK53" s="447">
        <f t="shared" si="555"/>
        <v>0</v>
      </c>
      <c r="JL53" s="447">
        <f t="shared" si="555"/>
        <v>0</v>
      </c>
      <c r="JU53" s="242">
        <f t="shared" si="198"/>
        <v>6000000</v>
      </c>
      <c r="JV53" s="242">
        <f t="shared" si="199"/>
        <v>5000000</v>
      </c>
      <c r="JW53" s="242">
        <f t="shared" si="216"/>
        <v>0.8</v>
      </c>
      <c r="JX53" s="242">
        <f t="shared" si="200"/>
        <v>10000000</v>
      </c>
      <c r="JY53" s="241">
        <f t="shared" si="217"/>
        <v>0.2</v>
      </c>
      <c r="JZ53" s="241">
        <f t="shared" si="218"/>
        <v>6000000</v>
      </c>
      <c r="KA53" s="241" t="str">
        <f t="shared" si="219"/>
        <v>期望符合预期</v>
      </c>
      <c r="KC53" s="242">
        <f t="shared" si="201"/>
        <v>12000000</v>
      </c>
      <c r="KD53" s="242">
        <f t="shared" si="202"/>
        <v>10000000</v>
      </c>
      <c r="KE53" s="242">
        <f t="shared" si="220"/>
        <v>0.6</v>
      </c>
      <c r="KF53" s="242">
        <f t="shared" si="203"/>
        <v>15000000</v>
      </c>
      <c r="KG53" s="241">
        <f t="shared" si="221"/>
        <v>0.4</v>
      </c>
      <c r="KH53" s="241">
        <f t="shared" si="222"/>
        <v>12000000</v>
      </c>
      <c r="KI53" s="241" t="str">
        <f t="shared" si="223"/>
        <v>期望符合预期</v>
      </c>
      <c r="KK53" s="242">
        <f t="shared" si="204"/>
        <v>18000000</v>
      </c>
      <c r="KL53" s="242">
        <f t="shared" si="205"/>
        <v>15000000</v>
      </c>
      <c r="KM53" s="242">
        <f t="shared" si="224"/>
        <v>0.4</v>
      </c>
      <c r="KN53" s="242">
        <f t="shared" si="206"/>
        <v>20000000</v>
      </c>
      <c r="KO53" s="241">
        <f t="shared" si="225"/>
        <v>0.6</v>
      </c>
      <c r="KP53" s="241">
        <f t="shared" si="226"/>
        <v>18000000</v>
      </c>
      <c r="KQ53" s="241" t="str">
        <f t="shared" si="227"/>
        <v>期望符合预期</v>
      </c>
      <c r="KS53" s="242">
        <f t="shared" si="207"/>
        <v>24000000</v>
      </c>
      <c r="KT53" s="242">
        <f t="shared" si="208"/>
        <v>20000000</v>
      </c>
      <c r="KU53" s="242">
        <f t="shared" si="228"/>
        <v>0.6</v>
      </c>
      <c r="KV53" s="242">
        <f t="shared" si="209"/>
        <v>30000000</v>
      </c>
      <c r="KW53" s="241">
        <f t="shared" si="229"/>
        <v>0.4</v>
      </c>
      <c r="KX53" s="241">
        <f t="shared" si="230"/>
        <v>24000000</v>
      </c>
      <c r="KY53" s="241" t="str">
        <f t="shared" si="231"/>
        <v>期望符合预期</v>
      </c>
      <c r="LA53" s="242">
        <f t="shared" si="210"/>
        <v>30000000</v>
      </c>
      <c r="LB53" s="242">
        <f t="shared" si="211"/>
        <v>30000000</v>
      </c>
      <c r="LC53" s="242">
        <f t="shared" si="232"/>
        <v>1</v>
      </c>
      <c r="LD53" s="242">
        <f t="shared" si="212"/>
        <v>40000000</v>
      </c>
      <c r="LE53" s="241">
        <f t="shared" si="233"/>
        <v>0</v>
      </c>
      <c r="LF53" s="241">
        <f t="shared" si="234"/>
        <v>30000000</v>
      </c>
      <c r="LG53" s="241" t="str">
        <f t="shared" si="235"/>
        <v>期望符合预期</v>
      </c>
    </row>
    <row r="54" spans="1:319" x14ac:dyDescent="0.35">
      <c r="A54" s="63">
        <v>48</v>
      </c>
      <c r="B54" s="242" t="s">
        <v>1795</v>
      </c>
      <c r="C54" s="259">
        <v>5</v>
      </c>
      <c r="D54" s="63">
        <v>9</v>
      </c>
      <c r="E54" s="73">
        <v>200</v>
      </c>
      <c r="F54" s="63" t="s">
        <v>1796</v>
      </c>
      <c r="G54" s="63">
        <f t="shared" ref="G54" si="560">E54</f>
        <v>200</v>
      </c>
      <c r="H54" s="63"/>
      <c r="I54" s="265"/>
      <c r="J54" s="63">
        <f t="shared" ref="J54" si="561">ROUND(IF(C54=4,E54*10%,0),0)</f>
        <v>0</v>
      </c>
      <c r="K54" s="63">
        <f t="shared" ref="K54" si="562">ROUND(IF(C54=4,E54*2%,0),0)</f>
        <v>0</v>
      </c>
      <c r="L54" s="63">
        <v>0</v>
      </c>
      <c r="M54" s="63">
        <f>ROUND($BX$7/('全局参数|GlobalPar'!$B$19/10000/BS54),6)*0</f>
        <v>0</v>
      </c>
      <c r="N54" s="267">
        <v>0</v>
      </c>
      <c r="O54" s="268">
        <f>ROUND(IF(N54&lt;&gt;0,$BX$4/('全局参数|GlobalPar'!$B$19/10000/E54)/N54,0),6)</f>
        <v>0</v>
      </c>
      <c r="P54" s="270">
        <f t="shared" ref="P54" si="563">IF(A54=47,1,ROUND(E54*AA54/$CA$2,6))</f>
        <v>0</v>
      </c>
      <c r="Q54" s="285">
        <f t="shared" ref="Q54" si="564">CX54</f>
        <v>0</v>
      </c>
      <c r="R54" s="282">
        <v>12</v>
      </c>
      <c r="S54" s="283">
        <v>1</v>
      </c>
      <c r="T54" s="284" t="str">
        <f t="shared" ref="T54" si="565">"[["&amp;DR54&amp;","&amp;DS54&amp;"],["&amp;DU54&amp;","&amp;DV54&amp;"],["&amp;DX54&amp;","&amp;DY54&amp;"],["&amp;EA54&amp;","&amp;EB54&amp;"],["&amp;ED54&amp;","&amp;EE54&amp;"],["&amp;EG54&amp;","&amp;EH54&amp;"],["&amp;EJ54&amp;","&amp;EK54&amp;"],["&amp;EM54&amp;","&amp;EN54&amp;"],["&amp;EP54&amp;","&amp;EQ54&amp;"],["&amp;ES54&amp;","&amp;ET54&amp;"],["&amp;EV54&amp;","&amp;EW54&amp;"],["&amp;EY54&amp;","&amp;EZ54&amp;"],["&amp;FB54&amp;","&amp;FC54&amp;"],["&amp;FE54&amp;","&amp;FF54&amp;"],["&amp;FH54&amp;","&amp;FI54&amp;"],["&amp;FK54&amp;","&amp;FL54&amp;"],["&amp;FN54&amp;","&amp;FO54&amp;"],["&amp;FQ54&amp;","&amp;FR54&amp;"],["&amp;FT54&amp;","&amp;FU54&amp;"],["&amp;FW54&amp;","&amp;FX54&amp;"]]"</f>
        <v>[[0,1],[0,1],[0,1],[0,1],[0,1],[0,1],[0,1],[0,1],[0,1],[0,1],[0,2],[0,4],[0,6],[0,8],[0,10],[0,20],[0,40],[0,60],[0,80],[0,100]]</v>
      </c>
      <c r="U54" s="284">
        <v>1</v>
      </c>
      <c r="V54" s="284">
        <v>1</v>
      </c>
      <c r="W54" s="284" t="str">
        <f t="shared" si="168"/>
        <v>[[0,1],[0,1],[0,1],[0,1],[0,1],[0,1],[0,1],[0,1],[0,1],[0,1],[0,1],[0,1],[0,1],[0,1],[0,1],[0,1],[0,1],[0,1],[0,1],[0,1]]</v>
      </c>
      <c r="X54" s="63">
        <v>0</v>
      </c>
      <c r="Y54" s="268">
        <v>0</v>
      </c>
      <c r="Z54" s="311">
        <f t="shared" ref="Z54" si="566">(J54+K54)/100</f>
        <v>0</v>
      </c>
      <c r="AA54" s="312">
        <v>0</v>
      </c>
      <c r="AB54" s="313">
        <v>0</v>
      </c>
      <c r="AC54" s="304">
        <v>0</v>
      </c>
      <c r="AD54" s="303">
        <v>0</v>
      </c>
      <c r="AE54" s="303">
        <v>0</v>
      </c>
      <c r="AF54" s="303">
        <v>0</v>
      </c>
      <c r="AG54" s="63" t="str">
        <f t="shared" ref="AG54" si="567">"[["&amp;CI54&amp;","&amp;CJ54&amp;"],["&amp;CK54&amp;","&amp;CL54&amp;"],["&amp;CM54&amp;","&amp;CN54&amp;"]]"</f>
        <v>[[6,5],[8,2],[10,2]]</v>
      </c>
      <c r="AH54" s="256" t="str">
        <f t="shared" ref="AH54" si="568">"["&amp;CQ54&amp;","&amp;CS54&amp;","&amp;CU54&amp;"]"</f>
        <v>[0,0,0]</v>
      </c>
      <c r="AI54" s="256">
        <v>0</v>
      </c>
      <c r="AJ54" s="256">
        <v>1</v>
      </c>
      <c r="AK54" s="256">
        <f t="shared" si="243"/>
        <v>1</v>
      </c>
      <c r="AL54" s="256">
        <v>1</v>
      </c>
      <c r="AM54" s="256">
        <f t="shared" si="172"/>
        <v>60</v>
      </c>
      <c r="AN54" s="256" t="s">
        <v>2550</v>
      </c>
      <c r="AO54" s="324">
        <v>11</v>
      </c>
      <c r="AP54" s="73">
        <v>1</v>
      </c>
      <c r="AQ54" s="63">
        <v>1</v>
      </c>
      <c r="AR54" s="39">
        <v>2</v>
      </c>
      <c r="AS54" s="63">
        <v>4</v>
      </c>
      <c r="AT54" s="39">
        <v>0</v>
      </c>
      <c r="AU54" s="63">
        <v>1</v>
      </c>
      <c r="AV54" s="63">
        <f t="shared" ref="AV54:AV55" si="569">AU54</f>
        <v>1</v>
      </c>
      <c r="AW54" s="63">
        <v>1</v>
      </c>
      <c r="AX54" s="63">
        <v>1</v>
      </c>
      <c r="AY54" s="63" t="s">
        <v>1736</v>
      </c>
      <c r="AZ54" s="39"/>
      <c r="BA54" s="39"/>
      <c r="BB54" s="328">
        <v>1</v>
      </c>
      <c r="BC54" s="39">
        <v>200</v>
      </c>
      <c r="BD54" s="39">
        <v>0.18</v>
      </c>
      <c r="BE54" s="39">
        <v>0.8</v>
      </c>
      <c r="BF54" s="39">
        <v>1</v>
      </c>
      <c r="BG54" s="39" t="s">
        <v>1786</v>
      </c>
      <c r="BH54" s="331" t="s">
        <v>1797</v>
      </c>
      <c r="BI54" s="331" t="s">
        <v>1798</v>
      </c>
      <c r="BJ54" s="265" t="s">
        <v>266</v>
      </c>
      <c r="BK54" s="265" t="s">
        <v>425</v>
      </c>
      <c r="BL54" s="265"/>
      <c r="BM54" s="265"/>
      <c r="BN54" s="81">
        <f t="shared" ref="BN54" si="570">IF(C54&lt;4,MIN($BR$1*$BR$3,BS54*$BR$2),BS54*0.1)</f>
        <v>20</v>
      </c>
      <c r="BO54" s="343">
        <f t="shared" si="542"/>
        <v>7.5</v>
      </c>
      <c r="BP54" s="81" t="s">
        <v>1799</v>
      </c>
      <c r="BQ54" s="81">
        <f t="shared" si="388"/>
        <v>1</v>
      </c>
      <c r="BR54" s="81"/>
      <c r="BS54" s="63">
        <f t="shared" si="543"/>
        <v>200</v>
      </c>
      <c r="BT54" s="63">
        <f>IF(P54=0,BS54,BS54*(1+$CA$1))</f>
        <v>200</v>
      </c>
      <c r="BV54" s="63">
        <f t="shared" si="544"/>
        <v>0</v>
      </c>
      <c r="CG54" s="371">
        <f t="shared" si="545"/>
        <v>220.00000000000003</v>
      </c>
      <c r="CH54" s="372">
        <f t="shared" si="214"/>
        <v>0</v>
      </c>
      <c r="CI54" s="373">
        <v>6</v>
      </c>
      <c r="CJ54" s="143">
        <v>5</v>
      </c>
      <c r="CK54" s="373">
        <v>8</v>
      </c>
      <c r="CL54" s="143">
        <v>2</v>
      </c>
      <c r="CM54" s="373">
        <v>10</v>
      </c>
      <c r="CN54" s="143">
        <v>2</v>
      </c>
      <c r="CO54" s="143">
        <f t="shared" si="174"/>
        <v>7.333333333333333</v>
      </c>
      <c r="CP54" s="143">
        <f t="shared" si="550"/>
        <v>7.5</v>
      </c>
      <c r="CQ54" s="377">
        <f t="shared" si="176"/>
        <v>0</v>
      </c>
      <c r="CR54" s="143">
        <f t="shared" si="550"/>
        <v>15</v>
      </c>
      <c r="CS54" s="378">
        <f t="shared" si="177"/>
        <v>0</v>
      </c>
      <c r="CT54" s="143">
        <f t="shared" si="550"/>
        <v>22.5</v>
      </c>
      <c r="CU54" s="392">
        <f t="shared" si="178"/>
        <v>0</v>
      </c>
      <c r="CW54" s="241">
        <v>0</v>
      </c>
      <c r="CX54" s="396">
        <f t="shared" si="215"/>
        <v>0</v>
      </c>
      <c r="CY54" s="270">
        <f t="shared" si="546"/>
        <v>0</v>
      </c>
      <c r="CZ54" s="394">
        <f t="shared" si="547"/>
        <v>0</v>
      </c>
      <c r="DA54" s="394">
        <f t="shared" si="35"/>
        <v>0</v>
      </c>
      <c r="DB54" s="395">
        <f t="shared" si="179"/>
        <v>0</v>
      </c>
      <c r="DC54" s="419">
        <f t="shared" si="548"/>
        <v>0</v>
      </c>
      <c r="DD54" s="394">
        <f t="shared" si="37"/>
        <v>0</v>
      </c>
      <c r="DE54" s="420" t="e">
        <f t="shared" si="549"/>
        <v>#DIV/0!</v>
      </c>
      <c r="DF54" s="421">
        <f t="shared" si="180"/>
        <v>12</v>
      </c>
      <c r="DG54" s="422">
        <f t="shared" si="181"/>
        <v>1</v>
      </c>
      <c r="DH54" s="284"/>
      <c r="DI54" s="282">
        <v>12</v>
      </c>
      <c r="DJ54" s="283">
        <v>1</v>
      </c>
      <c r="DL54" s="431"/>
      <c r="DM54" s="242"/>
      <c r="DQ54" s="427"/>
      <c r="DR54" s="421">
        <v>0</v>
      </c>
      <c r="DS54" s="270">
        <v>1</v>
      </c>
      <c r="DT54" s="427">
        <f t="shared" si="39"/>
        <v>0</v>
      </c>
      <c r="DU54" s="421">
        <f t="shared" si="40"/>
        <v>0</v>
      </c>
      <c r="DV54" s="270">
        <f t="shared" si="182"/>
        <v>1</v>
      </c>
      <c r="DW54" s="427">
        <f t="shared" si="42"/>
        <v>0</v>
      </c>
      <c r="DX54" s="421">
        <f t="shared" si="43"/>
        <v>0</v>
      </c>
      <c r="DY54" s="270">
        <f t="shared" si="183"/>
        <v>1</v>
      </c>
      <c r="DZ54" s="427">
        <f t="shared" si="45"/>
        <v>0</v>
      </c>
      <c r="EA54" s="421">
        <f t="shared" si="184"/>
        <v>0</v>
      </c>
      <c r="EB54" s="270">
        <f t="shared" si="185"/>
        <v>1</v>
      </c>
      <c r="EC54" s="427">
        <f t="shared" si="48"/>
        <v>0</v>
      </c>
      <c r="ED54" s="421">
        <f t="shared" si="186"/>
        <v>0</v>
      </c>
      <c r="EE54" s="270">
        <f t="shared" si="187"/>
        <v>1</v>
      </c>
      <c r="EF54" s="427">
        <f t="shared" si="51"/>
        <v>0</v>
      </c>
      <c r="EG54" s="421">
        <f t="shared" si="188"/>
        <v>0</v>
      </c>
      <c r="EH54" s="270">
        <f t="shared" si="189"/>
        <v>1</v>
      </c>
      <c r="EI54" s="427">
        <f t="shared" si="54"/>
        <v>0</v>
      </c>
      <c r="EJ54" s="421">
        <f t="shared" si="190"/>
        <v>0</v>
      </c>
      <c r="EK54" s="270">
        <f t="shared" si="191"/>
        <v>1</v>
      </c>
      <c r="EL54" s="427">
        <f t="shared" si="57"/>
        <v>0</v>
      </c>
      <c r="EM54" s="421">
        <f t="shared" si="192"/>
        <v>0</v>
      </c>
      <c r="EN54" s="270">
        <f t="shared" si="193"/>
        <v>1</v>
      </c>
      <c r="EO54" s="427">
        <f t="shared" si="60"/>
        <v>0</v>
      </c>
      <c r="EP54" s="421">
        <f t="shared" si="194"/>
        <v>0</v>
      </c>
      <c r="EQ54" s="270">
        <f t="shared" si="195"/>
        <v>1</v>
      </c>
      <c r="ER54" s="427">
        <f t="shared" si="63"/>
        <v>0</v>
      </c>
      <c r="ES54" s="421">
        <f t="shared" si="196"/>
        <v>0</v>
      </c>
      <c r="ET54" s="270">
        <f t="shared" si="197"/>
        <v>1</v>
      </c>
      <c r="EU54" s="427">
        <f t="shared" si="66"/>
        <v>0</v>
      </c>
      <c r="EV54" s="421">
        <f t="shared" si="558"/>
        <v>0</v>
      </c>
      <c r="EW54" s="270">
        <f t="shared" si="68"/>
        <v>2</v>
      </c>
      <c r="EX54" s="427">
        <f t="shared" si="69"/>
        <v>0</v>
      </c>
      <c r="EY54" s="421">
        <f t="shared" si="558"/>
        <v>0</v>
      </c>
      <c r="EZ54" s="270">
        <f t="shared" si="71"/>
        <v>4</v>
      </c>
      <c r="FA54" s="427">
        <f t="shared" si="72"/>
        <v>0</v>
      </c>
      <c r="FB54" s="421">
        <f t="shared" si="558"/>
        <v>0</v>
      </c>
      <c r="FC54" s="270">
        <f t="shared" si="74"/>
        <v>6</v>
      </c>
      <c r="FD54" s="427">
        <f t="shared" si="75"/>
        <v>0</v>
      </c>
      <c r="FE54" s="421">
        <f t="shared" si="558"/>
        <v>0</v>
      </c>
      <c r="FF54" s="270">
        <f t="shared" si="77"/>
        <v>8</v>
      </c>
      <c r="FG54" s="427">
        <f t="shared" si="78"/>
        <v>0</v>
      </c>
      <c r="FH54" s="421">
        <f t="shared" si="558"/>
        <v>0</v>
      </c>
      <c r="FI54" s="270">
        <f t="shared" si="80"/>
        <v>10</v>
      </c>
      <c r="FJ54" s="427">
        <f t="shared" si="81"/>
        <v>0</v>
      </c>
      <c r="FK54" s="421">
        <f t="shared" si="558"/>
        <v>0</v>
      </c>
      <c r="FL54" s="270">
        <f t="shared" si="83"/>
        <v>20</v>
      </c>
      <c r="FM54" s="427">
        <f t="shared" si="84"/>
        <v>0</v>
      </c>
      <c r="FN54" s="421">
        <f t="shared" si="558"/>
        <v>0</v>
      </c>
      <c r="FO54" s="270">
        <f t="shared" si="86"/>
        <v>40</v>
      </c>
      <c r="FP54" s="427">
        <f t="shared" si="87"/>
        <v>0</v>
      </c>
      <c r="FQ54" s="421">
        <f t="shared" si="558"/>
        <v>0</v>
      </c>
      <c r="FR54" s="270">
        <f t="shared" si="89"/>
        <v>60</v>
      </c>
      <c r="FS54" s="427">
        <f t="shared" si="90"/>
        <v>0</v>
      </c>
      <c r="FT54" s="421">
        <f t="shared" si="558"/>
        <v>0</v>
      </c>
      <c r="FU54" s="270">
        <f t="shared" si="92"/>
        <v>80</v>
      </c>
      <c r="FV54" s="427">
        <f t="shared" si="93"/>
        <v>0</v>
      </c>
      <c r="FW54" s="421">
        <f t="shared" si="558"/>
        <v>0</v>
      </c>
      <c r="FX54" s="270">
        <f t="shared" si="95"/>
        <v>100</v>
      </c>
      <c r="FY54" s="427">
        <f t="shared" si="96"/>
        <v>0</v>
      </c>
      <c r="GA54" s="431"/>
      <c r="GB54" s="242"/>
      <c r="GF54" s="427"/>
      <c r="GG54" s="421">
        <v>0</v>
      </c>
      <c r="GH54" s="270">
        <v>1</v>
      </c>
      <c r="GI54" s="427">
        <f t="shared" si="97"/>
        <v>0</v>
      </c>
      <c r="GJ54" s="421">
        <f t="shared" si="98"/>
        <v>0</v>
      </c>
      <c r="GK54" s="270">
        <f t="shared" si="99"/>
        <v>1</v>
      </c>
      <c r="GL54" s="427">
        <f t="shared" si="100"/>
        <v>0</v>
      </c>
      <c r="GM54" s="421">
        <f t="shared" si="101"/>
        <v>0</v>
      </c>
      <c r="GN54" s="270">
        <f t="shared" si="102"/>
        <v>1</v>
      </c>
      <c r="GO54" s="427">
        <f t="shared" si="103"/>
        <v>0</v>
      </c>
      <c r="GP54" s="421">
        <f t="shared" si="104"/>
        <v>0</v>
      </c>
      <c r="GQ54" s="270">
        <f t="shared" si="105"/>
        <v>1</v>
      </c>
      <c r="GR54" s="427">
        <f t="shared" si="106"/>
        <v>0</v>
      </c>
      <c r="GS54" s="421">
        <f t="shared" si="107"/>
        <v>0</v>
      </c>
      <c r="GT54" s="270">
        <f t="shared" si="108"/>
        <v>1</v>
      </c>
      <c r="GU54" s="427">
        <f t="shared" si="109"/>
        <v>0</v>
      </c>
      <c r="GV54" s="421">
        <f t="shared" si="110"/>
        <v>0</v>
      </c>
      <c r="GW54" s="270">
        <f t="shared" si="111"/>
        <v>1</v>
      </c>
      <c r="GX54" s="427">
        <f t="shared" si="112"/>
        <v>0</v>
      </c>
      <c r="GY54" s="421">
        <f t="shared" si="113"/>
        <v>0</v>
      </c>
      <c r="GZ54" s="270">
        <f t="shared" si="114"/>
        <v>1</v>
      </c>
      <c r="HA54" s="427">
        <f t="shared" si="115"/>
        <v>0</v>
      </c>
      <c r="HB54" s="421">
        <f t="shared" si="116"/>
        <v>0</v>
      </c>
      <c r="HC54" s="270">
        <f t="shared" si="117"/>
        <v>1</v>
      </c>
      <c r="HD54" s="427">
        <f t="shared" si="118"/>
        <v>0</v>
      </c>
      <c r="HE54" s="421">
        <f t="shared" si="119"/>
        <v>0</v>
      </c>
      <c r="HF54" s="270">
        <f t="shared" si="120"/>
        <v>1</v>
      </c>
      <c r="HG54" s="427">
        <f t="shared" si="121"/>
        <v>0</v>
      </c>
      <c r="HH54" s="421">
        <f t="shared" si="122"/>
        <v>0</v>
      </c>
      <c r="HI54" s="270">
        <f t="shared" si="123"/>
        <v>1</v>
      </c>
      <c r="HJ54" s="427">
        <f t="shared" si="124"/>
        <v>0</v>
      </c>
      <c r="HK54" s="421">
        <f t="shared" si="125"/>
        <v>0</v>
      </c>
      <c r="HL54" s="270">
        <f t="shared" si="125"/>
        <v>1</v>
      </c>
      <c r="HM54" s="427">
        <f t="shared" si="126"/>
        <v>0</v>
      </c>
      <c r="HN54" s="421">
        <f t="shared" si="127"/>
        <v>0</v>
      </c>
      <c r="HO54" s="270">
        <f t="shared" si="127"/>
        <v>1</v>
      </c>
      <c r="HP54" s="427">
        <f t="shared" si="128"/>
        <v>0</v>
      </c>
      <c r="HQ54" s="421">
        <f t="shared" si="129"/>
        <v>0</v>
      </c>
      <c r="HR54" s="270">
        <f t="shared" si="129"/>
        <v>1</v>
      </c>
      <c r="HS54" s="427">
        <f t="shared" si="130"/>
        <v>0</v>
      </c>
      <c r="HT54" s="421">
        <f t="shared" si="131"/>
        <v>0</v>
      </c>
      <c r="HU54" s="270">
        <f t="shared" si="131"/>
        <v>1</v>
      </c>
      <c r="HV54" s="427">
        <f t="shared" si="132"/>
        <v>0</v>
      </c>
      <c r="HW54" s="421">
        <f t="shared" si="133"/>
        <v>0</v>
      </c>
      <c r="HX54" s="270">
        <f t="shared" si="133"/>
        <v>1</v>
      </c>
      <c r="HY54" s="427">
        <f t="shared" si="134"/>
        <v>0</v>
      </c>
      <c r="HZ54" s="421">
        <f t="shared" si="135"/>
        <v>0</v>
      </c>
      <c r="IA54" s="270">
        <f t="shared" si="135"/>
        <v>1</v>
      </c>
      <c r="IB54" s="427">
        <f t="shared" si="136"/>
        <v>0</v>
      </c>
      <c r="IC54" s="421">
        <f t="shared" si="137"/>
        <v>0</v>
      </c>
      <c r="ID54" s="270">
        <f t="shared" si="137"/>
        <v>1</v>
      </c>
      <c r="IE54" s="427">
        <f t="shared" si="138"/>
        <v>0</v>
      </c>
      <c r="IF54" s="421">
        <f t="shared" si="139"/>
        <v>0</v>
      </c>
      <c r="IG54" s="270">
        <f t="shared" si="139"/>
        <v>1</v>
      </c>
      <c r="IH54" s="427">
        <f t="shared" si="140"/>
        <v>0</v>
      </c>
      <c r="II54" s="421">
        <f t="shared" si="141"/>
        <v>0</v>
      </c>
      <c r="IJ54" s="270">
        <f t="shared" si="141"/>
        <v>1</v>
      </c>
      <c r="IK54" s="427">
        <f t="shared" si="142"/>
        <v>0</v>
      </c>
      <c r="IL54" s="421">
        <f t="shared" si="143"/>
        <v>0</v>
      </c>
      <c r="IM54" s="270">
        <f t="shared" si="143"/>
        <v>1</v>
      </c>
      <c r="IN54" s="427">
        <f t="shared" si="144"/>
        <v>0</v>
      </c>
      <c r="IS54" s="447">
        <f t="shared" si="554"/>
        <v>0</v>
      </c>
      <c r="IT54" s="447">
        <f t="shared" si="554"/>
        <v>0</v>
      </c>
      <c r="IU54" s="447">
        <f t="shared" si="554"/>
        <v>0</v>
      </c>
      <c r="IV54" s="447">
        <f t="shared" si="554"/>
        <v>0</v>
      </c>
      <c r="IW54" s="447">
        <f t="shared" si="554"/>
        <v>0</v>
      </c>
      <c r="IX54" s="447">
        <f t="shared" si="554"/>
        <v>0</v>
      </c>
      <c r="IY54" s="447">
        <f t="shared" si="554"/>
        <v>0</v>
      </c>
      <c r="IZ54" s="447">
        <f t="shared" si="554"/>
        <v>0</v>
      </c>
      <c r="JA54" s="447">
        <f t="shared" si="554"/>
        <v>0</v>
      </c>
      <c r="JB54" s="447">
        <f t="shared" si="554"/>
        <v>0</v>
      </c>
      <c r="JC54" s="447">
        <f t="shared" si="555"/>
        <v>0</v>
      </c>
      <c r="JD54" s="447">
        <f t="shared" si="555"/>
        <v>0</v>
      </c>
      <c r="JE54" s="447">
        <f t="shared" si="555"/>
        <v>0</v>
      </c>
      <c r="JF54" s="447">
        <f t="shared" si="555"/>
        <v>0</v>
      </c>
      <c r="JG54" s="447">
        <f t="shared" si="555"/>
        <v>0</v>
      </c>
      <c r="JH54" s="447">
        <f t="shared" si="555"/>
        <v>0</v>
      </c>
      <c r="JI54" s="447">
        <f t="shared" si="555"/>
        <v>0</v>
      </c>
      <c r="JJ54" s="447">
        <f t="shared" si="555"/>
        <v>0</v>
      </c>
      <c r="JK54" s="447">
        <f t="shared" si="555"/>
        <v>0</v>
      </c>
      <c r="JL54" s="447">
        <f t="shared" si="555"/>
        <v>0</v>
      </c>
      <c r="JU54" s="242">
        <f t="shared" si="198"/>
        <v>4000000</v>
      </c>
      <c r="JV54" s="242">
        <f t="shared" si="199"/>
        <v>4000000</v>
      </c>
      <c r="JW54" s="242">
        <f t="shared" si="216"/>
        <v>1</v>
      </c>
      <c r="JX54" s="242">
        <f t="shared" si="200"/>
        <v>5000000</v>
      </c>
      <c r="JY54" s="241">
        <f t="shared" si="217"/>
        <v>0</v>
      </c>
      <c r="JZ54" s="241">
        <f t="shared" si="218"/>
        <v>4000000</v>
      </c>
      <c r="KA54" s="241" t="str">
        <f t="shared" si="219"/>
        <v>期望符合预期</v>
      </c>
      <c r="KC54" s="242">
        <f t="shared" si="201"/>
        <v>8000000</v>
      </c>
      <c r="KD54" s="242">
        <f t="shared" si="202"/>
        <v>5000000</v>
      </c>
      <c r="KE54" s="242">
        <f t="shared" si="220"/>
        <v>0.4</v>
      </c>
      <c r="KF54" s="242">
        <f t="shared" si="203"/>
        <v>10000000</v>
      </c>
      <c r="KG54" s="241">
        <f t="shared" si="221"/>
        <v>0.6</v>
      </c>
      <c r="KH54" s="241">
        <f t="shared" si="222"/>
        <v>8000000</v>
      </c>
      <c r="KI54" s="241" t="str">
        <f t="shared" si="223"/>
        <v>期望符合预期</v>
      </c>
      <c r="KK54" s="242">
        <f t="shared" si="204"/>
        <v>12000000</v>
      </c>
      <c r="KL54" s="242">
        <f t="shared" si="205"/>
        <v>10000000</v>
      </c>
      <c r="KM54" s="242">
        <f t="shared" si="224"/>
        <v>0.6</v>
      </c>
      <c r="KN54" s="242">
        <f t="shared" si="206"/>
        <v>15000000</v>
      </c>
      <c r="KO54" s="241">
        <f t="shared" si="225"/>
        <v>0.4</v>
      </c>
      <c r="KP54" s="241">
        <f t="shared" si="226"/>
        <v>12000000</v>
      </c>
      <c r="KQ54" s="241" t="str">
        <f t="shared" si="227"/>
        <v>期望符合预期</v>
      </c>
      <c r="KS54" s="242">
        <f t="shared" si="207"/>
        <v>16000000</v>
      </c>
      <c r="KT54" s="242">
        <f t="shared" si="208"/>
        <v>15000000</v>
      </c>
      <c r="KU54" s="242">
        <f t="shared" si="228"/>
        <v>0.8</v>
      </c>
      <c r="KV54" s="242">
        <f t="shared" si="209"/>
        <v>20000000</v>
      </c>
      <c r="KW54" s="241">
        <f t="shared" si="229"/>
        <v>0.2</v>
      </c>
      <c r="KX54" s="241">
        <f t="shared" si="230"/>
        <v>16000000</v>
      </c>
      <c r="KY54" s="241" t="str">
        <f t="shared" si="231"/>
        <v>期望符合预期</v>
      </c>
      <c r="LA54" s="242">
        <f t="shared" si="210"/>
        <v>20000000</v>
      </c>
      <c r="LB54" s="242">
        <f t="shared" si="211"/>
        <v>20000000</v>
      </c>
      <c r="LC54" s="242">
        <f t="shared" si="232"/>
        <v>1</v>
      </c>
      <c r="LD54" s="242">
        <f t="shared" si="212"/>
        <v>30000000</v>
      </c>
      <c r="LE54" s="241">
        <f t="shared" si="233"/>
        <v>0</v>
      </c>
      <c r="LF54" s="241">
        <f t="shared" si="234"/>
        <v>20000000</v>
      </c>
      <c r="LG54" s="241" t="str">
        <f t="shared" si="235"/>
        <v>期望符合预期</v>
      </c>
    </row>
    <row r="55" spans="1:319" ht="16.2" x14ac:dyDescent="0.4">
      <c r="A55" s="63">
        <v>49</v>
      </c>
      <c r="B55" s="242" t="s">
        <v>1800</v>
      </c>
      <c r="C55" s="263">
        <v>7</v>
      </c>
      <c r="D55" s="63">
        <v>-1</v>
      </c>
      <c r="E55" s="63">
        <v>150</v>
      </c>
      <c r="F55" s="63" t="s">
        <v>1801</v>
      </c>
      <c r="G55" s="63">
        <f t="shared" si="167"/>
        <v>150</v>
      </c>
      <c r="H55" s="63"/>
      <c r="I55" s="265"/>
      <c r="J55" s="63">
        <f t="shared" si="551"/>
        <v>0</v>
      </c>
      <c r="K55" s="63">
        <f t="shared" si="552"/>
        <v>0</v>
      </c>
      <c r="L55" s="63">
        <v>0</v>
      </c>
      <c r="M55" s="63">
        <f>ROUND($BX$7/('全局参数|GlobalPar'!$B$19/10000/BS55),6)*0</f>
        <v>0</v>
      </c>
      <c r="N55" s="267">
        <v>0</v>
      </c>
      <c r="O55" s="268">
        <f>ROUND(IF(N55&lt;&gt;0,$BX$4/('全局参数|GlobalPar'!$B$19/10000/E55)/N55,0),6)</f>
        <v>0</v>
      </c>
      <c r="P55" s="270">
        <f t="shared" si="386"/>
        <v>0</v>
      </c>
      <c r="Q55" s="285">
        <v>1</v>
      </c>
      <c r="R55" s="282">
        <v>12</v>
      </c>
      <c r="S55" s="283">
        <v>1</v>
      </c>
      <c r="T55" s="284" t="str">
        <f t="shared" si="21"/>
        <v>[[10,1],[10,1],[10,1],[10,1],[10,1],[10,1],[10,1],[10,1],[10,1],[10,1],[20,2],[40,4],[60,6],[80,8],[100,10],[200,20],[400,40],[600,60],[800,80],[1000,100]]</v>
      </c>
      <c r="U55" s="284">
        <v>1</v>
      </c>
      <c r="V55" s="284">
        <v>1</v>
      </c>
      <c r="W55" s="284" t="str">
        <f t="shared" si="168"/>
        <v>[[0,1],[0,1],[0,1],[0,1],[0,1],[0,1],[0,1],[0,1],[0,1],[0,1],[0,1],[0,1],[0,1],[0,1],[0,1],[0,1],[0,1],[0,1],[0,1],[0,1]]</v>
      </c>
      <c r="X55" s="63">
        <v>0</v>
      </c>
      <c r="Y55" s="268">
        <v>0</v>
      </c>
      <c r="Z55" s="311">
        <f t="shared" si="541"/>
        <v>0</v>
      </c>
      <c r="AA55" s="312">
        <v>0</v>
      </c>
      <c r="AB55" s="313">
        <f t="shared" si="169"/>
        <v>0</v>
      </c>
      <c r="AC55" s="304">
        <v>0</v>
      </c>
      <c r="AD55" s="303">
        <v>0</v>
      </c>
      <c r="AE55" s="303">
        <v>0</v>
      </c>
      <c r="AF55" s="303">
        <v>0</v>
      </c>
      <c r="AG55" s="63" t="str">
        <f t="shared" si="170"/>
        <v>[[6,5],[8,2],[10,2]]</v>
      </c>
      <c r="AH55" s="256" t="str">
        <f t="shared" si="171"/>
        <v>[0,0,0]</v>
      </c>
      <c r="AI55" s="256">
        <v>0</v>
      </c>
      <c r="AJ55" s="256">
        <v>0</v>
      </c>
      <c r="AK55" s="256">
        <f t="shared" si="243"/>
        <v>0</v>
      </c>
      <c r="AL55" s="256">
        <v>0</v>
      </c>
      <c r="AM55" s="256">
        <f t="shared" si="172"/>
        <v>45</v>
      </c>
      <c r="AN55" s="256" t="s">
        <v>2548</v>
      </c>
      <c r="AO55" s="324">
        <v>8</v>
      </c>
      <c r="AP55" s="63">
        <v>1</v>
      </c>
      <c r="AQ55" s="63">
        <v>1</v>
      </c>
      <c r="AR55" s="39">
        <v>2</v>
      </c>
      <c r="AS55" s="39"/>
      <c r="AT55" s="39">
        <v>0</v>
      </c>
      <c r="AU55" s="63">
        <v>1</v>
      </c>
      <c r="AV55" s="63">
        <f t="shared" si="569"/>
        <v>1</v>
      </c>
      <c r="AW55" s="63">
        <v>1</v>
      </c>
      <c r="AX55" s="63">
        <v>1</v>
      </c>
      <c r="AY55" s="63"/>
      <c r="AZ55" s="39"/>
      <c r="BA55" s="39"/>
      <c r="BB55" s="328">
        <v>1</v>
      </c>
      <c r="BC55" s="39">
        <v>1500</v>
      </c>
      <c r="BD55" s="330">
        <v>0.3</v>
      </c>
      <c r="BE55" s="329">
        <v>0.5</v>
      </c>
      <c r="BF55" s="39">
        <v>1</v>
      </c>
      <c r="BG55" s="39" t="s">
        <v>1786</v>
      </c>
      <c r="BH55" s="336" t="s">
        <v>1802</v>
      </c>
      <c r="BI55" s="336" t="s">
        <v>1802</v>
      </c>
      <c r="BJ55" s="334" t="s">
        <v>368</v>
      </c>
      <c r="BK55" s="334" t="s">
        <v>425</v>
      </c>
      <c r="BL55" s="334"/>
      <c r="BM55" s="334"/>
      <c r="BN55" s="81">
        <f t="shared" si="387"/>
        <v>15</v>
      </c>
      <c r="BO55" s="343">
        <f t="shared" si="542"/>
        <v>10</v>
      </c>
      <c r="BP55" s="81" t="s">
        <v>1799</v>
      </c>
      <c r="BQ55" s="81">
        <f t="shared" si="388"/>
        <v>1</v>
      </c>
      <c r="BR55" s="81"/>
      <c r="BS55" s="63">
        <f t="shared" si="543"/>
        <v>150</v>
      </c>
      <c r="BT55" s="63">
        <f>IF(P55=0,BS55,BS55*(1+$CA$1))</f>
        <v>150</v>
      </c>
      <c r="BV55" s="63">
        <f t="shared" si="544"/>
        <v>0</v>
      </c>
      <c r="CG55" s="371">
        <f t="shared" si="545"/>
        <v>165</v>
      </c>
      <c r="CH55" s="372">
        <f t="shared" si="214"/>
        <v>0</v>
      </c>
      <c r="CI55" s="373">
        <v>6</v>
      </c>
      <c r="CJ55" s="143">
        <v>5</v>
      </c>
      <c r="CK55" s="373">
        <v>8</v>
      </c>
      <c r="CL55" s="143">
        <v>2</v>
      </c>
      <c r="CM55" s="373">
        <v>10</v>
      </c>
      <c r="CN55" s="143">
        <v>2</v>
      </c>
      <c r="CO55" s="143">
        <f t="shared" si="174"/>
        <v>7.333333333333333</v>
      </c>
      <c r="CP55" s="143">
        <f t="shared" si="550"/>
        <v>7.5</v>
      </c>
      <c r="CQ55" s="377">
        <f t="shared" si="176"/>
        <v>0</v>
      </c>
      <c r="CR55" s="143">
        <f t="shared" si="550"/>
        <v>15</v>
      </c>
      <c r="CS55" s="378">
        <f t="shared" si="177"/>
        <v>0</v>
      </c>
      <c r="CT55" s="143">
        <f t="shared" si="550"/>
        <v>22.5</v>
      </c>
      <c r="CU55" s="392">
        <f t="shared" si="178"/>
        <v>0</v>
      </c>
      <c r="CW55" s="241">
        <v>0</v>
      </c>
      <c r="CX55" s="396">
        <f t="shared" si="215"/>
        <v>0</v>
      </c>
      <c r="CY55" s="270">
        <f t="shared" si="546"/>
        <v>0</v>
      </c>
      <c r="CZ55" s="394">
        <f t="shared" si="547"/>
        <v>0</v>
      </c>
      <c r="DA55" s="394">
        <f t="shared" si="35"/>
        <v>0</v>
      </c>
      <c r="DB55" s="395">
        <f t="shared" si="179"/>
        <v>0</v>
      </c>
      <c r="DC55" s="419">
        <f t="shared" si="548"/>
        <v>0</v>
      </c>
      <c r="DD55" s="394">
        <f t="shared" si="37"/>
        <v>0</v>
      </c>
      <c r="DE55" s="420" t="e">
        <f t="shared" si="549"/>
        <v>#DIV/0!</v>
      </c>
      <c r="DF55" s="421">
        <f t="shared" si="180"/>
        <v>12</v>
      </c>
      <c r="DG55" s="422">
        <f t="shared" si="181"/>
        <v>1</v>
      </c>
      <c r="DH55" s="284"/>
      <c r="DI55" s="282">
        <v>12</v>
      </c>
      <c r="DJ55" s="283">
        <v>1</v>
      </c>
      <c r="DL55" s="431"/>
      <c r="DM55" s="242"/>
      <c r="DQ55" s="427"/>
      <c r="DR55" s="421">
        <v>10</v>
      </c>
      <c r="DS55" s="270">
        <v>1</v>
      </c>
      <c r="DT55" s="436">
        <f>IF(DR55=0,0,DR$4*$E55/DR55*$DO$2)*2</f>
        <v>5.0000000000000053E-3</v>
      </c>
      <c r="DU55" s="421">
        <f t="shared" si="40"/>
        <v>10</v>
      </c>
      <c r="DV55" s="270">
        <f t="shared" si="182"/>
        <v>1</v>
      </c>
      <c r="DW55" s="436">
        <f>IF(DU55=0,0,DU$4*$E55/DU55*$DO$2)*2</f>
        <v>1.0000000000000011E-2</v>
      </c>
      <c r="DX55" s="421">
        <f t="shared" si="43"/>
        <v>10</v>
      </c>
      <c r="DY55" s="270">
        <f t="shared" si="183"/>
        <v>1</v>
      </c>
      <c r="DZ55" s="436">
        <f>IF(DX55=0,0,DX$4*$E55/DX55*$DO$2)*2</f>
        <v>1.5000000000000017E-2</v>
      </c>
      <c r="EA55" s="421">
        <f t="shared" si="184"/>
        <v>10</v>
      </c>
      <c r="EB55" s="270">
        <f t="shared" si="185"/>
        <v>1</v>
      </c>
      <c r="EC55" s="436">
        <f>IF(EA55=0,0,EA$4*$E55/EA55*$DO$2)*2</f>
        <v>2.0000000000000021E-2</v>
      </c>
      <c r="ED55" s="421">
        <f t="shared" si="186"/>
        <v>10</v>
      </c>
      <c r="EE55" s="270">
        <f t="shared" si="187"/>
        <v>1</v>
      </c>
      <c r="EF55" s="436">
        <f>IF(ED55=0,0,ED$4*$E55/ED55*$DO$2)*2</f>
        <v>2.5000000000000026E-2</v>
      </c>
      <c r="EG55" s="421">
        <f t="shared" si="188"/>
        <v>10</v>
      </c>
      <c r="EH55" s="270">
        <f t="shared" si="189"/>
        <v>1</v>
      </c>
      <c r="EI55" s="436">
        <f>IF(EG55=0,0,EG$4*$E55/EG55*$DO$2)*2</f>
        <v>5.0000000000000051E-2</v>
      </c>
      <c r="EJ55" s="421">
        <f t="shared" si="190"/>
        <v>10</v>
      </c>
      <c r="EK55" s="270">
        <f t="shared" si="191"/>
        <v>1</v>
      </c>
      <c r="EL55" s="436">
        <f>IF(EJ55=0,0,EJ$4*$E55/EJ55*$DO$2)*2</f>
        <v>0.1000000000000001</v>
      </c>
      <c r="EM55" s="421">
        <f t="shared" si="192"/>
        <v>10</v>
      </c>
      <c r="EN55" s="270">
        <f t="shared" si="193"/>
        <v>1</v>
      </c>
      <c r="EO55" s="436">
        <f>IF(EM55=0,0,EM$4*$E55/EM55*$DO$2)*2</f>
        <v>0.15000000000000016</v>
      </c>
      <c r="EP55" s="421">
        <f t="shared" si="194"/>
        <v>10</v>
      </c>
      <c r="EQ55" s="270">
        <f t="shared" si="195"/>
        <v>1</v>
      </c>
      <c r="ER55" s="436">
        <f>IF(EP55=0,0,EP$4*$E55/EP55*$DO$2)*2</f>
        <v>0.20000000000000021</v>
      </c>
      <c r="ES55" s="421">
        <f t="shared" si="196"/>
        <v>10</v>
      </c>
      <c r="ET55" s="270">
        <f t="shared" si="197"/>
        <v>1</v>
      </c>
      <c r="EU55" s="436">
        <f>IF(ES55=0,0,ES$4*$E55/ES55*$DO$2)*2</f>
        <v>0.25000000000000028</v>
      </c>
      <c r="EV55" s="421">
        <f t="shared" si="558"/>
        <v>20</v>
      </c>
      <c r="EW55" s="270">
        <f t="shared" si="68"/>
        <v>2</v>
      </c>
      <c r="EX55" s="436">
        <f>IF(EV55=0,0,EV$4*$E55/EV55*$DO$2)*2</f>
        <v>0.25000000000000028</v>
      </c>
      <c r="EY55" s="421">
        <f t="shared" si="558"/>
        <v>40</v>
      </c>
      <c r="EZ55" s="270">
        <f t="shared" si="71"/>
        <v>4</v>
      </c>
      <c r="FA55" s="436">
        <f>IF(EY55=0,0,EY$4*$E55/EY55*$DO$2)*2</f>
        <v>0.25000000000000028</v>
      </c>
      <c r="FB55" s="421">
        <f t="shared" si="558"/>
        <v>60</v>
      </c>
      <c r="FC55" s="270">
        <f t="shared" si="74"/>
        <v>6</v>
      </c>
      <c r="FD55" s="436">
        <f>IF(FB55=0,0,FB$4*$E55/FB55*$DO$2)*2</f>
        <v>0.25000000000000028</v>
      </c>
      <c r="FE55" s="421">
        <f t="shared" si="558"/>
        <v>80</v>
      </c>
      <c r="FF55" s="270">
        <f t="shared" si="77"/>
        <v>8</v>
      </c>
      <c r="FG55" s="436">
        <f>IF(FE55=0,0,FE$4*$E55/FE55*$DO$2)*2</f>
        <v>0.25000000000000028</v>
      </c>
      <c r="FH55" s="421">
        <f t="shared" si="558"/>
        <v>100</v>
      </c>
      <c r="FI55" s="270">
        <f t="shared" si="80"/>
        <v>10</v>
      </c>
      <c r="FJ55" s="436">
        <f>IF(FH55=0,0,FH$4*$E55/FH55*$DO$2)*2</f>
        <v>0.25000000000000028</v>
      </c>
      <c r="FK55" s="421">
        <f t="shared" si="558"/>
        <v>200</v>
      </c>
      <c r="FL55" s="270">
        <f t="shared" si="83"/>
        <v>20</v>
      </c>
      <c r="FM55" s="436">
        <f>IF(FK55=0,0,FK$4*$E55/FK55*$DO$2)*2</f>
        <v>0.25000000000000028</v>
      </c>
      <c r="FN55" s="421">
        <f t="shared" si="558"/>
        <v>400</v>
      </c>
      <c r="FO55" s="270">
        <f t="shared" si="86"/>
        <v>40</v>
      </c>
      <c r="FP55" s="436">
        <f>IF(FN55=0,0,FN$4*$E55/FN55*$DO$2)*2</f>
        <v>0.25000000000000028</v>
      </c>
      <c r="FQ55" s="421">
        <f t="shared" si="558"/>
        <v>600</v>
      </c>
      <c r="FR55" s="270">
        <f t="shared" si="89"/>
        <v>60</v>
      </c>
      <c r="FS55" s="436">
        <f>IF(FQ55=0,0,FQ$4*$E55/FQ55*$DO$2)*2</f>
        <v>0.25000000000000028</v>
      </c>
      <c r="FT55" s="421">
        <f t="shared" si="558"/>
        <v>800</v>
      </c>
      <c r="FU55" s="270">
        <f t="shared" si="92"/>
        <v>80</v>
      </c>
      <c r="FV55" s="436">
        <f>IF(FT55=0,0,FT$4*$E55/FT55*$DO$2)*2</f>
        <v>0.25000000000000028</v>
      </c>
      <c r="FW55" s="421">
        <f t="shared" si="558"/>
        <v>1000</v>
      </c>
      <c r="FX55" s="270">
        <f t="shared" si="95"/>
        <v>100</v>
      </c>
      <c r="FY55" s="436">
        <f>IF(FW55=0,0,FW$4*$E55/FW55*$DO$2)*2</f>
        <v>0.25000000000000028</v>
      </c>
      <c r="GA55" s="431"/>
      <c r="GB55" s="242"/>
      <c r="GF55" s="427"/>
      <c r="GG55" s="421">
        <v>0</v>
      </c>
      <c r="GH55" s="270">
        <v>1</v>
      </c>
      <c r="GI55" s="436">
        <f>IF(GG55=0,0,GG$4*$E55/GG55*$GD$2)*2</f>
        <v>0</v>
      </c>
      <c r="GJ55" s="421">
        <f t="shared" si="98"/>
        <v>0</v>
      </c>
      <c r="GK55" s="270">
        <f t="shared" si="99"/>
        <v>1</v>
      </c>
      <c r="GL55" s="436">
        <f>IF(GJ55=0,0,GJ$4*$E55/GJ55*$GD$2)*2</f>
        <v>0</v>
      </c>
      <c r="GM55" s="421">
        <f t="shared" si="101"/>
        <v>0</v>
      </c>
      <c r="GN55" s="270">
        <f t="shared" si="102"/>
        <v>1</v>
      </c>
      <c r="GO55" s="436">
        <f>IF(GM55=0,0,GM$4*$E55/GM55*$GD$2)*2</f>
        <v>0</v>
      </c>
      <c r="GP55" s="421">
        <f t="shared" si="104"/>
        <v>0</v>
      </c>
      <c r="GQ55" s="270">
        <f t="shared" si="105"/>
        <v>1</v>
      </c>
      <c r="GR55" s="436">
        <f>IF(GP55=0,0,GP$4*$E55/GP55*$GD$2)*2</f>
        <v>0</v>
      </c>
      <c r="GS55" s="421">
        <f t="shared" si="107"/>
        <v>0</v>
      </c>
      <c r="GT55" s="270">
        <f t="shared" si="108"/>
        <v>1</v>
      </c>
      <c r="GU55" s="436">
        <f>IF(GS55=0,0,GS$4*$E55/GS55*$GD$2)*2</f>
        <v>0</v>
      </c>
      <c r="GV55" s="421">
        <f t="shared" si="110"/>
        <v>0</v>
      </c>
      <c r="GW55" s="270">
        <f t="shared" si="111"/>
        <v>1</v>
      </c>
      <c r="GX55" s="436">
        <f>IF(GV55=0,0,GV$4*$E55/GV55*$GD$2)*2</f>
        <v>0</v>
      </c>
      <c r="GY55" s="421">
        <f t="shared" si="113"/>
        <v>0</v>
      </c>
      <c r="GZ55" s="270">
        <f t="shared" si="114"/>
        <v>1</v>
      </c>
      <c r="HA55" s="436">
        <f>IF(GY55=0,0,GY$4*$E55/GY55*$GD$2)*2</f>
        <v>0</v>
      </c>
      <c r="HB55" s="421">
        <f t="shared" si="116"/>
        <v>0</v>
      </c>
      <c r="HC55" s="270">
        <f t="shared" si="117"/>
        <v>1</v>
      </c>
      <c r="HD55" s="436">
        <f>IF(HB55=0,0,HB$4*$E55/HB55*$GD$2)*2</f>
        <v>0</v>
      </c>
      <c r="HE55" s="421">
        <f t="shared" si="119"/>
        <v>0</v>
      </c>
      <c r="HF55" s="270">
        <f t="shared" si="120"/>
        <v>1</v>
      </c>
      <c r="HG55" s="436">
        <f>IF(HE55=0,0,HE$4*$E55/HE55*$GD$2)*2</f>
        <v>0</v>
      </c>
      <c r="HH55" s="421">
        <f t="shared" si="122"/>
        <v>0</v>
      </c>
      <c r="HI55" s="270">
        <f t="shared" si="123"/>
        <v>1</v>
      </c>
      <c r="HJ55" s="436">
        <f>IF(HH55=0,0,HH$4*$E55/HH55*$GD$2)*2</f>
        <v>0</v>
      </c>
      <c r="HK55" s="421">
        <f t="shared" si="125"/>
        <v>0</v>
      </c>
      <c r="HL55" s="270">
        <f t="shared" si="125"/>
        <v>1</v>
      </c>
      <c r="HM55" s="436">
        <f>IF(HK55=0,0,HK$4*$E55/HK55*$GD$2)*2</f>
        <v>0</v>
      </c>
      <c r="HN55" s="421">
        <f t="shared" si="127"/>
        <v>0</v>
      </c>
      <c r="HO55" s="270">
        <f t="shared" si="127"/>
        <v>1</v>
      </c>
      <c r="HP55" s="436">
        <f>IF(HN55=0,0,HN$4*$E55/HN55*$GD$2)*2</f>
        <v>0</v>
      </c>
      <c r="HQ55" s="421">
        <f t="shared" si="129"/>
        <v>0</v>
      </c>
      <c r="HR55" s="270">
        <f t="shared" si="129"/>
        <v>1</v>
      </c>
      <c r="HS55" s="436">
        <f>IF(HQ55=0,0,HQ$4*$E55/HQ55*$GD$2)*2</f>
        <v>0</v>
      </c>
      <c r="HT55" s="421">
        <f t="shared" si="131"/>
        <v>0</v>
      </c>
      <c r="HU55" s="270">
        <f t="shared" si="131"/>
        <v>1</v>
      </c>
      <c r="HV55" s="436">
        <f>IF(HT55=0,0,HT$4*$E55/HT55*$GD$2)*2</f>
        <v>0</v>
      </c>
      <c r="HW55" s="421">
        <f t="shared" si="133"/>
        <v>0</v>
      </c>
      <c r="HX55" s="270">
        <f t="shared" si="133"/>
        <v>1</v>
      </c>
      <c r="HY55" s="436">
        <f>IF(HW55=0,0,HW$4*$E55/HW55*$GD$2)*2</f>
        <v>0</v>
      </c>
      <c r="HZ55" s="421">
        <f t="shared" si="135"/>
        <v>0</v>
      </c>
      <c r="IA55" s="270">
        <f t="shared" si="135"/>
        <v>1</v>
      </c>
      <c r="IB55" s="436">
        <f>IF(HZ55=0,0,HZ$4*$E55/HZ55*$GD$2)*2</f>
        <v>0</v>
      </c>
      <c r="IC55" s="421">
        <f t="shared" si="137"/>
        <v>0</v>
      </c>
      <c r="ID55" s="270">
        <f t="shared" si="137"/>
        <v>1</v>
      </c>
      <c r="IE55" s="436">
        <f>IF(IC55=0,0,IC$4*$E55/IC55*$GD$2)*2</f>
        <v>0</v>
      </c>
      <c r="IF55" s="421">
        <f t="shared" si="139"/>
        <v>0</v>
      </c>
      <c r="IG55" s="270">
        <f t="shared" si="139"/>
        <v>1</v>
      </c>
      <c r="IH55" s="436">
        <f>IF(IF55=0,0,IF$4*$E55/IF55*$GD$2)*2</f>
        <v>0</v>
      </c>
      <c r="II55" s="421">
        <f t="shared" si="141"/>
        <v>0</v>
      </c>
      <c r="IJ55" s="270">
        <f t="shared" si="141"/>
        <v>1</v>
      </c>
      <c r="IK55" s="436">
        <f>IF(II55=0,0,II$4*$E55/II55*$GD$2)*2</f>
        <v>0</v>
      </c>
      <c r="IL55" s="421">
        <f t="shared" si="143"/>
        <v>0</v>
      </c>
      <c r="IM55" s="270">
        <f t="shared" si="143"/>
        <v>1</v>
      </c>
      <c r="IN55" s="436">
        <f>IF(IL55=0,0,IL$4*$E55/IL55*$GD$2)*2</f>
        <v>0</v>
      </c>
      <c r="IS55" s="447">
        <f t="shared" ref="IS55:JB64" si="571">$AC55*IS$4/10000*$E55*IS$3/$JA$1</f>
        <v>0</v>
      </c>
      <c r="IT55" s="447">
        <f t="shared" si="571"/>
        <v>0</v>
      </c>
      <c r="IU55" s="447">
        <f t="shared" si="571"/>
        <v>0</v>
      </c>
      <c r="IV55" s="447">
        <f t="shared" si="571"/>
        <v>0</v>
      </c>
      <c r="IW55" s="447">
        <f t="shared" si="571"/>
        <v>0</v>
      </c>
      <c r="IX55" s="447">
        <f t="shared" si="571"/>
        <v>0</v>
      </c>
      <c r="IY55" s="447">
        <f t="shared" si="571"/>
        <v>0</v>
      </c>
      <c r="IZ55" s="447">
        <f t="shared" si="571"/>
        <v>0</v>
      </c>
      <c r="JA55" s="447">
        <f t="shared" si="571"/>
        <v>0</v>
      </c>
      <c r="JB55" s="447">
        <f t="shared" si="571"/>
        <v>0</v>
      </c>
      <c r="JC55" s="447">
        <f t="shared" ref="JC55:JL64" si="572">$AC55*JC$4/10000*$E55*JC$3/$JA$1</f>
        <v>0</v>
      </c>
      <c r="JD55" s="447">
        <f t="shared" si="572"/>
        <v>0</v>
      </c>
      <c r="JE55" s="447">
        <f t="shared" si="572"/>
        <v>0</v>
      </c>
      <c r="JF55" s="447">
        <f t="shared" si="572"/>
        <v>0</v>
      </c>
      <c r="JG55" s="447">
        <f t="shared" si="572"/>
        <v>0</v>
      </c>
      <c r="JH55" s="447">
        <f t="shared" si="572"/>
        <v>0</v>
      </c>
      <c r="JI55" s="447">
        <f t="shared" si="572"/>
        <v>0</v>
      </c>
      <c r="JJ55" s="447">
        <f t="shared" si="572"/>
        <v>0</v>
      </c>
      <c r="JK55" s="447">
        <f t="shared" si="572"/>
        <v>0</v>
      </c>
      <c r="JL55" s="447">
        <f t="shared" si="572"/>
        <v>0</v>
      </c>
      <c r="JU55" s="242">
        <f t="shared" si="198"/>
        <v>3000000</v>
      </c>
      <c r="JV55" s="242">
        <f t="shared" si="199"/>
        <v>3000000</v>
      </c>
      <c r="JW55" s="242">
        <f t="shared" si="216"/>
        <v>1</v>
      </c>
      <c r="JX55" s="242">
        <f t="shared" si="200"/>
        <v>4000000</v>
      </c>
      <c r="JY55" s="241">
        <f t="shared" si="217"/>
        <v>0</v>
      </c>
      <c r="JZ55" s="241">
        <f t="shared" si="218"/>
        <v>3000000</v>
      </c>
      <c r="KA55" s="241" t="str">
        <f t="shared" si="219"/>
        <v>期望符合预期</v>
      </c>
      <c r="KC55" s="242">
        <f t="shared" si="201"/>
        <v>6000000</v>
      </c>
      <c r="KD55" s="242">
        <f t="shared" si="202"/>
        <v>5000000</v>
      </c>
      <c r="KE55" s="242">
        <f t="shared" si="220"/>
        <v>0.8</v>
      </c>
      <c r="KF55" s="242">
        <f t="shared" si="203"/>
        <v>10000000</v>
      </c>
      <c r="KG55" s="241">
        <f t="shared" si="221"/>
        <v>0.2</v>
      </c>
      <c r="KH55" s="241">
        <f t="shared" si="222"/>
        <v>6000000</v>
      </c>
      <c r="KI55" s="241" t="str">
        <f t="shared" si="223"/>
        <v>期望符合预期</v>
      </c>
      <c r="KK55" s="242">
        <f t="shared" si="204"/>
        <v>9000000</v>
      </c>
      <c r="KL55" s="242">
        <f t="shared" si="205"/>
        <v>5000000</v>
      </c>
      <c r="KM55" s="242">
        <f t="shared" si="224"/>
        <v>0.2</v>
      </c>
      <c r="KN55" s="242">
        <f t="shared" si="206"/>
        <v>10000000</v>
      </c>
      <c r="KO55" s="241">
        <f t="shared" si="225"/>
        <v>0.8</v>
      </c>
      <c r="KP55" s="241">
        <f t="shared" si="226"/>
        <v>9000000</v>
      </c>
      <c r="KQ55" s="241" t="str">
        <f t="shared" si="227"/>
        <v>期望符合预期</v>
      </c>
      <c r="KS55" s="242">
        <f t="shared" si="207"/>
        <v>12000000</v>
      </c>
      <c r="KT55" s="242">
        <f t="shared" si="208"/>
        <v>10000000</v>
      </c>
      <c r="KU55" s="242">
        <f t="shared" si="228"/>
        <v>0.6</v>
      </c>
      <c r="KV55" s="242">
        <f t="shared" si="209"/>
        <v>15000000</v>
      </c>
      <c r="KW55" s="241">
        <f t="shared" si="229"/>
        <v>0.4</v>
      </c>
      <c r="KX55" s="241">
        <f t="shared" si="230"/>
        <v>12000000</v>
      </c>
      <c r="KY55" s="241" t="str">
        <f t="shared" si="231"/>
        <v>期望符合预期</v>
      </c>
      <c r="LA55" s="242">
        <f t="shared" si="210"/>
        <v>15000000</v>
      </c>
      <c r="LB55" s="242">
        <f t="shared" si="211"/>
        <v>15000000</v>
      </c>
      <c r="LC55" s="242">
        <f t="shared" si="232"/>
        <v>1</v>
      </c>
      <c r="LD55" s="242">
        <f t="shared" si="212"/>
        <v>20000000</v>
      </c>
      <c r="LE55" s="241">
        <f t="shared" si="233"/>
        <v>0</v>
      </c>
      <c r="LF55" s="241">
        <f t="shared" si="234"/>
        <v>15000000</v>
      </c>
      <c r="LG55" s="241" t="str">
        <f t="shared" si="235"/>
        <v>期望符合预期</v>
      </c>
    </row>
    <row r="56" spans="1:319" x14ac:dyDescent="0.35">
      <c r="A56" s="63">
        <v>50</v>
      </c>
      <c r="B56" s="242"/>
      <c r="C56" s="259">
        <v>5</v>
      </c>
      <c r="D56" s="63">
        <v>-1</v>
      </c>
      <c r="E56" s="63">
        <v>300</v>
      </c>
      <c r="F56" s="63">
        <f>IF(C56=4,BX56,E56)</f>
        <v>300</v>
      </c>
      <c r="G56" s="63">
        <f t="shared" si="167"/>
        <v>300</v>
      </c>
      <c r="H56" s="63"/>
      <c r="I56" s="265"/>
      <c r="J56" s="63">
        <f t="shared" si="551"/>
        <v>0</v>
      </c>
      <c r="K56" s="63">
        <f t="shared" si="552"/>
        <v>0</v>
      </c>
      <c r="L56" s="63">
        <v>0</v>
      </c>
      <c r="M56" s="63">
        <f>ROUND($BX$7/('全局参数|GlobalPar'!$B$19/10000/BS56),6)*0</f>
        <v>0</v>
      </c>
      <c r="N56" s="267">
        <v>0</v>
      </c>
      <c r="O56" s="268">
        <f>ROUND(IF(N56&lt;&gt;0,$BX$4/('全局参数|GlobalPar'!$B$19/10000/E56)/N56,0),6)</f>
        <v>0</v>
      </c>
      <c r="P56" s="270">
        <f t="shared" si="386"/>
        <v>0</v>
      </c>
      <c r="Q56" s="285">
        <f t="shared" si="535"/>
        <v>0</v>
      </c>
      <c r="R56" s="282">
        <v>12</v>
      </c>
      <c r="S56" s="283">
        <v>1</v>
      </c>
      <c r="T56" s="284" t="str">
        <f t="shared" si="21"/>
        <v>[[0,1],[0,1],[0,1],[0,1],[0,1],[0,1],[0,1],[0,1],[0,1],[0,1],[0,2],[0,4],[0,6],[0,8],[0,10],[0,20],[0,40],[0,60],[0,80],[0,100]]</v>
      </c>
      <c r="U56" s="284">
        <v>1</v>
      </c>
      <c r="V56" s="284">
        <v>1</v>
      </c>
      <c r="W56" s="284" t="str">
        <f t="shared" si="168"/>
        <v>[[0,1],[0,1],[0,1],[0,1],[0,1],[0,1],[0,1],[0,1],[0,1],[0,1],[0,1],[0,1],[0,1],[0,1],[0,1],[0,1],[0,1],[0,1],[0,1],[0,1]]</v>
      </c>
      <c r="X56" s="63">
        <v>0</v>
      </c>
      <c r="Y56" s="268">
        <v>0</v>
      </c>
      <c r="Z56" s="311">
        <f t="shared" si="541"/>
        <v>0</v>
      </c>
      <c r="AA56" s="312">
        <v>0</v>
      </c>
      <c r="AB56" s="313">
        <f t="shared" si="169"/>
        <v>0</v>
      </c>
      <c r="AC56" s="304">
        <v>0</v>
      </c>
      <c r="AD56" s="303">
        <v>0</v>
      </c>
      <c r="AE56" s="303">
        <v>0</v>
      </c>
      <c r="AF56" s="303">
        <v>0</v>
      </c>
      <c r="AG56" s="63" t="str">
        <f t="shared" si="170"/>
        <v>[[6,5],[8,2],[10,2]]</v>
      </c>
      <c r="AH56" s="256" t="str">
        <f t="shared" si="171"/>
        <v>[0,0,0]</v>
      </c>
      <c r="AI56" s="256">
        <v>0</v>
      </c>
      <c r="AJ56" s="256">
        <v>0</v>
      </c>
      <c r="AK56" s="256">
        <f t="shared" si="243"/>
        <v>0</v>
      </c>
      <c r="AL56" s="256">
        <v>0</v>
      </c>
      <c r="AM56" s="256">
        <f t="shared" si="172"/>
        <v>90</v>
      </c>
      <c r="AN56" s="256" t="s">
        <v>2550</v>
      </c>
      <c r="AO56" s="324">
        <v>0</v>
      </c>
      <c r="AP56" s="63">
        <f>IF(C56=4,1,IF(OR(C56=5,C56=6),2,-1))</f>
        <v>2</v>
      </c>
      <c r="AQ56" s="63">
        <v>0</v>
      </c>
      <c r="AR56" s="39">
        <v>2</v>
      </c>
      <c r="AS56" s="39"/>
      <c r="AT56" s="39">
        <v>0</v>
      </c>
      <c r="AU56" s="63">
        <v>1</v>
      </c>
      <c r="AV56" s="63">
        <f t="shared" si="536"/>
        <v>1.4925373134328357</v>
      </c>
      <c r="AW56" s="63">
        <v>1</v>
      </c>
      <c r="AX56" s="63">
        <v>1</v>
      </c>
      <c r="AY56" s="63"/>
      <c r="AZ56" s="39"/>
      <c r="BA56" s="39"/>
      <c r="BB56" s="328">
        <v>1</v>
      </c>
      <c r="BC56" s="39">
        <v>300</v>
      </c>
      <c r="BD56" s="39">
        <v>0.18</v>
      </c>
      <c r="BE56" s="39">
        <v>0.8</v>
      </c>
      <c r="BF56" s="39">
        <v>1</v>
      </c>
      <c r="BG56" s="39" t="s">
        <v>1803</v>
      </c>
      <c r="BH56" s="265"/>
      <c r="BI56" s="265"/>
      <c r="BJ56" s="265"/>
      <c r="BK56" s="265"/>
      <c r="BL56" s="265"/>
      <c r="BM56" s="265"/>
      <c r="BN56" s="81">
        <f t="shared" si="387"/>
        <v>30</v>
      </c>
      <c r="BO56" s="343">
        <f t="shared" si="542"/>
        <v>5</v>
      </c>
      <c r="BP56" s="81" t="s">
        <v>1799</v>
      </c>
      <c r="BQ56" s="81">
        <f t="shared" si="388"/>
        <v>0.746</v>
      </c>
      <c r="BR56" s="81"/>
      <c r="BS56" s="63">
        <f t="shared" si="543"/>
        <v>300</v>
      </c>
      <c r="BT56" s="63">
        <f>IF(P56=0,BS56,BS56*(1+$CA$1))</f>
        <v>300</v>
      </c>
      <c r="BV56" s="63">
        <f t="shared" si="544"/>
        <v>0</v>
      </c>
      <c r="CG56" s="371">
        <f t="shared" si="545"/>
        <v>330</v>
      </c>
      <c r="CH56" s="372">
        <f t="shared" si="214"/>
        <v>0</v>
      </c>
      <c r="CI56" s="373">
        <v>6</v>
      </c>
      <c r="CJ56" s="143">
        <v>5</v>
      </c>
      <c r="CK56" s="373">
        <v>8</v>
      </c>
      <c r="CL56" s="143">
        <v>2</v>
      </c>
      <c r="CM56" s="373">
        <v>10</v>
      </c>
      <c r="CN56" s="143">
        <v>2</v>
      </c>
      <c r="CO56" s="143">
        <f t="shared" si="174"/>
        <v>7.333333333333333</v>
      </c>
      <c r="CP56" s="143">
        <f t="shared" si="550"/>
        <v>7.5</v>
      </c>
      <c r="CQ56" s="377">
        <f t="shared" si="176"/>
        <v>0</v>
      </c>
      <c r="CR56" s="143">
        <f t="shared" si="550"/>
        <v>15</v>
      </c>
      <c r="CS56" s="378">
        <f t="shared" si="177"/>
        <v>0</v>
      </c>
      <c r="CT56" s="143">
        <f t="shared" si="550"/>
        <v>22.5</v>
      </c>
      <c r="CU56" s="392">
        <f t="shared" si="178"/>
        <v>0</v>
      </c>
      <c r="CW56" s="241">
        <v>0</v>
      </c>
      <c r="CX56" s="396">
        <f t="shared" si="215"/>
        <v>0</v>
      </c>
      <c r="CY56" s="270">
        <f t="shared" si="546"/>
        <v>0</v>
      </c>
      <c r="CZ56" s="394">
        <f t="shared" si="547"/>
        <v>0</v>
      </c>
      <c r="DA56" s="394">
        <f t="shared" si="35"/>
        <v>0</v>
      </c>
      <c r="DB56" s="395">
        <f t="shared" si="179"/>
        <v>0</v>
      </c>
      <c r="DC56" s="419">
        <f t="shared" si="548"/>
        <v>0</v>
      </c>
      <c r="DD56" s="394">
        <f t="shared" si="37"/>
        <v>0</v>
      </c>
      <c r="DE56" s="420" t="e">
        <f t="shared" si="549"/>
        <v>#DIV/0!</v>
      </c>
      <c r="DF56" s="421">
        <f t="shared" si="180"/>
        <v>12</v>
      </c>
      <c r="DG56" s="422">
        <f t="shared" si="181"/>
        <v>1</v>
      </c>
      <c r="DH56" s="284"/>
      <c r="DI56" s="282">
        <v>12</v>
      </c>
      <c r="DJ56" s="283">
        <v>1</v>
      </c>
      <c r="DL56" s="431"/>
      <c r="DM56" s="242"/>
      <c r="DQ56" s="427"/>
      <c r="DR56" s="421">
        <v>0</v>
      </c>
      <c r="DS56" s="270">
        <v>1</v>
      </c>
      <c r="DT56" s="427">
        <f t="shared" ref="DT56:DT64" si="573">IF(DR56=0,0,DR$4*$E56/DR56*$DO$2)</f>
        <v>0</v>
      </c>
      <c r="DU56" s="421">
        <f t="shared" si="40"/>
        <v>0</v>
      </c>
      <c r="DV56" s="270">
        <f t="shared" si="182"/>
        <v>1</v>
      </c>
      <c r="DW56" s="427">
        <f t="shared" ref="DW56:DW64" si="574">IF(DU56=0,0,DU$4*$E56/DU56*$DO$2)</f>
        <v>0</v>
      </c>
      <c r="DX56" s="421">
        <f t="shared" si="43"/>
        <v>0</v>
      </c>
      <c r="DY56" s="270">
        <f t="shared" si="183"/>
        <v>1</v>
      </c>
      <c r="DZ56" s="427">
        <f t="shared" ref="DZ56:DZ64" si="575">IF(DX56=0,0,DX$4*$E56/DX56*$DO$2)</f>
        <v>0</v>
      </c>
      <c r="EA56" s="421">
        <f t="shared" si="184"/>
        <v>0</v>
      </c>
      <c r="EB56" s="270">
        <f t="shared" si="185"/>
        <v>1</v>
      </c>
      <c r="EC56" s="427">
        <f t="shared" ref="EC56:EC64" si="576">IF(EA56=0,0,EA$4*$E56/EA56*$DO$2)</f>
        <v>0</v>
      </c>
      <c r="ED56" s="421">
        <f t="shared" si="186"/>
        <v>0</v>
      </c>
      <c r="EE56" s="270">
        <f t="shared" si="187"/>
        <v>1</v>
      </c>
      <c r="EF56" s="427">
        <f t="shared" ref="EF56:EF64" si="577">IF(ED56=0,0,ED$4*$E56/ED56*$DO$2)</f>
        <v>0</v>
      </c>
      <c r="EG56" s="421">
        <f t="shared" si="188"/>
        <v>0</v>
      </c>
      <c r="EH56" s="270">
        <f t="shared" si="189"/>
        <v>1</v>
      </c>
      <c r="EI56" s="427">
        <f t="shared" ref="EI56:EI64" si="578">IF(EG56=0,0,EG$4*$E56/EG56*$DO$2)</f>
        <v>0</v>
      </c>
      <c r="EJ56" s="421">
        <f t="shared" si="190"/>
        <v>0</v>
      </c>
      <c r="EK56" s="270">
        <f t="shared" si="191"/>
        <v>1</v>
      </c>
      <c r="EL56" s="427">
        <f t="shared" ref="EL56:EL64" si="579">IF(EJ56=0,0,EJ$4*$E56/EJ56*$DO$2)</f>
        <v>0</v>
      </c>
      <c r="EM56" s="421">
        <f t="shared" si="192"/>
        <v>0</v>
      </c>
      <c r="EN56" s="270">
        <f t="shared" si="193"/>
        <v>1</v>
      </c>
      <c r="EO56" s="427">
        <f t="shared" ref="EO56:EO64" si="580">IF(EM56=0,0,EM$4*$E56/EM56*$DO$2)</f>
        <v>0</v>
      </c>
      <c r="EP56" s="421">
        <f t="shared" si="194"/>
        <v>0</v>
      </c>
      <c r="EQ56" s="270">
        <f t="shared" si="195"/>
        <v>1</v>
      </c>
      <c r="ER56" s="427">
        <f t="shared" ref="ER56:ER64" si="581">IF(EP56=0,0,EP$4*$E56/EP56*$DO$2)</f>
        <v>0</v>
      </c>
      <c r="ES56" s="421">
        <f t="shared" si="196"/>
        <v>0</v>
      </c>
      <c r="ET56" s="270">
        <f t="shared" si="197"/>
        <v>1</v>
      </c>
      <c r="EU56" s="427">
        <f t="shared" ref="EU56:EU64" si="582">IF(ES56=0,0,ES$4*$E56/ES56*$DO$2)</f>
        <v>0</v>
      </c>
      <c r="EV56" s="421">
        <f t="shared" si="558"/>
        <v>0</v>
      </c>
      <c r="EW56" s="270">
        <f t="shared" si="68"/>
        <v>2</v>
      </c>
      <c r="EX56" s="427">
        <f t="shared" ref="EX56:EX64" si="583">IF(EV56=0,0,EV$4*$E56/EV56*$DO$2)</f>
        <v>0</v>
      </c>
      <c r="EY56" s="421">
        <f t="shared" si="558"/>
        <v>0</v>
      </c>
      <c r="EZ56" s="270">
        <f t="shared" si="71"/>
        <v>4</v>
      </c>
      <c r="FA56" s="427">
        <f t="shared" ref="FA56:FA64" si="584">IF(EY56=0,0,EY$4*$E56/EY56*$DO$2)</f>
        <v>0</v>
      </c>
      <c r="FB56" s="421">
        <f t="shared" si="558"/>
        <v>0</v>
      </c>
      <c r="FC56" s="270">
        <f t="shared" si="74"/>
        <v>6</v>
      </c>
      <c r="FD56" s="427">
        <f t="shared" ref="FD56:FD64" si="585">IF(FB56=0,0,FB$4*$E56/FB56*$DO$2)</f>
        <v>0</v>
      </c>
      <c r="FE56" s="421">
        <f t="shared" si="558"/>
        <v>0</v>
      </c>
      <c r="FF56" s="270">
        <f t="shared" si="77"/>
        <v>8</v>
      </c>
      <c r="FG56" s="427">
        <f t="shared" ref="FG56:FG64" si="586">IF(FE56=0,0,FE$4*$E56/FE56*$DO$2)</f>
        <v>0</v>
      </c>
      <c r="FH56" s="421">
        <f t="shared" si="558"/>
        <v>0</v>
      </c>
      <c r="FI56" s="270">
        <f t="shared" si="80"/>
        <v>10</v>
      </c>
      <c r="FJ56" s="427">
        <f t="shared" ref="FJ56:FJ64" si="587">IF(FH56=0,0,FH$4*$E56/FH56*$DO$2)</f>
        <v>0</v>
      </c>
      <c r="FK56" s="421">
        <f t="shared" si="558"/>
        <v>0</v>
      </c>
      <c r="FL56" s="270">
        <f t="shared" si="83"/>
        <v>20</v>
      </c>
      <c r="FM56" s="427">
        <f t="shared" ref="FM56:FM64" si="588">IF(FK56=0,0,FK$4*$E56/FK56*$DO$2)</f>
        <v>0</v>
      </c>
      <c r="FN56" s="421">
        <f t="shared" si="558"/>
        <v>0</v>
      </c>
      <c r="FO56" s="270">
        <f t="shared" si="86"/>
        <v>40</v>
      </c>
      <c r="FP56" s="427">
        <f t="shared" ref="FP56:FP64" si="589">IF(FN56=0,0,FN$4*$E56/FN56*$DO$2)</f>
        <v>0</v>
      </c>
      <c r="FQ56" s="421">
        <f t="shared" si="558"/>
        <v>0</v>
      </c>
      <c r="FR56" s="270">
        <f t="shared" si="89"/>
        <v>60</v>
      </c>
      <c r="FS56" s="427">
        <f t="shared" ref="FS56:FS64" si="590">IF(FQ56=0,0,FQ$4*$E56/FQ56*$DO$2)</f>
        <v>0</v>
      </c>
      <c r="FT56" s="421">
        <f t="shared" si="558"/>
        <v>0</v>
      </c>
      <c r="FU56" s="270">
        <f t="shared" si="92"/>
        <v>80</v>
      </c>
      <c r="FV56" s="427">
        <f t="shared" ref="FV56:FV64" si="591">IF(FT56=0,0,FT$4*$E56/FT56*$DO$2)</f>
        <v>0</v>
      </c>
      <c r="FW56" s="421">
        <f t="shared" si="558"/>
        <v>0</v>
      </c>
      <c r="FX56" s="270">
        <f t="shared" si="95"/>
        <v>100</v>
      </c>
      <c r="FY56" s="427">
        <f t="shared" ref="FY56:FY64" si="592">IF(FW56=0,0,FW$4*$E56/FW56*$DO$2)</f>
        <v>0</v>
      </c>
      <c r="GA56" s="431"/>
      <c r="GB56" s="242"/>
      <c r="GF56" s="427"/>
      <c r="GG56" s="421">
        <v>0</v>
      </c>
      <c r="GH56" s="270">
        <v>1</v>
      </c>
      <c r="GI56" s="427">
        <f t="shared" ref="GI56:GI64" si="593">IF(GG56=0,0,GG$4*$E56/GG56*$GD$2)</f>
        <v>0</v>
      </c>
      <c r="GJ56" s="421">
        <f t="shared" si="98"/>
        <v>0</v>
      </c>
      <c r="GK56" s="270">
        <f t="shared" si="99"/>
        <v>1</v>
      </c>
      <c r="GL56" s="427">
        <f t="shared" ref="GL56:GL64" si="594">IF(GJ56=0,0,GJ$4*$E56/GJ56*$GD$2)</f>
        <v>0</v>
      </c>
      <c r="GM56" s="421">
        <f t="shared" si="101"/>
        <v>0</v>
      </c>
      <c r="GN56" s="270">
        <f t="shared" si="102"/>
        <v>1</v>
      </c>
      <c r="GO56" s="427">
        <f t="shared" ref="GO56:GO64" si="595">IF(GM56=0,0,GM$4*$E56/GM56*$GD$2)</f>
        <v>0</v>
      </c>
      <c r="GP56" s="421">
        <f t="shared" si="104"/>
        <v>0</v>
      </c>
      <c r="GQ56" s="270">
        <f t="shared" si="105"/>
        <v>1</v>
      </c>
      <c r="GR56" s="427">
        <f t="shared" ref="GR56:GR64" si="596">IF(GP56=0,0,GP$4*$E56/GP56*$GD$2)</f>
        <v>0</v>
      </c>
      <c r="GS56" s="421">
        <f t="shared" si="107"/>
        <v>0</v>
      </c>
      <c r="GT56" s="270">
        <f t="shared" si="108"/>
        <v>1</v>
      </c>
      <c r="GU56" s="427">
        <f t="shared" ref="GU56:GU64" si="597">IF(GS56=0,0,GS$4*$E56/GS56*$GD$2)</f>
        <v>0</v>
      </c>
      <c r="GV56" s="421">
        <f t="shared" si="110"/>
        <v>0</v>
      </c>
      <c r="GW56" s="270">
        <f t="shared" si="111"/>
        <v>1</v>
      </c>
      <c r="GX56" s="427">
        <f t="shared" ref="GX56:GX64" si="598">IF(GV56=0,0,GV$4*$E56/GV56*$GD$2)</f>
        <v>0</v>
      </c>
      <c r="GY56" s="421">
        <f t="shared" si="113"/>
        <v>0</v>
      </c>
      <c r="GZ56" s="270">
        <f t="shared" si="114"/>
        <v>1</v>
      </c>
      <c r="HA56" s="427">
        <f t="shared" ref="HA56:HA64" si="599">IF(GY56=0,0,GY$4*$E56/GY56*$GD$2)</f>
        <v>0</v>
      </c>
      <c r="HB56" s="421">
        <f t="shared" si="116"/>
        <v>0</v>
      </c>
      <c r="HC56" s="270">
        <f t="shared" si="117"/>
        <v>1</v>
      </c>
      <c r="HD56" s="427">
        <f t="shared" ref="HD56:HD64" si="600">IF(HB56=0,0,HB$4*$E56/HB56*$GD$2)</f>
        <v>0</v>
      </c>
      <c r="HE56" s="421">
        <f t="shared" si="119"/>
        <v>0</v>
      </c>
      <c r="HF56" s="270">
        <f t="shared" si="120"/>
        <v>1</v>
      </c>
      <c r="HG56" s="427">
        <f t="shared" ref="HG56:HG64" si="601">IF(HE56=0,0,HE$4*$E56/HE56*$GD$2)</f>
        <v>0</v>
      </c>
      <c r="HH56" s="421">
        <f t="shared" si="122"/>
        <v>0</v>
      </c>
      <c r="HI56" s="270">
        <f t="shared" si="123"/>
        <v>1</v>
      </c>
      <c r="HJ56" s="427">
        <f t="shared" ref="HJ56:HJ64" si="602">IF(HH56=0,0,HH$4*$E56/HH56*$GD$2)</f>
        <v>0</v>
      </c>
      <c r="HK56" s="421">
        <f t="shared" si="125"/>
        <v>0</v>
      </c>
      <c r="HL56" s="270">
        <f t="shared" si="125"/>
        <v>1</v>
      </c>
      <c r="HM56" s="427">
        <f t="shared" ref="HM56:HM64" si="603">IF(HK56=0,0,HK$4*$E56/HK56*$GD$2)</f>
        <v>0</v>
      </c>
      <c r="HN56" s="421">
        <f t="shared" si="127"/>
        <v>0</v>
      </c>
      <c r="HO56" s="270">
        <f t="shared" si="127"/>
        <v>1</v>
      </c>
      <c r="HP56" s="427">
        <f t="shared" ref="HP56:HP64" si="604">IF(HN56=0,0,HN$4*$E56/HN56*$GD$2)</f>
        <v>0</v>
      </c>
      <c r="HQ56" s="421">
        <f t="shared" si="129"/>
        <v>0</v>
      </c>
      <c r="HR56" s="270">
        <f t="shared" si="129"/>
        <v>1</v>
      </c>
      <c r="HS56" s="427">
        <f t="shared" ref="HS56:HS64" si="605">IF(HQ56=0,0,HQ$4*$E56/HQ56*$GD$2)</f>
        <v>0</v>
      </c>
      <c r="HT56" s="421">
        <f t="shared" si="131"/>
        <v>0</v>
      </c>
      <c r="HU56" s="270">
        <f t="shared" si="131"/>
        <v>1</v>
      </c>
      <c r="HV56" s="427">
        <f t="shared" ref="HV56:HV64" si="606">IF(HT56=0,0,HT$4*$E56/HT56*$GD$2)</f>
        <v>0</v>
      </c>
      <c r="HW56" s="421">
        <f t="shared" si="133"/>
        <v>0</v>
      </c>
      <c r="HX56" s="270">
        <f t="shared" si="133"/>
        <v>1</v>
      </c>
      <c r="HY56" s="427">
        <f t="shared" ref="HY56:HY64" si="607">IF(HW56=0,0,HW$4*$E56/HW56*$GD$2)</f>
        <v>0</v>
      </c>
      <c r="HZ56" s="421">
        <f t="shared" si="135"/>
        <v>0</v>
      </c>
      <c r="IA56" s="270">
        <f t="shared" si="135"/>
        <v>1</v>
      </c>
      <c r="IB56" s="427">
        <f t="shared" ref="IB56:IB64" si="608">IF(HZ56=0,0,HZ$4*$E56/HZ56*$GD$2)</f>
        <v>0</v>
      </c>
      <c r="IC56" s="421">
        <f t="shared" si="137"/>
        <v>0</v>
      </c>
      <c r="ID56" s="270">
        <f t="shared" si="137"/>
        <v>1</v>
      </c>
      <c r="IE56" s="427">
        <f t="shared" ref="IE56:IE64" si="609">IF(IC56=0,0,IC$4*$E56/IC56*$GD$2)</f>
        <v>0</v>
      </c>
      <c r="IF56" s="421">
        <f t="shared" si="139"/>
        <v>0</v>
      </c>
      <c r="IG56" s="270">
        <f t="shared" si="139"/>
        <v>1</v>
      </c>
      <c r="IH56" s="427">
        <f t="shared" ref="IH56:IH64" si="610">IF(IF56=0,0,IF$4*$E56/IF56*$GD$2)</f>
        <v>0</v>
      </c>
      <c r="II56" s="421">
        <f t="shared" si="141"/>
        <v>0</v>
      </c>
      <c r="IJ56" s="270">
        <f t="shared" si="141"/>
        <v>1</v>
      </c>
      <c r="IK56" s="427">
        <f t="shared" ref="IK56:IK64" si="611">IF(II56=0,0,II$4*$E56/II56*$GD$2)</f>
        <v>0</v>
      </c>
      <c r="IL56" s="421">
        <f t="shared" si="143"/>
        <v>0</v>
      </c>
      <c r="IM56" s="270">
        <f t="shared" si="143"/>
        <v>1</v>
      </c>
      <c r="IN56" s="427">
        <f t="shared" ref="IN56:IN64" si="612">IF(IL56=0,0,IL$4*$E56/IL56*$GD$2)</f>
        <v>0</v>
      </c>
      <c r="IS56" s="447">
        <f t="shared" si="571"/>
        <v>0</v>
      </c>
      <c r="IT56" s="447">
        <f t="shared" si="571"/>
        <v>0</v>
      </c>
      <c r="IU56" s="447">
        <f t="shared" si="571"/>
        <v>0</v>
      </c>
      <c r="IV56" s="447">
        <f t="shared" si="571"/>
        <v>0</v>
      </c>
      <c r="IW56" s="447">
        <f t="shared" si="571"/>
        <v>0</v>
      </c>
      <c r="IX56" s="447">
        <f t="shared" si="571"/>
        <v>0</v>
      </c>
      <c r="IY56" s="447">
        <f t="shared" si="571"/>
        <v>0</v>
      </c>
      <c r="IZ56" s="447">
        <f t="shared" si="571"/>
        <v>0</v>
      </c>
      <c r="JA56" s="447">
        <f t="shared" si="571"/>
        <v>0</v>
      </c>
      <c r="JB56" s="447">
        <f t="shared" si="571"/>
        <v>0</v>
      </c>
      <c r="JC56" s="447">
        <f t="shared" si="572"/>
        <v>0</v>
      </c>
      <c r="JD56" s="447">
        <f t="shared" si="572"/>
        <v>0</v>
      </c>
      <c r="JE56" s="447">
        <f t="shared" si="572"/>
        <v>0</v>
      </c>
      <c r="JF56" s="447">
        <f t="shared" si="572"/>
        <v>0</v>
      </c>
      <c r="JG56" s="447">
        <f t="shared" si="572"/>
        <v>0</v>
      </c>
      <c r="JH56" s="447">
        <f t="shared" si="572"/>
        <v>0</v>
      </c>
      <c r="JI56" s="447">
        <f t="shared" si="572"/>
        <v>0</v>
      </c>
      <c r="JJ56" s="447">
        <f t="shared" si="572"/>
        <v>0</v>
      </c>
      <c r="JK56" s="447">
        <f t="shared" si="572"/>
        <v>0</v>
      </c>
      <c r="JL56" s="447">
        <f t="shared" si="572"/>
        <v>0</v>
      </c>
      <c r="JU56" s="242">
        <f t="shared" si="198"/>
        <v>6000000</v>
      </c>
      <c r="JV56" s="242">
        <f t="shared" si="199"/>
        <v>5000000</v>
      </c>
      <c r="JW56" s="242">
        <f t="shared" si="216"/>
        <v>0.8</v>
      </c>
      <c r="JX56" s="242">
        <f t="shared" si="200"/>
        <v>10000000</v>
      </c>
      <c r="JY56" s="241">
        <f t="shared" si="217"/>
        <v>0.2</v>
      </c>
      <c r="JZ56" s="241">
        <f t="shared" si="218"/>
        <v>6000000</v>
      </c>
      <c r="KA56" s="241" t="str">
        <f t="shared" si="219"/>
        <v>期望符合预期</v>
      </c>
      <c r="KC56" s="242">
        <f t="shared" si="201"/>
        <v>12000000</v>
      </c>
      <c r="KD56" s="242">
        <f t="shared" si="202"/>
        <v>10000000</v>
      </c>
      <c r="KE56" s="242">
        <f t="shared" si="220"/>
        <v>0.6</v>
      </c>
      <c r="KF56" s="242">
        <f t="shared" si="203"/>
        <v>15000000</v>
      </c>
      <c r="KG56" s="241">
        <f t="shared" si="221"/>
        <v>0.4</v>
      </c>
      <c r="KH56" s="241">
        <f t="shared" si="222"/>
        <v>12000000</v>
      </c>
      <c r="KI56" s="241" t="str">
        <f t="shared" si="223"/>
        <v>期望符合预期</v>
      </c>
      <c r="KK56" s="242">
        <f t="shared" si="204"/>
        <v>18000000</v>
      </c>
      <c r="KL56" s="242">
        <f t="shared" si="205"/>
        <v>15000000</v>
      </c>
      <c r="KM56" s="242">
        <f t="shared" si="224"/>
        <v>0.4</v>
      </c>
      <c r="KN56" s="242">
        <f t="shared" si="206"/>
        <v>20000000</v>
      </c>
      <c r="KO56" s="241">
        <f t="shared" si="225"/>
        <v>0.6</v>
      </c>
      <c r="KP56" s="241">
        <f t="shared" si="226"/>
        <v>18000000</v>
      </c>
      <c r="KQ56" s="241" t="str">
        <f t="shared" si="227"/>
        <v>期望符合预期</v>
      </c>
      <c r="KS56" s="242">
        <f t="shared" si="207"/>
        <v>24000000</v>
      </c>
      <c r="KT56" s="242">
        <f t="shared" si="208"/>
        <v>20000000</v>
      </c>
      <c r="KU56" s="242">
        <f t="shared" si="228"/>
        <v>0.6</v>
      </c>
      <c r="KV56" s="242">
        <f t="shared" si="209"/>
        <v>30000000</v>
      </c>
      <c r="KW56" s="241">
        <f t="shared" si="229"/>
        <v>0.4</v>
      </c>
      <c r="KX56" s="241">
        <f t="shared" si="230"/>
        <v>24000000</v>
      </c>
      <c r="KY56" s="241" t="str">
        <f t="shared" si="231"/>
        <v>期望符合预期</v>
      </c>
      <c r="LA56" s="242">
        <f t="shared" si="210"/>
        <v>30000000</v>
      </c>
      <c r="LB56" s="242">
        <f t="shared" si="211"/>
        <v>30000000</v>
      </c>
      <c r="LC56" s="242">
        <f t="shared" si="232"/>
        <v>1</v>
      </c>
      <c r="LD56" s="242">
        <f t="shared" si="212"/>
        <v>40000000</v>
      </c>
      <c r="LE56" s="241">
        <f t="shared" si="233"/>
        <v>0</v>
      </c>
      <c r="LF56" s="241">
        <f t="shared" si="234"/>
        <v>30000000</v>
      </c>
      <c r="LG56" s="241" t="str">
        <f t="shared" si="235"/>
        <v>期望符合预期</v>
      </c>
    </row>
    <row r="57" spans="1:319" x14ac:dyDescent="0.35">
      <c r="A57" s="63">
        <v>51</v>
      </c>
      <c r="B57" s="242"/>
      <c r="C57" s="259">
        <v>5</v>
      </c>
      <c r="D57" s="63">
        <v>-1</v>
      </c>
      <c r="E57" s="63">
        <v>300</v>
      </c>
      <c r="F57" s="63">
        <f>IF(C57=4,BX57,E57)</f>
        <v>300</v>
      </c>
      <c r="G57" s="63">
        <f t="shared" si="167"/>
        <v>300</v>
      </c>
      <c r="H57" s="63"/>
      <c r="I57" s="265"/>
      <c r="J57" s="63">
        <f t="shared" si="551"/>
        <v>0</v>
      </c>
      <c r="K57" s="63">
        <f t="shared" si="552"/>
        <v>0</v>
      </c>
      <c r="L57" s="63">
        <v>0</v>
      </c>
      <c r="M57" s="63">
        <f>ROUND($BX$7/('全局参数|GlobalPar'!$B$19/10000/BS57),6)*0</f>
        <v>0</v>
      </c>
      <c r="N57" s="267">
        <v>0</v>
      </c>
      <c r="O57" s="268">
        <f>ROUND(IF(N57&lt;&gt;0,$BX$4/('全局参数|GlobalPar'!$B$19/10000/E57)/N57,0),6)</f>
        <v>0</v>
      </c>
      <c r="P57" s="270">
        <f t="shared" si="386"/>
        <v>0</v>
      </c>
      <c r="Q57" s="285">
        <f t="shared" si="535"/>
        <v>0</v>
      </c>
      <c r="R57" s="282">
        <v>12</v>
      </c>
      <c r="S57" s="283">
        <v>1</v>
      </c>
      <c r="T57" s="284" t="str">
        <f t="shared" si="21"/>
        <v>[[0,1],[0,1],[0,1],[0,1],[0,1],[0,1],[0,1],[0,1],[0,1],[0,1],[0,2],[0,4],[0,6],[0,8],[0,10],[0,20],[0,40],[0,60],[0,80],[0,100]]</v>
      </c>
      <c r="U57" s="284">
        <v>1</v>
      </c>
      <c r="V57" s="284">
        <v>1</v>
      </c>
      <c r="W57" s="284" t="str">
        <f t="shared" si="168"/>
        <v>[[0,1],[0,1],[0,1],[0,1],[0,1],[0,1],[0,1],[0,1],[0,1],[0,1],[0,1],[0,1],[0,1],[0,1],[0,1],[0,1],[0,1],[0,1],[0,1],[0,1]]</v>
      </c>
      <c r="X57" s="63">
        <v>0</v>
      </c>
      <c r="Y57" s="268">
        <v>0</v>
      </c>
      <c r="Z57" s="311">
        <f t="shared" si="541"/>
        <v>0</v>
      </c>
      <c r="AA57" s="312">
        <v>0</v>
      </c>
      <c r="AB57" s="313">
        <f t="shared" si="169"/>
        <v>0</v>
      </c>
      <c r="AC57" s="304">
        <v>0</v>
      </c>
      <c r="AD57" s="303">
        <v>0</v>
      </c>
      <c r="AE57" s="303">
        <v>0</v>
      </c>
      <c r="AF57" s="303">
        <v>0</v>
      </c>
      <c r="AG57" s="63" t="str">
        <f t="shared" si="170"/>
        <v>[[6,5],[8,2],[10,2]]</v>
      </c>
      <c r="AH57" s="256" t="str">
        <f t="shared" si="171"/>
        <v>[0,0,0]</v>
      </c>
      <c r="AI57" s="256">
        <v>0</v>
      </c>
      <c r="AJ57" s="256">
        <v>0</v>
      </c>
      <c r="AK57" s="256">
        <f t="shared" si="243"/>
        <v>0</v>
      </c>
      <c r="AL57" s="256">
        <v>0</v>
      </c>
      <c r="AM57" s="256">
        <f t="shared" si="172"/>
        <v>90</v>
      </c>
      <c r="AN57" s="256" t="s">
        <v>2550</v>
      </c>
      <c r="AO57" s="324">
        <v>0</v>
      </c>
      <c r="AP57" s="63">
        <f>IF(C57=4,1,IF(OR(C57=5,C57=6),2,-1))</f>
        <v>2</v>
      </c>
      <c r="AQ57" s="63">
        <v>0</v>
      </c>
      <c r="AR57" s="39"/>
      <c r="AS57" s="39"/>
      <c r="AT57" s="39">
        <v>0</v>
      </c>
      <c r="AU57" s="63">
        <v>1</v>
      </c>
      <c r="AV57" s="63">
        <f t="shared" si="536"/>
        <v>1.4925373134328357</v>
      </c>
      <c r="AW57" s="63">
        <v>1</v>
      </c>
      <c r="AX57" s="63">
        <v>1</v>
      </c>
      <c r="AY57" s="63"/>
      <c r="AZ57" s="39"/>
      <c r="BA57" s="39"/>
      <c r="BB57" s="328">
        <v>1</v>
      </c>
      <c r="BC57" s="39">
        <v>300</v>
      </c>
      <c r="BD57" s="39">
        <v>0.18</v>
      </c>
      <c r="BE57" s="39">
        <v>0.8</v>
      </c>
      <c r="BF57" s="39">
        <v>1</v>
      </c>
      <c r="BG57" s="39" t="s">
        <v>1803</v>
      </c>
      <c r="BH57" s="265"/>
      <c r="BI57" s="265"/>
      <c r="BJ57" s="265"/>
      <c r="BK57" s="265"/>
      <c r="BL57" s="265"/>
      <c r="BM57" s="265"/>
      <c r="BN57" s="81">
        <f t="shared" si="387"/>
        <v>30</v>
      </c>
      <c r="BO57" s="343">
        <f t="shared" si="542"/>
        <v>5</v>
      </c>
      <c r="BP57" s="81"/>
      <c r="BQ57" s="81">
        <f t="shared" si="388"/>
        <v>0.746</v>
      </c>
      <c r="BR57" s="81"/>
      <c r="BS57" s="63">
        <f t="shared" si="543"/>
        <v>300</v>
      </c>
      <c r="BT57" s="63">
        <f>IF(P57=0,BS57,BS57*(1+$CA$1))</f>
        <v>300</v>
      </c>
      <c r="BV57" s="63">
        <f t="shared" si="544"/>
        <v>0</v>
      </c>
      <c r="CG57" s="371">
        <f t="shared" si="545"/>
        <v>330</v>
      </c>
      <c r="CH57" s="372">
        <f t="shared" si="214"/>
        <v>0</v>
      </c>
      <c r="CI57" s="373">
        <v>6</v>
      </c>
      <c r="CJ57" s="143">
        <v>5</v>
      </c>
      <c r="CK57" s="373">
        <v>8</v>
      </c>
      <c r="CL57" s="143">
        <v>2</v>
      </c>
      <c r="CM57" s="373">
        <v>10</v>
      </c>
      <c r="CN57" s="143">
        <v>2</v>
      </c>
      <c r="CO57" s="143">
        <f t="shared" si="174"/>
        <v>7.333333333333333</v>
      </c>
      <c r="CP57" s="143">
        <f t="shared" si="550"/>
        <v>7.5</v>
      </c>
      <c r="CQ57" s="377">
        <f t="shared" si="176"/>
        <v>0</v>
      </c>
      <c r="CR57" s="143">
        <f t="shared" si="550"/>
        <v>15</v>
      </c>
      <c r="CS57" s="378">
        <f t="shared" si="177"/>
        <v>0</v>
      </c>
      <c r="CT57" s="143">
        <f t="shared" si="550"/>
        <v>22.5</v>
      </c>
      <c r="CU57" s="392">
        <f t="shared" si="178"/>
        <v>0</v>
      </c>
      <c r="CW57" s="241">
        <v>0</v>
      </c>
      <c r="CX57" s="396">
        <f t="shared" si="215"/>
        <v>0</v>
      </c>
      <c r="CY57" s="270">
        <f t="shared" si="546"/>
        <v>0</v>
      </c>
      <c r="CZ57" s="394">
        <f t="shared" si="547"/>
        <v>0</v>
      </c>
      <c r="DA57" s="394">
        <f t="shared" si="35"/>
        <v>0</v>
      </c>
      <c r="DB57" s="395">
        <f t="shared" si="179"/>
        <v>0</v>
      </c>
      <c r="DC57" s="419">
        <f t="shared" si="548"/>
        <v>0</v>
      </c>
      <c r="DD57" s="394">
        <f t="shared" si="37"/>
        <v>0</v>
      </c>
      <c r="DE57" s="420" t="e">
        <f t="shared" si="549"/>
        <v>#DIV/0!</v>
      </c>
      <c r="DF57" s="421">
        <f t="shared" si="180"/>
        <v>12</v>
      </c>
      <c r="DG57" s="422">
        <f t="shared" si="181"/>
        <v>1</v>
      </c>
      <c r="DH57" s="284"/>
      <c r="DI57" s="282">
        <v>12</v>
      </c>
      <c r="DJ57" s="283">
        <v>1</v>
      </c>
      <c r="DL57" s="431"/>
      <c r="DM57" s="242"/>
      <c r="DQ57" s="427"/>
      <c r="DR57" s="421">
        <v>0</v>
      </c>
      <c r="DS57" s="270">
        <v>1</v>
      </c>
      <c r="DT57" s="427">
        <f t="shared" si="573"/>
        <v>0</v>
      </c>
      <c r="DU57" s="421">
        <f t="shared" si="40"/>
        <v>0</v>
      </c>
      <c r="DV57" s="270">
        <f t="shared" si="182"/>
        <v>1</v>
      </c>
      <c r="DW57" s="427">
        <f t="shared" si="574"/>
        <v>0</v>
      </c>
      <c r="DX57" s="421">
        <f t="shared" si="43"/>
        <v>0</v>
      </c>
      <c r="DY57" s="270">
        <f t="shared" si="183"/>
        <v>1</v>
      </c>
      <c r="DZ57" s="427">
        <f t="shared" si="575"/>
        <v>0</v>
      </c>
      <c r="EA57" s="421">
        <f t="shared" si="184"/>
        <v>0</v>
      </c>
      <c r="EB57" s="270">
        <f t="shared" si="185"/>
        <v>1</v>
      </c>
      <c r="EC57" s="427">
        <f t="shared" si="576"/>
        <v>0</v>
      </c>
      <c r="ED57" s="421">
        <f t="shared" si="186"/>
        <v>0</v>
      </c>
      <c r="EE57" s="270">
        <f t="shared" si="187"/>
        <v>1</v>
      </c>
      <c r="EF57" s="427">
        <f t="shared" si="577"/>
        <v>0</v>
      </c>
      <c r="EG57" s="421">
        <f t="shared" si="188"/>
        <v>0</v>
      </c>
      <c r="EH57" s="270">
        <f t="shared" si="189"/>
        <v>1</v>
      </c>
      <c r="EI57" s="427">
        <f t="shared" si="578"/>
        <v>0</v>
      </c>
      <c r="EJ57" s="421">
        <f t="shared" si="190"/>
        <v>0</v>
      </c>
      <c r="EK57" s="270">
        <f t="shared" si="191"/>
        <v>1</v>
      </c>
      <c r="EL57" s="427">
        <f t="shared" si="579"/>
        <v>0</v>
      </c>
      <c r="EM57" s="421">
        <f t="shared" si="192"/>
        <v>0</v>
      </c>
      <c r="EN57" s="270">
        <f t="shared" si="193"/>
        <v>1</v>
      </c>
      <c r="EO57" s="427">
        <f t="shared" si="580"/>
        <v>0</v>
      </c>
      <c r="EP57" s="421">
        <f t="shared" si="194"/>
        <v>0</v>
      </c>
      <c r="EQ57" s="270">
        <f t="shared" si="195"/>
        <v>1</v>
      </c>
      <c r="ER57" s="427">
        <f t="shared" si="581"/>
        <v>0</v>
      </c>
      <c r="ES57" s="421">
        <f t="shared" si="196"/>
        <v>0</v>
      </c>
      <c r="ET57" s="270">
        <f t="shared" si="197"/>
        <v>1</v>
      </c>
      <c r="EU57" s="427">
        <f t="shared" si="582"/>
        <v>0</v>
      </c>
      <c r="EV57" s="421">
        <f t="shared" si="558"/>
        <v>0</v>
      </c>
      <c r="EW57" s="270">
        <f t="shared" si="68"/>
        <v>2</v>
      </c>
      <c r="EX57" s="427">
        <f t="shared" si="583"/>
        <v>0</v>
      </c>
      <c r="EY57" s="421">
        <f t="shared" si="558"/>
        <v>0</v>
      </c>
      <c r="EZ57" s="270">
        <f t="shared" si="71"/>
        <v>4</v>
      </c>
      <c r="FA57" s="427">
        <f t="shared" si="584"/>
        <v>0</v>
      </c>
      <c r="FB57" s="421">
        <f t="shared" si="558"/>
        <v>0</v>
      </c>
      <c r="FC57" s="270">
        <f t="shared" si="74"/>
        <v>6</v>
      </c>
      <c r="FD57" s="427">
        <f t="shared" si="585"/>
        <v>0</v>
      </c>
      <c r="FE57" s="421">
        <f t="shared" si="558"/>
        <v>0</v>
      </c>
      <c r="FF57" s="270">
        <f t="shared" si="77"/>
        <v>8</v>
      </c>
      <c r="FG57" s="427">
        <f t="shared" si="586"/>
        <v>0</v>
      </c>
      <c r="FH57" s="421">
        <f t="shared" si="558"/>
        <v>0</v>
      </c>
      <c r="FI57" s="270">
        <f t="shared" si="80"/>
        <v>10</v>
      </c>
      <c r="FJ57" s="427">
        <f t="shared" si="587"/>
        <v>0</v>
      </c>
      <c r="FK57" s="421">
        <f t="shared" si="558"/>
        <v>0</v>
      </c>
      <c r="FL57" s="270">
        <f t="shared" si="83"/>
        <v>20</v>
      </c>
      <c r="FM57" s="427">
        <f t="shared" si="588"/>
        <v>0</v>
      </c>
      <c r="FN57" s="421">
        <f t="shared" si="558"/>
        <v>0</v>
      </c>
      <c r="FO57" s="270">
        <f t="shared" si="86"/>
        <v>40</v>
      </c>
      <c r="FP57" s="427">
        <f t="shared" si="589"/>
        <v>0</v>
      </c>
      <c r="FQ57" s="421">
        <f t="shared" si="558"/>
        <v>0</v>
      </c>
      <c r="FR57" s="270">
        <f t="shared" si="89"/>
        <v>60</v>
      </c>
      <c r="FS57" s="427">
        <f t="shared" si="590"/>
        <v>0</v>
      </c>
      <c r="FT57" s="421">
        <f t="shared" si="558"/>
        <v>0</v>
      </c>
      <c r="FU57" s="270">
        <f t="shared" si="92"/>
        <v>80</v>
      </c>
      <c r="FV57" s="427">
        <f t="shared" si="591"/>
        <v>0</v>
      </c>
      <c r="FW57" s="421">
        <f t="shared" si="558"/>
        <v>0</v>
      </c>
      <c r="FX57" s="270">
        <f t="shared" si="95"/>
        <v>100</v>
      </c>
      <c r="FY57" s="427">
        <f t="shared" si="592"/>
        <v>0</v>
      </c>
      <c r="GA57" s="431"/>
      <c r="GB57" s="242"/>
      <c r="GF57" s="427"/>
      <c r="GG57" s="421">
        <v>0</v>
      </c>
      <c r="GH57" s="270">
        <v>1</v>
      </c>
      <c r="GI57" s="427">
        <f t="shared" si="593"/>
        <v>0</v>
      </c>
      <c r="GJ57" s="421">
        <f t="shared" si="98"/>
        <v>0</v>
      </c>
      <c r="GK57" s="270">
        <f t="shared" si="99"/>
        <v>1</v>
      </c>
      <c r="GL57" s="427">
        <f t="shared" si="594"/>
        <v>0</v>
      </c>
      <c r="GM57" s="421">
        <f t="shared" si="101"/>
        <v>0</v>
      </c>
      <c r="GN57" s="270">
        <f t="shared" si="102"/>
        <v>1</v>
      </c>
      <c r="GO57" s="427">
        <f t="shared" si="595"/>
        <v>0</v>
      </c>
      <c r="GP57" s="421">
        <f t="shared" si="104"/>
        <v>0</v>
      </c>
      <c r="GQ57" s="270">
        <f t="shared" si="105"/>
        <v>1</v>
      </c>
      <c r="GR57" s="427">
        <f t="shared" si="596"/>
        <v>0</v>
      </c>
      <c r="GS57" s="421">
        <f t="shared" si="107"/>
        <v>0</v>
      </c>
      <c r="GT57" s="270">
        <f t="shared" si="108"/>
        <v>1</v>
      </c>
      <c r="GU57" s="427">
        <f t="shared" si="597"/>
        <v>0</v>
      </c>
      <c r="GV57" s="421">
        <f t="shared" si="110"/>
        <v>0</v>
      </c>
      <c r="GW57" s="270">
        <f t="shared" si="111"/>
        <v>1</v>
      </c>
      <c r="GX57" s="427">
        <f t="shared" si="598"/>
        <v>0</v>
      </c>
      <c r="GY57" s="421">
        <f t="shared" si="113"/>
        <v>0</v>
      </c>
      <c r="GZ57" s="270">
        <f t="shared" si="114"/>
        <v>1</v>
      </c>
      <c r="HA57" s="427">
        <f t="shared" si="599"/>
        <v>0</v>
      </c>
      <c r="HB57" s="421">
        <f t="shared" si="116"/>
        <v>0</v>
      </c>
      <c r="HC57" s="270">
        <f t="shared" si="117"/>
        <v>1</v>
      </c>
      <c r="HD57" s="427">
        <f t="shared" si="600"/>
        <v>0</v>
      </c>
      <c r="HE57" s="421">
        <f t="shared" si="119"/>
        <v>0</v>
      </c>
      <c r="HF57" s="270">
        <f t="shared" si="120"/>
        <v>1</v>
      </c>
      <c r="HG57" s="427">
        <f t="shared" si="601"/>
        <v>0</v>
      </c>
      <c r="HH57" s="421">
        <f t="shared" si="122"/>
        <v>0</v>
      </c>
      <c r="HI57" s="270">
        <f t="shared" si="123"/>
        <v>1</v>
      </c>
      <c r="HJ57" s="427">
        <f t="shared" si="602"/>
        <v>0</v>
      </c>
      <c r="HK57" s="421">
        <f t="shared" si="125"/>
        <v>0</v>
      </c>
      <c r="HL57" s="270">
        <f t="shared" si="125"/>
        <v>1</v>
      </c>
      <c r="HM57" s="427">
        <f t="shared" si="603"/>
        <v>0</v>
      </c>
      <c r="HN57" s="421">
        <f t="shared" si="127"/>
        <v>0</v>
      </c>
      <c r="HO57" s="270">
        <f t="shared" si="127"/>
        <v>1</v>
      </c>
      <c r="HP57" s="427">
        <f t="shared" si="604"/>
        <v>0</v>
      </c>
      <c r="HQ57" s="421">
        <f t="shared" si="129"/>
        <v>0</v>
      </c>
      <c r="HR57" s="270">
        <f t="shared" si="129"/>
        <v>1</v>
      </c>
      <c r="HS57" s="427">
        <f t="shared" si="605"/>
        <v>0</v>
      </c>
      <c r="HT57" s="421">
        <f t="shared" si="131"/>
        <v>0</v>
      </c>
      <c r="HU57" s="270">
        <f t="shared" si="131"/>
        <v>1</v>
      </c>
      <c r="HV57" s="427">
        <f t="shared" si="606"/>
        <v>0</v>
      </c>
      <c r="HW57" s="421">
        <f t="shared" si="133"/>
        <v>0</v>
      </c>
      <c r="HX57" s="270">
        <f t="shared" si="133"/>
        <v>1</v>
      </c>
      <c r="HY57" s="427">
        <f t="shared" si="607"/>
        <v>0</v>
      </c>
      <c r="HZ57" s="421">
        <f t="shared" si="135"/>
        <v>0</v>
      </c>
      <c r="IA57" s="270">
        <f t="shared" si="135"/>
        <v>1</v>
      </c>
      <c r="IB57" s="427">
        <f t="shared" si="608"/>
        <v>0</v>
      </c>
      <c r="IC57" s="421">
        <f t="shared" si="137"/>
        <v>0</v>
      </c>
      <c r="ID57" s="270">
        <f t="shared" si="137"/>
        <v>1</v>
      </c>
      <c r="IE57" s="427">
        <f t="shared" si="609"/>
        <v>0</v>
      </c>
      <c r="IF57" s="421">
        <f t="shared" si="139"/>
        <v>0</v>
      </c>
      <c r="IG57" s="270">
        <f t="shared" si="139"/>
        <v>1</v>
      </c>
      <c r="IH57" s="427">
        <f t="shared" si="610"/>
        <v>0</v>
      </c>
      <c r="II57" s="421">
        <f t="shared" si="141"/>
        <v>0</v>
      </c>
      <c r="IJ57" s="270">
        <f t="shared" si="141"/>
        <v>1</v>
      </c>
      <c r="IK57" s="427">
        <f t="shared" si="611"/>
        <v>0</v>
      </c>
      <c r="IL57" s="421">
        <f t="shared" si="143"/>
        <v>0</v>
      </c>
      <c r="IM57" s="270">
        <f t="shared" si="143"/>
        <v>1</v>
      </c>
      <c r="IN57" s="427">
        <f t="shared" si="612"/>
        <v>0</v>
      </c>
      <c r="IS57" s="447">
        <f t="shared" si="571"/>
        <v>0</v>
      </c>
      <c r="IT57" s="447">
        <f t="shared" si="571"/>
        <v>0</v>
      </c>
      <c r="IU57" s="447">
        <f t="shared" si="571"/>
        <v>0</v>
      </c>
      <c r="IV57" s="447">
        <f t="shared" si="571"/>
        <v>0</v>
      </c>
      <c r="IW57" s="447">
        <f t="shared" si="571"/>
        <v>0</v>
      </c>
      <c r="IX57" s="447">
        <f t="shared" si="571"/>
        <v>0</v>
      </c>
      <c r="IY57" s="447">
        <f t="shared" si="571"/>
        <v>0</v>
      </c>
      <c r="IZ57" s="447">
        <f t="shared" si="571"/>
        <v>0</v>
      </c>
      <c r="JA57" s="447">
        <f t="shared" si="571"/>
        <v>0</v>
      </c>
      <c r="JB57" s="447">
        <f t="shared" si="571"/>
        <v>0</v>
      </c>
      <c r="JC57" s="447">
        <f t="shared" si="572"/>
        <v>0</v>
      </c>
      <c r="JD57" s="447">
        <f t="shared" si="572"/>
        <v>0</v>
      </c>
      <c r="JE57" s="447">
        <f t="shared" si="572"/>
        <v>0</v>
      </c>
      <c r="JF57" s="447">
        <f t="shared" si="572"/>
        <v>0</v>
      </c>
      <c r="JG57" s="447">
        <f t="shared" si="572"/>
        <v>0</v>
      </c>
      <c r="JH57" s="447">
        <f t="shared" si="572"/>
        <v>0</v>
      </c>
      <c r="JI57" s="447">
        <f t="shared" si="572"/>
        <v>0</v>
      </c>
      <c r="JJ57" s="447">
        <f t="shared" si="572"/>
        <v>0</v>
      </c>
      <c r="JK57" s="447">
        <f t="shared" si="572"/>
        <v>0</v>
      </c>
      <c r="JL57" s="447">
        <f t="shared" si="572"/>
        <v>0</v>
      </c>
      <c r="JU57" s="242">
        <f t="shared" si="198"/>
        <v>6000000</v>
      </c>
      <c r="JV57" s="242">
        <f t="shared" si="199"/>
        <v>5000000</v>
      </c>
      <c r="JW57" s="242">
        <f t="shared" si="216"/>
        <v>0.8</v>
      </c>
      <c r="JX57" s="242">
        <f t="shared" si="200"/>
        <v>10000000</v>
      </c>
      <c r="JY57" s="241">
        <f t="shared" si="217"/>
        <v>0.2</v>
      </c>
      <c r="JZ57" s="241">
        <f t="shared" si="218"/>
        <v>6000000</v>
      </c>
      <c r="KA57" s="241" t="str">
        <f t="shared" si="219"/>
        <v>期望符合预期</v>
      </c>
      <c r="KC57" s="242">
        <f t="shared" si="201"/>
        <v>12000000</v>
      </c>
      <c r="KD57" s="242">
        <f t="shared" si="202"/>
        <v>10000000</v>
      </c>
      <c r="KE57" s="242">
        <f t="shared" si="220"/>
        <v>0.6</v>
      </c>
      <c r="KF57" s="242">
        <f t="shared" si="203"/>
        <v>15000000</v>
      </c>
      <c r="KG57" s="241">
        <f t="shared" si="221"/>
        <v>0.4</v>
      </c>
      <c r="KH57" s="241">
        <f t="shared" si="222"/>
        <v>12000000</v>
      </c>
      <c r="KI57" s="241" t="str">
        <f t="shared" si="223"/>
        <v>期望符合预期</v>
      </c>
      <c r="KK57" s="242">
        <f t="shared" si="204"/>
        <v>18000000</v>
      </c>
      <c r="KL57" s="242">
        <f t="shared" si="205"/>
        <v>15000000</v>
      </c>
      <c r="KM57" s="242">
        <f t="shared" si="224"/>
        <v>0.4</v>
      </c>
      <c r="KN57" s="242">
        <f t="shared" si="206"/>
        <v>20000000</v>
      </c>
      <c r="KO57" s="241">
        <f t="shared" si="225"/>
        <v>0.6</v>
      </c>
      <c r="KP57" s="241">
        <f t="shared" si="226"/>
        <v>18000000</v>
      </c>
      <c r="KQ57" s="241" t="str">
        <f t="shared" si="227"/>
        <v>期望符合预期</v>
      </c>
      <c r="KS57" s="242">
        <f t="shared" si="207"/>
        <v>24000000</v>
      </c>
      <c r="KT57" s="242">
        <f t="shared" si="208"/>
        <v>20000000</v>
      </c>
      <c r="KU57" s="242">
        <f t="shared" si="228"/>
        <v>0.6</v>
      </c>
      <c r="KV57" s="242">
        <f t="shared" si="209"/>
        <v>30000000</v>
      </c>
      <c r="KW57" s="241">
        <f t="shared" si="229"/>
        <v>0.4</v>
      </c>
      <c r="KX57" s="241">
        <f t="shared" si="230"/>
        <v>24000000</v>
      </c>
      <c r="KY57" s="241" t="str">
        <f t="shared" si="231"/>
        <v>期望符合预期</v>
      </c>
      <c r="LA57" s="242">
        <f t="shared" si="210"/>
        <v>30000000</v>
      </c>
      <c r="LB57" s="242">
        <f t="shared" si="211"/>
        <v>30000000</v>
      </c>
      <c r="LC57" s="242">
        <f t="shared" si="232"/>
        <v>1</v>
      </c>
      <c r="LD57" s="242">
        <f t="shared" si="212"/>
        <v>40000000</v>
      </c>
      <c r="LE57" s="241">
        <f t="shared" si="233"/>
        <v>0</v>
      </c>
      <c r="LF57" s="241">
        <f t="shared" si="234"/>
        <v>30000000</v>
      </c>
      <c r="LG57" s="241" t="str">
        <f t="shared" si="235"/>
        <v>期望符合预期</v>
      </c>
    </row>
    <row r="58" spans="1:319" s="242" customFormat="1" x14ac:dyDescent="0.35">
      <c r="A58" s="63">
        <v>52</v>
      </c>
      <c r="B58" s="63" t="s">
        <v>1804</v>
      </c>
      <c r="C58" s="63">
        <v>8</v>
      </c>
      <c r="D58" s="63">
        <v>-1</v>
      </c>
      <c r="E58" s="73">
        <v>0</v>
      </c>
      <c r="F58" s="63"/>
      <c r="G58" s="73">
        <v>1010</v>
      </c>
      <c r="H58" s="63"/>
      <c r="I58" s="265">
        <v>0</v>
      </c>
      <c r="J58" s="63">
        <f t="shared" si="551"/>
        <v>0</v>
      </c>
      <c r="K58" s="63">
        <f t="shared" si="552"/>
        <v>0</v>
      </c>
      <c r="L58" s="73">
        <v>1</v>
      </c>
      <c r="M58" s="63">
        <v>0</v>
      </c>
      <c r="N58" s="267">
        <v>0</v>
      </c>
      <c r="O58" s="268">
        <f>ROUND(IF(N58&lt;&gt;0,$BX$4/('全局参数|GlobalPar'!$B$19/10000/E58)/N58,0),6)</f>
        <v>0</v>
      </c>
      <c r="P58" s="270">
        <f t="shared" si="386"/>
        <v>0</v>
      </c>
      <c r="Q58" s="285">
        <f t="shared" si="535"/>
        <v>0</v>
      </c>
      <c r="R58" s="282">
        <v>12</v>
      </c>
      <c r="S58" s="283">
        <v>1</v>
      </c>
      <c r="T58" s="284" t="str">
        <f t="shared" si="21"/>
        <v>[[0,1],[0,1],[0,1],[0,1],[0,1],[0,1],[0,1],[0,1],[0,1],[0,1],[0,2],[0,4],[0,6],[0,8],[0,10],[0,20],[0,40],[0,60],[0,80],[0,100]]</v>
      </c>
      <c r="U58" s="284">
        <v>1</v>
      </c>
      <c r="V58" s="284">
        <v>1</v>
      </c>
      <c r="W58" s="284" t="str">
        <f t="shared" si="168"/>
        <v>[[0,1],[0,1],[0,1],[0,1],[0,1],[0,1],[0,1],[0,1],[0,1],[0,1],[0,1],[0,1],[0,1],[0,1],[0,1],[0,1],[0,1],[0,1],[0,1],[0,1]]</v>
      </c>
      <c r="X58" s="63">
        <v>0</v>
      </c>
      <c r="Y58" s="268">
        <v>0</v>
      </c>
      <c r="Z58" s="311">
        <f t="shared" si="541"/>
        <v>0</v>
      </c>
      <c r="AA58" s="312">
        <v>0</v>
      </c>
      <c r="AB58" s="313">
        <f t="shared" si="169"/>
        <v>0</v>
      </c>
      <c r="AC58" s="304">
        <v>0</v>
      </c>
      <c r="AD58" s="303">
        <v>0</v>
      </c>
      <c r="AE58" s="303">
        <v>0</v>
      </c>
      <c r="AF58" s="303">
        <v>0</v>
      </c>
      <c r="AG58" s="63" t="str">
        <f t="shared" si="170"/>
        <v>[[6,5],[8,2],[10,2]]</v>
      </c>
      <c r="AH58" s="256" t="str">
        <f t="shared" si="171"/>
        <v>[0,0,0]</v>
      </c>
      <c r="AI58" s="256">
        <v>0</v>
      </c>
      <c r="AJ58" s="256">
        <v>0</v>
      </c>
      <c r="AK58" s="256">
        <f t="shared" si="243"/>
        <v>0</v>
      </c>
      <c r="AL58" s="256">
        <v>0</v>
      </c>
      <c r="AM58" s="256">
        <f t="shared" si="172"/>
        <v>0</v>
      </c>
      <c r="AN58" s="256" t="s">
        <v>2550</v>
      </c>
      <c r="AO58" s="324">
        <v>0</v>
      </c>
      <c r="AP58" s="63">
        <f t="shared" ref="AP58:AP64" si="613">IF(C58=4,1,IF(C58=6,2,-1))</f>
        <v>-1</v>
      </c>
      <c r="AQ58" s="63">
        <v>0</v>
      </c>
      <c r="AR58" s="63"/>
      <c r="AS58" s="39">
        <v>3</v>
      </c>
      <c r="AT58" s="39">
        <v>0</v>
      </c>
      <c r="AU58" s="63">
        <v>0.4</v>
      </c>
      <c r="AV58" s="63">
        <f>AU58</f>
        <v>0.4</v>
      </c>
      <c r="AW58" s="63">
        <v>1</v>
      </c>
      <c r="AX58" s="63">
        <v>1</v>
      </c>
      <c r="AY58" s="63"/>
      <c r="AZ58" s="39"/>
      <c r="BA58" s="39"/>
      <c r="BB58" s="328">
        <v>1</v>
      </c>
      <c r="BC58" s="39">
        <v>1601</v>
      </c>
      <c r="BD58" s="39">
        <v>0.18</v>
      </c>
      <c r="BE58" s="39">
        <v>0.8</v>
      </c>
      <c r="BF58" s="39">
        <v>1</v>
      </c>
      <c r="BG58" s="39" t="s">
        <v>1786</v>
      </c>
      <c r="BH58" s="331" t="s">
        <v>1805</v>
      </c>
      <c r="BI58" s="331" t="s">
        <v>1805</v>
      </c>
      <c r="BJ58" s="265"/>
      <c r="BK58" s="265"/>
      <c r="BL58" s="265"/>
      <c r="BM58" s="265"/>
      <c r="BN58" s="81">
        <f t="shared" si="387"/>
        <v>0</v>
      </c>
      <c r="BO58" s="343">
        <f t="shared" si="542"/>
        <v>0</v>
      </c>
      <c r="BP58" s="81" t="s">
        <v>1606</v>
      </c>
      <c r="BQ58" s="81">
        <f t="shared" si="388"/>
        <v>0.29899999999999999</v>
      </c>
      <c r="BR58" s="81"/>
      <c r="BS58" s="63">
        <f t="shared" si="543"/>
        <v>0</v>
      </c>
      <c r="BT58" s="63">
        <f t="shared" ref="BT58:BT64" si="614">BS58*(1+$CA$1)</f>
        <v>0</v>
      </c>
      <c r="BV58" s="63">
        <f t="shared" si="544"/>
        <v>0</v>
      </c>
      <c r="BW58" s="241" t="s">
        <v>1607</v>
      </c>
      <c r="CC58" s="242" t="s">
        <v>1260</v>
      </c>
      <c r="CG58" s="371">
        <f t="shared" si="545"/>
        <v>0</v>
      </c>
      <c r="CH58" s="374">
        <v>0</v>
      </c>
      <c r="CI58" s="373">
        <v>6</v>
      </c>
      <c r="CJ58" s="143">
        <v>5</v>
      </c>
      <c r="CK58" s="373">
        <v>8</v>
      </c>
      <c r="CL58" s="143">
        <v>2</v>
      </c>
      <c r="CM58" s="373">
        <v>10</v>
      </c>
      <c r="CN58" s="143">
        <v>2</v>
      </c>
      <c r="CO58" s="143">
        <f t="shared" si="174"/>
        <v>7.333333333333333</v>
      </c>
      <c r="CP58" s="143">
        <f t="shared" si="550"/>
        <v>7.5</v>
      </c>
      <c r="CQ58" s="377">
        <f t="shared" si="176"/>
        <v>0</v>
      </c>
      <c r="CR58" s="143">
        <f t="shared" si="550"/>
        <v>15</v>
      </c>
      <c r="CS58" s="378">
        <f t="shared" si="177"/>
        <v>0</v>
      </c>
      <c r="CT58" s="143">
        <f t="shared" si="550"/>
        <v>22.5</v>
      </c>
      <c r="CU58" s="392">
        <f t="shared" si="178"/>
        <v>0</v>
      </c>
      <c r="CW58" s="242">
        <v>0</v>
      </c>
      <c r="CX58" s="396">
        <f t="shared" si="215"/>
        <v>0</v>
      </c>
      <c r="CY58" s="270">
        <f t="shared" si="546"/>
        <v>0</v>
      </c>
      <c r="CZ58" s="394">
        <f t="shared" si="547"/>
        <v>0</v>
      </c>
      <c r="DA58" s="394">
        <f t="shared" si="35"/>
        <v>0</v>
      </c>
      <c r="DB58" s="395">
        <f t="shared" si="179"/>
        <v>0</v>
      </c>
      <c r="DC58" s="419">
        <f t="shared" si="548"/>
        <v>0</v>
      </c>
      <c r="DD58" s="394">
        <f t="shared" si="37"/>
        <v>0</v>
      </c>
      <c r="DE58" s="420" t="e">
        <f t="shared" si="549"/>
        <v>#DIV/0!</v>
      </c>
      <c r="DF58" s="421">
        <f t="shared" si="180"/>
        <v>12</v>
      </c>
      <c r="DG58" s="422">
        <f t="shared" si="181"/>
        <v>1</v>
      </c>
      <c r="DH58" s="284"/>
      <c r="DI58" s="282">
        <v>12</v>
      </c>
      <c r="DJ58" s="283">
        <v>1</v>
      </c>
      <c r="DL58" s="430"/>
      <c r="DQ58" s="427"/>
      <c r="DR58" s="421">
        <v>0</v>
      </c>
      <c r="DS58" s="270">
        <v>1</v>
      </c>
      <c r="DT58" s="427">
        <f t="shared" si="573"/>
        <v>0</v>
      </c>
      <c r="DU58" s="421">
        <f t="shared" si="40"/>
        <v>0</v>
      </c>
      <c r="DV58" s="270">
        <f t="shared" si="182"/>
        <v>1</v>
      </c>
      <c r="DW58" s="427">
        <f t="shared" si="574"/>
        <v>0</v>
      </c>
      <c r="DX58" s="421">
        <f t="shared" si="43"/>
        <v>0</v>
      </c>
      <c r="DY58" s="270">
        <f t="shared" si="183"/>
        <v>1</v>
      </c>
      <c r="DZ58" s="427">
        <f t="shared" si="575"/>
        <v>0</v>
      </c>
      <c r="EA58" s="421">
        <f t="shared" si="184"/>
        <v>0</v>
      </c>
      <c r="EB58" s="270">
        <f t="shared" si="185"/>
        <v>1</v>
      </c>
      <c r="EC58" s="427">
        <f t="shared" si="576"/>
        <v>0</v>
      </c>
      <c r="ED58" s="421">
        <f t="shared" si="186"/>
        <v>0</v>
      </c>
      <c r="EE58" s="270">
        <f t="shared" si="187"/>
        <v>1</v>
      </c>
      <c r="EF58" s="427">
        <f t="shared" si="577"/>
        <v>0</v>
      </c>
      <c r="EG58" s="421">
        <f t="shared" si="188"/>
        <v>0</v>
      </c>
      <c r="EH58" s="270">
        <f t="shared" si="189"/>
        <v>1</v>
      </c>
      <c r="EI58" s="427">
        <f t="shared" si="578"/>
        <v>0</v>
      </c>
      <c r="EJ58" s="421">
        <f t="shared" si="190"/>
        <v>0</v>
      </c>
      <c r="EK58" s="270">
        <f t="shared" si="191"/>
        <v>1</v>
      </c>
      <c r="EL58" s="427">
        <f t="shared" si="579"/>
        <v>0</v>
      </c>
      <c r="EM58" s="421">
        <f t="shared" si="192"/>
        <v>0</v>
      </c>
      <c r="EN58" s="270">
        <f t="shared" si="193"/>
        <v>1</v>
      </c>
      <c r="EO58" s="427">
        <f t="shared" si="580"/>
        <v>0</v>
      </c>
      <c r="EP58" s="421">
        <f t="shared" si="194"/>
        <v>0</v>
      </c>
      <c r="EQ58" s="270">
        <f t="shared" si="195"/>
        <v>1</v>
      </c>
      <c r="ER58" s="427">
        <f t="shared" si="581"/>
        <v>0</v>
      </c>
      <c r="ES58" s="421">
        <f t="shared" si="196"/>
        <v>0</v>
      </c>
      <c r="ET58" s="270">
        <f t="shared" si="197"/>
        <v>1</v>
      </c>
      <c r="EU58" s="427">
        <f t="shared" si="582"/>
        <v>0</v>
      </c>
      <c r="EV58" s="421">
        <f t="shared" si="558"/>
        <v>0</v>
      </c>
      <c r="EW58" s="270">
        <f t="shared" si="68"/>
        <v>2</v>
      </c>
      <c r="EX58" s="427">
        <f t="shared" si="583"/>
        <v>0</v>
      </c>
      <c r="EY58" s="421">
        <f t="shared" si="558"/>
        <v>0</v>
      </c>
      <c r="EZ58" s="270">
        <f t="shared" si="71"/>
        <v>4</v>
      </c>
      <c r="FA58" s="427">
        <f t="shared" si="584"/>
        <v>0</v>
      </c>
      <c r="FB58" s="421">
        <f t="shared" si="558"/>
        <v>0</v>
      </c>
      <c r="FC58" s="270">
        <f t="shared" si="74"/>
        <v>6</v>
      </c>
      <c r="FD58" s="427">
        <f t="shared" si="585"/>
        <v>0</v>
      </c>
      <c r="FE58" s="421">
        <f t="shared" si="558"/>
        <v>0</v>
      </c>
      <c r="FF58" s="270">
        <f t="shared" si="77"/>
        <v>8</v>
      </c>
      <c r="FG58" s="427">
        <f t="shared" si="586"/>
        <v>0</v>
      </c>
      <c r="FH58" s="421">
        <f t="shared" si="558"/>
        <v>0</v>
      </c>
      <c r="FI58" s="270">
        <f t="shared" si="80"/>
        <v>10</v>
      </c>
      <c r="FJ58" s="427">
        <f t="shared" si="587"/>
        <v>0</v>
      </c>
      <c r="FK58" s="421">
        <f t="shared" si="558"/>
        <v>0</v>
      </c>
      <c r="FL58" s="270">
        <f t="shared" si="83"/>
        <v>20</v>
      </c>
      <c r="FM58" s="427">
        <f t="shared" si="588"/>
        <v>0</v>
      </c>
      <c r="FN58" s="421">
        <f t="shared" si="558"/>
        <v>0</v>
      </c>
      <c r="FO58" s="270">
        <f t="shared" si="86"/>
        <v>40</v>
      </c>
      <c r="FP58" s="427">
        <f t="shared" si="589"/>
        <v>0</v>
      </c>
      <c r="FQ58" s="421">
        <f t="shared" si="558"/>
        <v>0</v>
      </c>
      <c r="FR58" s="270">
        <f t="shared" si="89"/>
        <v>60</v>
      </c>
      <c r="FS58" s="427">
        <f t="shared" si="590"/>
        <v>0</v>
      </c>
      <c r="FT58" s="421">
        <f t="shared" si="558"/>
        <v>0</v>
      </c>
      <c r="FU58" s="270">
        <f t="shared" si="92"/>
        <v>80</v>
      </c>
      <c r="FV58" s="427">
        <f t="shared" si="591"/>
        <v>0</v>
      </c>
      <c r="FW58" s="421">
        <f t="shared" si="558"/>
        <v>0</v>
      </c>
      <c r="FX58" s="270">
        <f t="shared" si="95"/>
        <v>100</v>
      </c>
      <c r="FY58" s="427">
        <f t="shared" si="592"/>
        <v>0</v>
      </c>
      <c r="GA58" s="430"/>
      <c r="GF58" s="427"/>
      <c r="GG58" s="421">
        <v>0</v>
      </c>
      <c r="GH58" s="270">
        <v>1</v>
      </c>
      <c r="GI58" s="427">
        <f t="shared" si="593"/>
        <v>0</v>
      </c>
      <c r="GJ58" s="421">
        <f t="shared" si="98"/>
        <v>0</v>
      </c>
      <c r="GK58" s="270">
        <f t="shared" si="99"/>
        <v>1</v>
      </c>
      <c r="GL58" s="427">
        <f t="shared" si="594"/>
        <v>0</v>
      </c>
      <c r="GM58" s="421">
        <f t="shared" si="101"/>
        <v>0</v>
      </c>
      <c r="GN58" s="270">
        <f t="shared" si="102"/>
        <v>1</v>
      </c>
      <c r="GO58" s="427">
        <f t="shared" si="595"/>
        <v>0</v>
      </c>
      <c r="GP58" s="421">
        <f t="shared" si="104"/>
        <v>0</v>
      </c>
      <c r="GQ58" s="270">
        <f t="shared" si="105"/>
        <v>1</v>
      </c>
      <c r="GR58" s="427">
        <f t="shared" si="596"/>
        <v>0</v>
      </c>
      <c r="GS58" s="421">
        <f t="shared" si="107"/>
        <v>0</v>
      </c>
      <c r="GT58" s="270">
        <f t="shared" si="108"/>
        <v>1</v>
      </c>
      <c r="GU58" s="427">
        <f t="shared" si="597"/>
        <v>0</v>
      </c>
      <c r="GV58" s="421">
        <f t="shared" si="110"/>
        <v>0</v>
      </c>
      <c r="GW58" s="270">
        <f t="shared" si="111"/>
        <v>1</v>
      </c>
      <c r="GX58" s="427">
        <f t="shared" si="598"/>
        <v>0</v>
      </c>
      <c r="GY58" s="421">
        <f t="shared" si="113"/>
        <v>0</v>
      </c>
      <c r="GZ58" s="270">
        <f t="shared" si="114"/>
        <v>1</v>
      </c>
      <c r="HA58" s="427">
        <f t="shared" si="599"/>
        <v>0</v>
      </c>
      <c r="HB58" s="421">
        <f t="shared" si="116"/>
        <v>0</v>
      </c>
      <c r="HC58" s="270">
        <f t="shared" si="117"/>
        <v>1</v>
      </c>
      <c r="HD58" s="427">
        <f t="shared" si="600"/>
        <v>0</v>
      </c>
      <c r="HE58" s="421">
        <f t="shared" si="119"/>
        <v>0</v>
      </c>
      <c r="HF58" s="270">
        <f t="shared" si="120"/>
        <v>1</v>
      </c>
      <c r="HG58" s="427">
        <f t="shared" si="601"/>
        <v>0</v>
      </c>
      <c r="HH58" s="421">
        <f t="shared" si="122"/>
        <v>0</v>
      </c>
      <c r="HI58" s="270">
        <f t="shared" si="123"/>
        <v>1</v>
      </c>
      <c r="HJ58" s="427">
        <f t="shared" si="602"/>
        <v>0</v>
      </c>
      <c r="HK58" s="421">
        <f t="shared" si="125"/>
        <v>0</v>
      </c>
      <c r="HL58" s="270">
        <f t="shared" si="125"/>
        <v>1</v>
      </c>
      <c r="HM58" s="427">
        <f t="shared" si="603"/>
        <v>0</v>
      </c>
      <c r="HN58" s="421">
        <f t="shared" si="127"/>
        <v>0</v>
      </c>
      <c r="HO58" s="270">
        <f t="shared" si="127"/>
        <v>1</v>
      </c>
      <c r="HP58" s="427">
        <f t="shared" si="604"/>
        <v>0</v>
      </c>
      <c r="HQ58" s="421">
        <f t="shared" si="129"/>
        <v>0</v>
      </c>
      <c r="HR58" s="270">
        <f t="shared" si="129"/>
        <v>1</v>
      </c>
      <c r="HS58" s="427">
        <f t="shared" si="605"/>
        <v>0</v>
      </c>
      <c r="HT58" s="421">
        <f t="shared" si="131"/>
        <v>0</v>
      </c>
      <c r="HU58" s="270">
        <f t="shared" si="131"/>
        <v>1</v>
      </c>
      <c r="HV58" s="427">
        <f t="shared" si="606"/>
        <v>0</v>
      </c>
      <c r="HW58" s="421">
        <f t="shared" si="133"/>
        <v>0</v>
      </c>
      <c r="HX58" s="270">
        <f t="shared" si="133"/>
        <v>1</v>
      </c>
      <c r="HY58" s="427">
        <f t="shared" si="607"/>
        <v>0</v>
      </c>
      <c r="HZ58" s="421">
        <f t="shared" si="135"/>
        <v>0</v>
      </c>
      <c r="IA58" s="270">
        <f t="shared" si="135"/>
        <v>1</v>
      </c>
      <c r="IB58" s="427">
        <f t="shared" si="608"/>
        <v>0</v>
      </c>
      <c r="IC58" s="421">
        <f t="shared" si="137"/>
        <v>0</v>
      </c>
      <c r="ID58" s="270">
        <f t="shared" si="137"/>
        <v>1</v>
      </c>
      <c r="IE58" s="427">
        <f t="shared" si="609"/>
        <v>0</v>
      </c>
      <c r="IF58" s="421">
        <f t="shared" si="139"/>
        <v>0</v>
      </c>
      <c r="IG58" s="270">
        <f t="shared" si="139"/>
        <v>1</v>
      </c>
      <c r="IH58" s="427">
        <f t="shared" si="610"/>
        <v>0</v>
      </c>
      <c r="II58" s="421">
        <f t="shared" si="141"/>
        <v>0</v>
      </c>
      <c r="IJ58" s="270">
        <f t="shared" si="141"/>
        <v>1</v>
      </c>
      <c r="IK58" s="427">
        <f t="shared" si="611"/>
        <v>0</v>
      </c>
      <c r="IL58" s="421">
        <f t="shared" si="143"/>
        <v>0</v>
      </c>
      <c r="IM58" s="270">
        <f t="shared" si="143"/>
        <v>1</v>
      </c>
      <c r="IN58" s="427">
        <f t="shared" si="612"/>
        <v>0</v>
      </c>
      <c r="IS58" s="447">
        <f t="shared" si="571"/>
        <v>0</v>
      </c>
      <c r="IT58" s="447">
        <f t="shared" si="571"/>
        <v>0</v>
      </c>
      <c r="IU58" s="447">
        <f t="shared" si="571"/>
        <v>0</v>
      </c>
      <c r="IV58" s="447">
        <f t="shared" si="571"/>
        <v>0</v>
      </c>
      <c r="IW58" s="447">
        <f t="shared" si="571"/>
        <v>0</v>
      </c>
      <c r="IX58" s="447">
        <f t="shared" si="571"/>
        <v>0</v>
      </c>
      <c r="IY58" s="447">
        <f t="shared" si="571"/>
        <v>0</v>
      </c>
      <c r="IZ58" s="447">
        <f t="shared" si="571"/>
        <v>0</v>
      </c>
      <c r="JA58" s="447">
        <f t="shared" si="571"/>
        <v>0</v>
      </c>
      <c r="JB58" s="447">
        <f t="shared" si="571"/>
        <v>0</v>
      </c>
      <c r="JC58" s="447">
        <f t="shared" si="572"/>
        <v>0</v>
      </c>
      <c r="JD58" s="447">
        <f t="shared" si="572"/>
        <v>0</v>
      </c>
      <c r="JE58" s="447">
        <f t="shared" si="572"/>
        <v>0</v>
      </c>
      <c r="JF58" s="447">
        <f t="shared" si="572"/>
        <v>0</v>
      </c>
      <c r="JG58" s="447">
        <f t="shared" si="572"/>
        <v>0</v>
      </c>
      <c r="JH58" s="447">
        <f t="shared" si="572"/>
        <v>0</v>
      </c>
      <c r="JI58" s="447">
        <f t="shared" si="572"/>
        <v>0</v>
      </c>
      <c r="JJ58" s="447">
        <f t="shared" si="572"/>
        <v>0</v>
      </c>
      <c r="JK58" s="447">
        <f t="shared" si="572"/>
        <v>0</v>
      </c>
      <c r="JL58" s="447">
        <f t="shared" si="572"/>
        <v>0</v>
      </c>
    </row>
    <row r="59" spans="1:319" s="242" customFormat="1" x14ac:dyDescent="0.35">
      <c r="A59" s="63">
        <v>53</v>
      </c>
      <c r="B59" s="63" t="s">
        <v>1804</v>
      </c>
      <c r="C59" s="63">
        <v>8</v>
      </c>
      <c r="D59" s="63">
        <v>-1</v>
      </c>
      <c r="E59" s="63">
        <v>0</v>
      </c>
      <c r="F59" s="63"/>
      <c r="G59" s="73">
        <v>1020</v>
      </c>
      <c r="H59" s="63"/>
      <c r="I59" s="265">
        <v>0</v>
      </c>
      <c r="J59" s="63">
        <f t="shared" si="551"/>
        <v>0</v>
      </c>
      <c r="K59" s="63">
        <f t="shared" si="552"/>
        <v>0</v>
      </c>
      <c r="L59" s="73">
        <v>20</v>
      </c>
      <c r="M59" s="63">
        <v>0</v>
      </c>
      <c r="N59" s="267">
        <v>0</v>
      </c>
      <c r="O59" s="268">
        <f>ROUND(IF(N59&lt;&gt;0,$BX$4/('全局参数|GlobalPar'!$B$19/10000/E59)/N59,0),6)</f>
        <v>0</v>
      </c>
      <c r="P59" s="270">
        <f t="shared" si="386"/>
        <v>0</v>
      </c>
      <c r="Q59" s="285">
        <f t="shared" si="535"/>
        <v>0</v>
      </c>
      <c r="R59" s="282">
        <v>12</v>
      </c>
      <c r="S59" s="283">
        <v>1</v>
      </c>
      <c r="T59" s="284" t="str">
        <f t="shared" si="21"/>
        <v>[[0,1],[0,1],[0,1],[0,1],[0,1],[0,1],[0,1],[0,1],[0,1],[0,1],[0,2],[0,4],[0,6],[0,8],[0,10],[0,20],[0,40],[0,60],[0,80],[0,100]]</v>
      </c>
      <c r="U59" s="284">
        <v>1</v>
      </c>
      <c r="V59" s="284">
        <v>1</v>
      </c>
      <c r="W59" s="284" t="str">
        <f t="shared" si="168"/>
        <v>[[0,1],[0,1],[0,1],[0,1],[0,1],[0,1],[0,1],[0,1],[0,1],[0,1],[0,1],[0,1],[0,1],[0,1],[0,1],[0,1],[0,1],[0,1],[0,1],[0,1]]</v>
      </c>
      <c r="X59" s="63">
        <v>0</v>
      </c>
      <c r="Y59" s="268">
        <v>0</v>
      </c>
      <c r="Z59" s="311">
        <f t="shared" si="541"/>
        <v>0</v>
      </c>
      <c r="AA59" s="312">
        <v>0</v>
      </c>
      <c r="AB59" s="313">
        <f t="shared" si="169"/>
        <v>0</v>
      </c>
      <c r="AC59" s="304">
        <v>0</v>
      </c>
      <c r="AD59" s="303">
        <v>0</v>
      </c>
      <c r="AE59" s="303">
        <v>0</v>
      </c>
      <c r="AF59" s="303">
        <v>0</v>
      </c>
      <c r="AG59" s="63" t="str">
        <f t="shared" si="170"/>
        <v>[[6,5],[8,2],[10,2]]</v>
      </c>
      <c r="AH59" s="256" t="str">
        <f t="shared" si="171"/>
        <v>[0,0,0]</v>
      </c>
      <c r="AI59" s="256">
        <v>0</v>
      </c>
      <c r="AJ59" s="256">
        <v>0</v>
      </c>
      <c r="AK59" s="256">
        <f t="shared" si="243"/>
        <v>0</v>
      </c>
      <c r="AL59" s="256">
        <v>0</v>
      </c>
      <c r="AM59" s="256">
        <f t="shared" si="172"/>
        <v>0</v>
      </c>
      <c r="AN59" s="256" t="s">
        <v>2550</v>
      </c>
      <c r="AO59" s="324">
        <v>0</v>
      </c>
      <c r="AP59" s="63">
        <f t="shared" si="613"/>
        <v>-1</v>
      </c>
      <c r="AQ59" s="63">
        <v>0</v>
      </c>
      <c r="AR59" s="63">
        <v>1</v>
      </c>
      <c r="AS59" s="39">
        <v>4</v>
      </c>
      <c r="AT59" s="39">
        <v>0</v>
      </c>
      <c r="AU59" s="63">
        <v>0.6</v>
      </c>
      <c r="AV59" s="63">
        <f t="shared" ref="AV59:AV64" si="615">AU59</f>
        <v>0.6</v>
      </c>
      <c r="AW59" s="63">
        <v>1</v>
      </c>
      <c r="AX59" s="63">
        <v>1</v>
      </c>
      <c r="AY59" s="63"/>
      <c r="AZ59" s="39"/>
      <c r="BA59" s="39"/>
      <c r="BB59" s="328">
        <v>1</v>
      </c>
      <c r="BC59" s="39">
        <v>1602</v>
      </c>
      <c r="BD59" s="39">
        <v>0.18</v>
      </c>
      <c r="BE59" s="39">
        <v>0.8</v>
      </c>
      <c r="BF59" s="39">
        <v>1</v>
      </c>
      <c r="BG59" s="39" t="s">
        <v>1786</v>
      </c>
      <c r="BH59" s="331" t="s">
        <v>1805</v>
      </c>
      <c r="BI59" s="331" t="s">
        <v>1805</v>
      </c>
      <c r="BJ59" s="265"/>
      <c r="BK59" s="265"/>
      <c r="BL59" s="265"/>
      <c r="BM59" s="265"/>
      <c r="BN59" s="81">
        <f t="shared" si="387"/>
        <v>0</v>
      </c>
      <c r="BO59" s="343">
        <f t="shared" si="542"/>
        <v>0</v>
      </c>
      <c r="BP59" s="81" t="s">
        <v>1606</v>
      </c>
      <c r="BQ59" s="81">
        <f t="shared" si="388"/>
        <v>0.44800000000000001</v>
      </c>
      <c r="BR59" s="81"/>
      <c r="BS59" s="63">
        <f t="shared" si="543"/>
        <v>0</v>
      </c>
      <c r="BT59" s="63">
        <f t="shared" si="614"/>
        <v>0</v>
      </c>
      <c r="BV59" s="63">
        <f t="shared" si="544"/>
        <v>0</v>
      </c>
      <c r="CG59" s="371">
        <f t="shared" si="545"/>
        <v>0</v>
      </c>
      <c r="CH59" s="374">
        <f t="shared" si="214"/>
        <v>0</v>
      </c>
      <c r="CI59" s="373">
        <v>6</v>
      </c>
      <c r="CJ59" s="143">
        <v>5</v>
      </c>
      <c r="CK59" s="373">
        <v>8</v>
      </c>
      <c r="CL59" s="143">
        <v>2</v>
      </c>
      <c r="CM59" s="373">
        <v>10</v>
      </c>
      <c r="CN59" s="143">
        <v>2</v>
      </c>
      <c r="CO59" s="143">
        <f t="shared" si="174"/>
        <v>7.333333333333333</v>
      </c>
      <c r="CP59" s="143">
        <f t="shared" si="550"/>
        <v>7.5</v>
      </c>
      <c r="CQ59" s="377">
        <f t="shared" si="176"/>
        <v>0</v>
      </c>
      <c r="CR59" s="143">
        <f t="shared" si="550"/>
        <v>15</v>
      </c>
      <c r="CS59" s="378">
        <f t="shared" si="177"/>
        <v>0</v>
      </c>
      <c r="CT59" s="143">
        <f t="shared" si="550"/>
        <v>22.5</v>
      </c>
      <c r="CU59" s="392">
        <f t="shared" si="178"/>
        <v>0</v>
      </c>
      <c r="CW59" s="242">
        <v>0</v>
      </c>
      <c r="CX59" s="396">
        <f t="shared" si="215"/>
        <v>0</v>
      </c>
      <c r="CY59" s="270">
        <f t="shared" si="546"/>
        <v>0</v>
      </c>
      <c r="CZ59" s="394">
        <f t="shared" si="547"/>
        <v>0</v>
      </c>
      <c r="DA59" s="394">
        <f t="shared" si="35"/>
        <v>0</v>
      </c>
      <c r="DB59" s="395">
        <f t="shared" si="179"/>
        <v>0</v>
      </c>
      <c r="DC59" s="419">
        <f t="shared" si="548"/>
        <v>0</v>
      </c>
      <c r="DD59" s="394">
        <f t="shared" si="37"/>
        <v>0</v>
      </c>
      <c r="DE59" s="420" t="e">
        <f t="shared" si="549"/>
        <v>#DIV/0!</v>
      </c>
      <c r="DF59" s="421">
        <f t="shared" si="180"/>
        <v>12</v>
      </c>
      <c r="DG59" s="422">
        <f t="shared" si="181"/>
        <v>1</v>
      </c>
      <c r="DH59" s="284"/>
      <c r="DI59" s="282">
        <v>12</v>
      </c>
      <c r="DJ59" s="283">
        <v>1</v>
      </c>
      <c r="DL59" s="430"/>
      <c r="DQ59" s="427"/>
      <c r="DR59" s="421">
        <v>0</v>
      </c>
      <c r="DS59" s="270">
        <v>1</v>
      </c>
      <c r="DT59" s="427">
        <f t="shared" si="573"/>
        <v>0</v>
      </c>
      <c r="DU59" s="421">
        <f t="shared" si="40"/>
        <v>0</v>
      </c>
      <c r="DV59" s="270">
        <f t="shared" si="182"/>
        <v>1</v>
      </c>
      <c r="DW59" s="427">
        <f t="shared" si="574"/>
        <v>0</v>
      </c>
      <c r="DX59" s="421">
        <f t="shared" si="43"/>
        <v>0</v>
      </c>
      <c r="DY59" s="270">
        <f t="shared" si="183"/>
        <v>1</v>
      </c>
      <c r="DZ59" s="427">
        <f t="shared" si="575"/>
        <v>0</v>
      </c>
      <c r="EA59" s="421">
        <f t="shared" si="184"/>
        <v>0</v>
      </c>
      <c r="EB59" s="270">
        <f t="shared" si="185"/>
        <v>1</v>
      </c>
      <c r="EC59" s="427">
        <f t="shared" si="576"/>
        <v>0</v>
      </c>
      <c r="ED59" s="421">
        <f t="shared" si="186"/>
        <v>0</v>
      </c>
      <c r="EE59" s="270">
        <f t="shared" si="187"/>
        <v>1</v>
      </c>
      <c r="EF59" s="427">
        <f t="shared" si="577"/>
        <v>0</v>
      </c>
      <c r="EG59" s="421">
        <f t="shared" si="188"/>
        <v>0</v>
      </c>
      <c r="EH59" s="270">
        <f t="shared" si="189"/>
        <v>1</v>
      </c>
      <c r="EI59" s="427">
        <f t="shared" si="578"/>
        <v>0</v>
      </c>
      <c r="EJ59" s="421">
        <f t="shared" si="190"/>
        <v>0</v>
      </c>
      <c r="EK59" s="270">
        <f t="shared" si="191"/>
        <v>1</v>
      </c>
      <c r="EL59" s="427">
        <f t="shared" si="579"/>
        <v>0</v>
      </c>
      <c r="EM59" s="421">
        <f t="shared" si="192"/>
        <v>0</v>
      </c>
      <c r="EN59" s="270">
        <f t="shared" si="193"/>
        <v>1</v>
      </c>
      <c r="EO59" s="427">
        <f t="shared" si="580"/>
        <v>0</v>
      </c>
      <c r="EP59" s="421">
        <f t="shared" si="194"/>
        <v>0</v>
      </c>
      <c r="EQ59" s="270">
        <f t="shared" si="195"/>
        <v>1</v>
      </c>
      <c r="ER59" s="427">
        <f t="shared" si="581"/>
        <v>0</v>
      </c>
      <c r="ES59" s="421">
        <f t="shared" si="196"/>
        <v>0</v>
      </c>
      <c r="ET59" s="270">
        <f t="shared" si="197"/>
        <v>1</v>
      </c>
      <c r="EU59" s="427">
        <f t="shared" si="582"/>
        <v>0</v>
      </c>
      <c r="EV59" s="421">
        <f t="shared" si="558"/>
        <v>0</v>
      </c>
      <c r="EW59" s="270">
        <f t="shared" si="68"/>
        <v>2</v>
      </c>
      <c r="EX59" s="427">
        <f t="shared" si="583"/>
        <v>0</v>
      </c>
      <c r="EY59" s="421">
        <f t="shared" si="558"/>
        <v>0</v>
      </c>
      <c r="EZ59" s="270">
        <f t="shared" si="71"/>
        <v>4</v>
      </c>
      <c r="FA59" s="427">
        <f t="shared" si="584"/>
        <v>0</v>
      </c>
      <c r="FB59" s="421">
        <f t="shared" si="558"/>
        <v>0</v>
      </c>
      <c r="FC59" s="270">
        <f t="shared" si="74"/>
        <v>6</v>
      </c>
      <c r="FD59" s="427">
        <f t="shared" si="585"/>
        <v>0</v>
      </c>
      <c r="FE59" s="421">
        <f t="shared" si="558"/>
        <v>0</v>
      </c>
      <c r="FF59" s="270">
        <f t="shared" si="77"/>
        <v>8</v>
      </c>
      <c r="FG59" s="427">
        <f t="shared" si="586"/>
        <v>0</v>
      </c>
      <c r="FH59" s="421">
        <f t="shared" si="558"/>
        <v>0</v>
      </c>
      <c r="FI59" s="270">
        <f t="shared" si="80"/>
        <v>10</v>
      </c>
      <c r="FJ59" s="427">
        <f t="shared" si="587"/>
        <v>0</v>
      </c>
      <c r="FK59" s="421">
        <f t="shared" si="558"/>
        <v>0</v>
      </c>
      <c r="FL59" s="270">
        <f t="shared" si="83"/>
        <v>20</v>
      </c>
      <c r="FM59" s="427">
        <f t="shared" si="588"/>
        <v>0</v>
      </c>
      <c r="FN59" s="421">
        <f t="shared" si="558"/>
        <v>0</v>
      </c>
      <c r="FO59" s="270">
        <f t="shared" si="86"/>
        <v>40</v>
      </c>
      <c r="FP59" s="427">
        <f t="shared" si="589"/>
        <v>0</v>
      </c>
      <c r="FQ59" s="421">
        <f t="shared" si="558"/>
        <v>0</v>
      </c>
      <c r="FR59" s="270">
        <f t="shared" si="89"/>
        <v>60</v>
      </c>
      <c r="FS59" s="427">
        <f t="shared" si="590"/>
        <v>0</v>
      </c>
      <c r="FT59" s="421">
        <f t="shared" si="558"/>
        <v>0</v>
      </c>
      <c r="FU59" s="270">
        <f t="shared" si="92"/>
        <v>80</v>
      </c>
      <c r="FV59" s="427">
        <f t="shared" si="591"/>
        <v>0</v>
      </c>
      <c r="FW59" s="421">
        <f t="shared" si="558"/>
        <v>0</v>
      </c>
      <c r="FX59" s="270">
        <f t="shared" si="95"/>
        <v>100</v>
      </c>
      <c r="FY59" s="427">
        <f t="shared" si="592"/>
        <v>0</v>
      </c>
      <c r="GA59" s="430"/>
      <c r="GF59" s="427"/>
      <c r="GG59" s="421">
        <v>0</v>
      </c>
      <c r="GH59" s="270">
        <v>1</v>
      </c>
      <c r="GI59" s="427">
        <f t="shared" si="593"/>
        <v>0</v>
      </c>
      <c r="GJ59" s="421">
        <f t="shared" si="98"/>
        <v>0</v>
      </c>
      <c r="GK59" s="270">
        <f t="shared" si="99"/>
        <v>1</v>
      </c>
      <c r="GL59" s="427">
        <f t="shared" si="594"/>
        <v>0</v>
      </c>
      <c r="GM59" s="421">
        <f t="shared" si="101"/>
        <v>0</v>
      </c>
      <c r="GN59" s="270">
        <f t="shared" si="102"/>
        <v>1</v>
      </c>
      <c r="GO59" s="427">
        <f t="shared" si="595"/>
        <v>0</v>
      </c>
      <c r="GP59" s="421">
        <f t="shared" si="104"/>
        <v>0</v>
      </c>
      <c r="GQ59" s="270">
        <f t="shared" si="105"/>
        <v>1</v>
      </c>
      <c r="GR59" s="427">
        <f t="shared" si="596"/>
        <v>0</v>
      </c>
      <c r="GS59" s="421">
        <f t="shared" si="107"/>
        <v>0</v>
      </c>
      <c r="GT59" s="270">
        <f t="shared" si="108"/>
        <v>1</v>
      </c>
      <c r="GU59" s="427">
        <f t="shared" si="597"/>
        <v>0</v>
      </c>
      <c r="GV59" s="421">
        <f t="shared" si="110"/>
        <v>0</v>
      </c>
      <c r="GW59" s="270">
        <f t="shared" si="111"/>
        <v>1</v>
      </c>
      <c r="GX59" s="427">
        <f t="shared" si="598"/>
        <v>0</v>
      </c>
      <c r="GY59" s="421">
        <f t="shared" si="113"/>
        <v>0</v>
      </c>
      <c r="GZ59" s="270">
        <f t="shared" si="114"/>
        <v>1</v>
      </c>
      <c r="HA59" s="427">
        <f t="shared" si="599"/>
        <v>0</v>
      </c>
      <c r="HB59" s="421">
        <f t="shared" si="116"/>
        <v>0</v>
      </c>
      <c r="HC59" s="270">
        <f t="shared" si="117"/>
        <v>1</v>
      </c>
      <c r="HD59" s="427">
        <f t="shared" si="600"/>
        <v>0</v>
      </c>
      <c r="HE59" s="421">
        <f t="shared" si="119"/>
        <v>0</v>
      </c>
      <c r="HF59" s="270">
        <f t="shared" si="120"/>
        <v>1</v>
      </c>
      <c r="HG59" s="427">
        <f t="shared" si="601"/>
        <v>0</v>
      </c>
      <c r="HH59" s="421">
        <f t="shared" si="122"/>
        <v>0</v>
      </c>
      <c r="HI59" s="270">
        <f t="shared" si="123"/>
        <v>1</v>
      </c>
      <c r="HJ59" s="427">
        <f t="shared" si="602"/>
        <v>0</v>
      </c>
      <c r="HK59" s="421">
        <f t="shared" si="125"/>
        <v>0</v>
      </c>
      <c r="HL59" s="270">
        <f t="shared" si="125"/>
        <v>1</v>
      </c>
      <c r="HM59" s="427">
        <f t="shared" si="603"/>
        <v>0</v>
      </c>
      <c r="HN59" s="421">
        <f t="shared" si="127"/>
        <v>0</v>
      </c>
      <c r="HO59" s="270">
        <f t="shared" si="127"/>
        <v>1</v>
      </c>
      <c r="HP59" s="427">
        <f t="shared" si="604"/>
        <v>0</v>
      </c>
      <c r="HQ59" s="421">
        <f t="shared" si="129"/>
        <v>0</v>
      </c>
      <c r="HR59" s="270">
        <f t="shared" si="129"/>
        <v>1</v>
      </c>
      <c r="HS59" s="427">
        <f t="shared" si="605"/>
        <v>0</v>
      </c>
      <c r="HT59" s="421">
        <f t="shared" si="131"/>
        <v>0</v>
      </c>
      <c r="HU59" s="270">
        <f t="shared" si="131"/>
        <v>1</v>
      </c>
      <c r="HV59" s="427">
        <f t="shared" si="606"/>
        <v>0</v>
      </c>
      <c r="HW59" s="421">
        <f t="shared" si="133"/>
        <v>0</v>
      </c>
      <c r="HX59" s="270">
        <f t="shared" si="133"/>
        <v>1</v>
      </c>
      <c r="HY59" s="427">
        <f t="shared" si="607"/>
        <v>0</v>
      </c>
      <c r="HZ59" s="421">
        <f t="shared" si="135"/>
        <v>0</v>
      </c>
      <c r="IA59" s="270">
        <f t="shared" si="135"/>
        <v>1</v>
      </c>
      <c r="IB59" s="427">
        <f t="shared" si="608"/>
        <v>0</v>
      </c>
      <c r="IC59" s="421">
        <f t="shared" si="137"/>
        <v>0</v>
      </c>
      <c r="ID59" s="270">
        <f t="shared" si="137"/>
        <v>1</v>
      </c>
      <c r="IE59" s="427">
        <f t="shared" si="609"/>
        <v>0</v>
      </c>
      <c r="IF59" s="421">
        <f t="shared" si="139"/>
        <v>0</v>
      </c>
      <c r="IG59" s="270">
        <f t="shared" si="139"/>
        <v>1</v>
      </c>
      <c r="IH59" s="427">
        <f t="shared" si="610"/>
        <v>0</v>
      </c>
      <c r="II59" s="421">
        <f t="shared" si="141"/>
        <v>0</v>
      </c>
      <c r="IJ59" s="270">
        <f t="shared" si="141"/>
        <v>1</v>
      </c>
      <c r="IK59" s="427">
        <f t="shared" si="611"/>
        <v>0</v>
      </c>
      <c r="IL59" s="421">
        <f t="shared" si="143"/>
        <v>0</v>
      </c>
      <c r="IM59" s="270">
        <f t="shared" si="143"/>
        <v>1</v>
      </c>
      <c r="IN59" s="427">
        <f t="shared" si="612"/>
        <v>0</v>
      </c>
      <c r="IS59" s="447">
        <f t="shared" si="571"/>
        <v>0</v>
      </c>
      <c r="IT59" s="447">
        <f t="shared" si="571"/>
        <v>0</v>
      </c>
      <c r="IU59" s="447">
        <f t="shared" si="571"/>
        <v>0</v>
      </c>
      <c r="IV59" s="447">
        <f t="shared" si="571"/>
        <v>0</v>
      </c>
      <c r="IW59" s="447">
        <f t="shared" si="571"/>
        <v>0</v>
      </c>
      <c r="IX59" s="447">
        <f t="shared" si="571"/>
        <v>0</v>
      </c>
      <c r="IY59" s="447">
        <f t="shared" si="571"/>
        <v>0</v>
      </c>
      <c r="IZ59" s="447">
        <f t="shared" si="571"/>
        <v>0</v>
      </c>
      <c r="JA59" s="447">
        <f t="shared" si="571"/>
        <v>0</v>
      </c>
      <c r="JB59" s="447">
        <f t="shared" si="571"/>
        <v>0</v>
      </c>
      <c r="JC59" s="447">
        <f t="shared" si="572"/>
        <v>0</v>
      </c>
      <c r="JD59" s="447">
        <f t="shared" si="572"/>
        <v>0</v>
      </c>
      <c r="JE59" s="447">
        <f t="shared" si="572"/>
        <v>0</v>
      </c>
      <c r="JF59" s="447">
        <f t="shared" si="572"/>
        <v>0</v>
      </c>
      <c r="JG59" s="447">
        <f t="shared" si="572"/>
        <v>0</v>
      </c>
      <c r="JH59" s="447">
        <f t="shared" si="572"/>
        <v>0</v>
      </c>
      <c r="JI59" s="447">
        <f t="shared" si="572"/>
        <v>0</v>
      </c>
      <c r="JJ59" s="447">
        <f t="shared" si="572"/>
        <v>0</v>
      </c>
      <c r="JK59" s="447">
        <f t="shared" si="572"/>
        <v>0</v>
      </c>
      <c r="JL59" s="447">
        <f t="shared" si="572"/>
        <v>0</v>
      </c>
    </row>
    <row r="60" spans="1:319" x14ac:dyDescent="0.35">
      <c r="A60" s="63">
        <v>54</v>
      </c>
      <c r="B60" s="63" t="s">
        <v>1804</v>
      </c>
      <c r="C60" s="63">
        <v>8</v>
      </c>
      <c r="D60" s="63">
        <v>-1</v>
      </c>
      <c r="E60" s="63">
        <v>0</v>
      </c>
      <c r="F60" s="63"/>
      <c r="G60" s="73">
        <v>1030</v>
      </c>
      <c r="H60" s="63"/>
      <c r="I60" s="265">
        <v>0</v>
      </c>
      <c r="J60" s="63">
        <f t="shared" si="551"/>
        <v>0</v>
      </c>
      <c r="K60" s="63">
        <f t="shared" si="552"/>
        <v>0</v>
      </c>
      <c r="L60" s="73">
        <v>50</v>
      </c>
      <c r="M60" s="63">
        <v>0</v>
      </c>
      <c r="N60" s="267">
        <v>0</v>
      </c>
      <c r="O60" s="268">
        <f>ROUND(IF(N60&lt;&gt;0,$BX$4/('全局参数|GlobalPar'!$B$19/10000/E60)/N60,0),6)</f>
        <v>0</v>
      </c>
      <c r="P60" s="270">
        <f t="shared" si="386"/>
        <v>0</v>
      </c>
      <c r="Q60" s="285">
        <f t="shared" si="535"/>
        <v>0</v>
      </c>
      <c r="R60" s="282">
        <v>12</v>
      </c>
      <c r="S60" s="283">
        <v>1</v>
      </c>
      <c r="T60" s="284" t="str">
        <f t="shared" si="21"/>
        <v>[[0,1],[0,1],[0,1],[0,1],[0,1],[0,1],[0,1],[0,1],[0,1],[0,1],[0,2],[0,4],[0,6],[0,8],[0,10],[0,20],[0,40],[0,60],[0,80],[0,100]]</v>
      </c>
      <c r="U60" s="284">
        <v>1</v>
      </c>
      <c r="V60" s="284">
        <v>1</v>
      </c>
      <c r="W60" s="284" t="str">
        <f t="shared" si="168"/>
        <v>[[0,1],[0,1],[0,1],[0,1],[0,1],[0,1],[0,1],[0,1],[0,1],[0,1],[0,1],[0,1],[0,1],[0,1],[0,1],[0,1],[0,1],[0,1],[0,1],[0,1]]</v>
      </c>
      <c r="X60" s="63">
        <v>0</v>
      </c>
      <c r="Y60" s="268">
        <v>0</v>
      </c>
      <c r="Z60" s="311">
        <f t="shared" si="541"/>
        <v>0</v>
      </c>
      <c r="AA60" s="312">
        <v>0</v>
      </c>
      <c r="AB60" s="313">
        <f t="shared" si="169"/>
        <v>0</v>
      </c>
      <c r="AC60" s="304">
        <v>0</v>
      </c>
      <c r="AD60" s="303">
        <v>0</v>
      </c>
      <c r="AE60" s="303">
        <v>0</v>
      </c>
      <c r="AF60" s="303">
        <v>0</v>
      </c>
      <c r="AG60" s="63" t="str">
        <f t="shared" si="170"/>
        <v>[[6,5],[8,2],[10,2]]</v>
      </c>
      <c r="AH60" s="256" t="str">
        <f t="shared" si="171"/>
        <v>[0,0,0]</v>
      </c>
      <c r="AI60" s="256">
        <v>0</v>
      </c>
      <c r="AJ60" s="256">
        <v>0</v>
      </c>
      <c r="AK60" s="256">
        <f t="shared" si="243"/>
        <v>0</v>
      </c>
      <c r="AL60" s="256">
        <v>0</v>
      </c>
      <c r="AM60" s="256">
        <f t="shared" si="172"/>
        <v>0</v>
      </c>
      <c r="AN60" s="256" t="s">
        <v>2550</v>
      </c>
      <c r="AO60" s="324">
        <v>0</v>
      </c>
      <c r="AP60" s="63">
        <f t="shared" si="613"/>
        <v>-1</v>
      </c>
      <c r="AQ60" s="63">
        <v>0</v>
      </c>
      <c r="AR60" s="39">
        <v>2</v>
      </c>
      <c r="AS60" s="39">
        <v>4</v>
      </c>
      <c r="AT60" s="39">
        <v>0</v>
      </c>
      <c r="AU60" s="63">
        <v>1</v>
      </c>
      <c r="AV60" s="63">
        <f t="shared" si="615"/>
        <v>1</v>
      </c>
      <c r="AW60" s="63">
        <v>1</v>
      </c>
      <c r="AX60" s="63">
        <v>1</v>
      </c>
      <c r="AY60" s="63"/>
      <c r="AZ60" s="39"/>
      <c r="BA60" s="39"/>
      <c r="BB60" s="328">
        <v>1</v>
      </c>
      <c r="BC60" s="39">
        <v>1603</v>
      </c>
      <c r="BD60" s="39">
        <v>0.18</v>
      </c>
      <c r="BE60" s="39">
        <v>0.8</v>
      </c>
      <c r="BF60" s="39">
        <v>1</v>
      </c>
      <c r="BG60" s="39" t="s">
        <v>1786</v>
      </c>
      <c r="BH60" s="331" t="s">
        <v>1805</v>
      </c>
      <c r="BI60" s="331" t="s">
        <v>1805</v>
      </c>
      <c r="BJ60" s="265"/>
      <c r="BK60" s="265"/>
      <c r="BL60" s="265"/>
      <c r="BM60" s="265"/>
      <c r="BN60" s="81">
        <f t="shared" si="387"/>
        <v>0</v>
      </c>
      <c r="BO60" s="343">
        <f t="shared" si="542"/>
        <v>0</v>
      </c>
      <c r="BP60" s="81" t="s">
        <v>1606</v>
      </c>
      <c r="BQ60" s="81">
        <f t="shared" si="388"/>
        <v>0.746</v>
      </c>
      <c r="BR60" s="81"/>
      <c r="BS60" s="63">
        <f t="shared" si="543"/>
        <v>0</v>
      </c>
      <c r="BT60" s="63">
        <f t="shared" si="614"/>
        <v>0</v>
      </c>
      <c r="BV60" s="63">
        <f t="shared" si="544"/>
        <v>0</v>
      </c>
      <c r="CG60" s="371">
        <f t="shared" si="545"/>
        <v>0</v>
      </c>
      <c r="CH60" s="374">
        <f t="shared" si="214"/>
        <v>0</v>
      </c>
      <c r="CI60" s="373">
        <v>6</v>
      </c>
      <c r="CJ60" s="143">
        <v>5</v>
      </c>
      <c r="CK60" s="373">
        <v>8</v>
      </c>
      <c r="CL60" s="143">
        <v>2</v>
      </c>
      <c r="CM60" s="373">
        <v>10</v>
      </c>
      <c r="CN60" s="143">
        <v>2</v>
      </c>
      <c r="CO60" s="143">
        <f t="shared" si="174"/>
        <v>7.333333333333333</v>
      </c>
      <c r="CP60" s="143">
        <f t="shared" si="550"/>
        <v>7.5</v>
      </c>
      <c r="CQ60" s="377">
        <f t="shared" si="176"/>
        <v>0</v>
      </c>
      <c r="CR60" s="143">
        <f t="shared" si="550"/>
        <v>15</v>
      </c>
      <c r="CS60" s="378">
        <f t="shared" si="177"/>
        <v>0</v>
      </c>
      <c r="CT60" s="143">
        <f t="shared" si="550"/>
        <v>22.5</v>
      </c>
      <c r="CU60" s="392">
        <f t="shared" si="178"/>
        <v>0</v>
      </c>
      <c r="CW60" s="241">
        <v>0</v>
      </c>
      <c r="CX60" s="396">
        <f t="shared" si="215"/>
        <v>0</v>
      </c>
      <c r="CY60" s="270">
        <f t="shared" si="546"/>
        <v>0</v>
      </c>
      <c r="CZ60" s="394">
        <f t="shared" si="547"/>
        <v>0</v>
      </c>
      <c r="DA60" s="394">
        <f t="shared" si="35"/>
        <v>0</v>
      </c>
      <c r="DB60" s="395">
        <f t="shared" si="179"/>
        <v>0</v>
      </c>
      <c r="DC60" s="419">
        <f t="shared" si="548"/>
        <v>0</v>
      </c>
      <c r="DD60" s="394">
        <f t="shared" si="37"/>
        <v>0</v>
      </c>
      <c r="DE60" s="420" t="e">
        <f t="shared" si="549"/>
        <v>#DIV/0!</v>
      </c>
      <c r="DF60" s="421">
        <f t="shared" si="180"/>
        <v>12</v>
      </c>
      <c r="DG60" s="422">
        <f t="shared" si="181"/>
        <v>1</v>
      </c>
      <c r="DH60" s="284"/>
      <c r="DI60" s="282">
        <v>12</v>
      </c>
      <c r="DJ60" s="283">
        <v>1</v>
      </c>
      <c r="DL60" s="431"/>
      <c r="DM60" s="242"/>
      <c r="DQ60" s="427"/>
      <c r="DR60" s="421">
        <v>0</v>
      </c>
      <c r="DS60" s="270">
        <v>1</v>
      </c>
      <c r="DT60" s="427">
        <f t="shared" si="573"/>
        <v>0</v>
      </c>
      <c r="DU60" s="421">
        <f t="shared" si="40"/>
        <v>0</v>
      </c>
      <c r="DV60" s="270">
        <f t="shared" si="182"/>
        <v>1</v>
      </c>
      <c r="DW60" s="427">
        <f t="shared" si="574"/>
        <v>0</v>
      </c>
      <c r="DX60" s="421">
        <f t="shared" si="43"/>
        <v>0</v>
      </c>
      <c r="DY60" s="270">
        <f t="shared" si="183"/>
        <v>1</v>
      </c>
      <c r="DZ60" s="427">
        <f t="shared" si="575"/>
        <v>0</v>
      </c>
      <c r="EA60" s="421">
        <f t="shared" si="184"/>
        <v>0</v>
      </c>
      <c r="EB60" s="270">
        <f t="shared" si="185"/>
        <v>1</v>
      </c>
      <c r="EC60" s="427">
        <f t="shared" si="576"/>
        <v>0</v>
      </c>
      <c r="ED60" s="421">
        <f t="shared" si="186"/>
        <v>0</v>
      </c>
      <c r="EE60" s="270">
        <f t="shared" si="187"/>
        <v>1</v>
      </c>
      <c r="EF60" s="427">
        <f t="shared" si="577"/>
        <v>0</v>
      </c>
      <c r="EG60" s="421">
        <f t="shared" si="188"/>
        <v>0</v>
      </c>
      <c r="EH60" s="270">
        <f t="shared" si="189"/>
        <v>1</v>
      </c>
      <c r="EI60" s="427">
        <f t="shared" si="578"/>
        <v>0</v>
      </c>
      <c r="EJ60" s="421">
        <f t="shared" si="190"/>
        <v>0</v>
      </c>
      <c r="EK60" s="270">
        <f t="shared" si="191"/>
        <v>1</v>
      </c>
      <c r="EL60" s="427">
        <f t="shared" si="579"/>
        <v>0</v>
      </c>
      <c r="EM60" s="421">
        <f t="shared" si="192"/>
        <v>0</v>
      </c>
      <c r="EN60" s="270">
        <f t="shared" si="193"/>
        <v>1</v>
      </c>
      <c r="EO60" s="427">
        <f t="shared" si="580"/>
        <v>0</v>
      </c>
      <c r="EP60" s="421">
        <f t="shared" si="194"/>
        <v>0</v>
      </c>
      <c r="EQ60" s="270">
        <f t="shared" si="195"/>
        <v>1</v>
      </c>
      <c r="ER60" s="427">
        <f t="shared" si="581"/>
        <v>0</v>
      </c>
      <c r="ES60" s="421">
        <f t="shared" si="196"/>
        <v>0</v>
      </c>
      <c r="ET60" s="270">
        <f t="shared" si="197"/>
        <v>1</v>
      </c>
      <c r="EU60" s="427">
        <f t="shared" si="582"/>
        <v>0</v>
      </c>
      <c r="EV60" s="421">
        <f t="shared" si="558"/>
        <v>0</v>
      </c>
      <c r="EW60" s="270">
        <f t="shared" si="68"/>
        <v>2</v>
      </c>
      <c r="EX60" s="427">
        <f t="shared" si="583"/>
        <v>0</v>
      </c>
      <c r="EY60" s="421">
        <f t="shared" si="558"/>
        <v>0</v>
      </c>
      <c r="EZ60" s="270">
        <f t="shared" si="71"/>
        <v>4</v>
      </c>
      <c r="FA60" s="427">
        <f t="shared" si="584"/>
        <v>0</v>
      </c>
      <c r="FB60" s="421">
        <f t="shared" si="558"/>
        <v>0</v>
      </c>
      <c r="FC60" s="270">
        <f t="shared" si="74"/>
        <v>6</v>
      </c>
      <c r="FD60" s="427">
        <f t="shared" si="585"/>
        <v>0</v>
      </c>
      <c r="FE60" s="421">
        <f t="shared" si="558"/>
        <v>0</v>
      </c>
      <c r="FF60" s="270">
        <f t="shared" si="77"/>
        <v>8</v>
      </c>
      <c r="FG60" s="427">
        <f t="shared" si="586"/>
        <v>0</v>
      </c>
      <c r="FH60" s="421">
        <f t="shared" si="558"/>
        <v>0</v>
      </c>
      <c r="FI60" s="270">
        <f t="shared" si="80"/>
        <v>10</v>
      </c>
      <c r="FJ60" s="427">
        <f t="shared" si="587"/>
        <v>0</v>
      </c>
      <c r="FK60" s="421">
        <f t="shared" si="558"/>
        <v>0</v>
      </c>
      <c r="FL60" s="270">
        <f t="shared" si="83"/>
        <v>20</v>
      </c>
      <c r="FM60" s="427">
        <f t="shared" si="588"/>
        <v>0</v>
      </c>
      <c r="FN60" s="421">
        <f t="shared" si="558"/>
        <v>0</v>
      </c>
      <c r="FO60" s="270">
        <f t="shared" si="86"/>
        <v>40</v>
      </c>
      <c r="FP60" s="427">
        <f t="shared" si="589"/>
        <v>0</v>
      </c>
      <c r="FQ60" s="421">
        <f t="shared" si="558"/>
        <v>0</v>
      </c>
      <c r="FR60" s="270">
        <f t="shared" si="89"/>
        <v>60</v>
      </c>
      <c r="FS60" s="427">
        <f t="shared" si="590"/>
        <v>0</v>
      </c>
      <c r="FT60" s="421">
        <f t="shared" si="558"/>
        <v>0</v>
      </c>
      <c r="FU60" s="270">
        <f t="shared" si="92"/>
        <v>80</v>
      </c>
      <c r="FV60" s="427">
        <f t="shared" si="591"/>
        <v>0</v>
      </c>
      <c r="FW60" s="421">
        <f t="shared" si="558"/>
        <v>0</v>
      </c>
      <c r="FX60" s="270">
        <f t="shared" si="95"/>
        <v>100</v>
      </c>
      <c r="FY60" s="427">
        <f t="shared" si="592"/>
        <v>0</v>
      </c>
      <c r="GA60" s="431"/>
      <c r="GB60" s="242"/>
      <c r="GF60" s="427"/>
      <c r="GG60" s="421">
        <v>0</v>
      </c>
      <c r="GH60" s="270">
        <v>1</v>
      </c>
      <c r="GI60" s="427">
        <f t="shared" si="593"/>
        <v>0</v>
      </c>
      <c r="GJ60" s="421">
        <f t="shared" si="98"/>
        <v>0</v>
      </c>
      <c r="GK60" s="270">
        <f t="shared" si="99"/>
        <v>1</v>
      </c>
      <c r="GL60" s="427">
        <f t="shared" si="594"/>
        <v>0</v>
      </c>
      <c r="GM60" s="421">
        <f t="shared" si="101"/>
        <v>0</v>
      </c>
      <c r="GN60" s="270">
        <f t="shared" si="102"/>
        <v>1</v>
      </c>
      <c r="GO60" s="427">
        <f t="shared" si="595"/>
        <v>0</v>
      </c>
      <c r="GP60" s="421">
        <f t="shared" si="104"/>
        <v>0</v>
      </c>
      <c r="GQ60" s="270">
        <f t="shared" si="105"/>
        <v>1</v>
      </c>
      <c r="GR60" s="427">
        <f t="shared" si="596"/>
        <v>0</v>
      </c>
      <c r="GS60" s="421">
        <f t="shared" si="107"/>
        <v>0</v>
      </c>
      <c r="GT60" s="270">
        <f t="shared" si="108"/>
        <v>1</v>
      </c>
      <c r="GU60" s="427">
        <f t="shared" si="597"/>
        <v>0</v>
      </c>
      <c r="GV60" s="421">
        <f t="shared" si="110"/>
        <v>0</v>
      </c>
      <c r="GW60" s="270">
        <f t="shared" si="111"/>
        <v>1</v>
      </c>
      <c r="GX60" s="427">
        <f t="shared" si="598"/>
        <v>0</v>
      </c>
      <c r="GY60" s="421">
        <f t="shared" si="113"/>
        <v>0</v>
      </c>
      <c r="GZ60" s="270">
        <f t="shared" si="114"/>
        <v>1</v>
      </c>
      <c r="HA60" s="427">
        <f t="shared" si="599"/>
        <v>0</v>
      </c>
      <c r="HB60" s="421">
        <f t="shared" si="116"/>
        <v>0</v>
      </c>
      <c r="HC60" s="270">
        <f t="shared" si="117"/>
        <v>1</v>
      </c>
      <c r="HD60" s="427">
        <f t="shared" si="600"/>
        <v>0</v>
      </c>
      <c r="HE60" s="421">
        <f t="shared" si="119"/>
        <v>0</v>
      </c>
      <c r="HF60" s="270">
        <f t="shared" si="120"/>
        <v>1</v>
      </c>
      <c r="HG60" s="427">
        <f t="shared" si="601"/>
        <v>0</v>
      </c>
      <c r="HH60" s="421">
        <f t="shared" si="122"/>
        <v>0</v>
      </c>
      <c r="HI60" s="270">
        <f t="shared" si="123"/>
        <v>1</v>
      </c>
      <c r="HJ60" s="427">
        <f t="shared" si="602"/>
        <v>0</v>
      </c>
      <c r="HK60" s="421">
        <f t="shared" si="125"/>
        <v>0</v>
      </c>
      <c r="HL60" s="270">
        <f t="shared" si="125"/>
        <v>1</v>
      </c>
      <c r="HM60" s="427">
        <f t="shared" si="603"/>
        <v>0</v>
      </c>
      <c r="HN60" s="421">
        <f t="shared" si="127"/>
        <v>0</v>
      </c>
      <c r="HO60" s="270">
        <f t="shared" si="127"/>
        <v>1</v>
      </c>
      <c r="HP60" s="427">
        <f t="shared" si="604"/>
        <v>0</v>
      </c>
      <c r="HQ60" s="421">
        <f t="shared" si="129"/>
        <v>0</v>
      </c>
      <c r="HR60" s="270">
        <f t="shared" si="129"/>
        <v>1</v>
      </c>
      <c r="HS60" s="427">
        <f t="shared" si="605"/>
        <v>0</v>
      </c>
      <c r="HT60" s="421">
        <f t="shared" si="131"/>
        <v>0</v>
      </c>
      <c r="HU60" s="270">
        <f t="shared" si="131"/>
        <v>1</v>
      </c>
      <c r="HV60" s="427">
        <f t="shared" si="606"/>
        <v>0</v>
      </c>
      <c r="HW60" s="421">
        <f t="shared" si="133"/>
        <v>0</v>
      </c>
      <c r="HX60" s="270">
        <f t="shared" si="133"/>
        <v>1</v>
      </c>
      <c r="HY60" s="427">
        <f t="shared" si="607"/>
        <v>0</v>
      </c>
      <c r="HZ60" s="421">
        <f t="shared" si="135"/>
        <v>0</v>
      </c>
      <c r="IA60" s="270">
        <f t="shared" si="135"/>
        <v>1</v>
      </c>
      <c r="IB60" s="427">
        <f t="shared" si="608"/>
        <v>0</v>
      </c>
      <c r="IC60" s="421">
        <f t="shared" si="137"/>
        <v>0</v>
      </c>
      <c r="ID60" s="270">
        <f t="shared" si="137"/>
        <v>1</v>
      </c>
      <c r="IE60" s="427">
        <f t="shared" si="609"/>
        <v>0</v>
      </c>
      <c r="IF60" s="421">
        <f t="shared" si="139"/>
        <v>0</v>
      </c>
      <c r="IG60" s="270">
        <f t="shared" si="139"/>
        <v>1</v>
      </c>
      <c r="IH60" s="427">
        <f t="shared" si="610"/>
        <v>0</v>
      </c>
      <c r="II60" s="421">
        <f t="shared" si="141"/>
        <v>0</v>
      </c>
      <c r="IJ60" s="270">
        <f t="shared" si="141"/>
        <v>1</v>
      </c>
      <c r="IK60" s="427">
        <f t="shared" si="611"/>
        <v>0</v>
      </c>
      <c r="IL60" s="421">
        <f t="shared" si="143"/>
        <v>0</v>
      </c>
      <c r="IM60" s="270">
        <f t="shared" si="143"/>
        <v>1</v>
      </c>
      <c r="IN60" s="427">
        <f t="shared" si="612"/>
        <v>0</v>
      </c>
      <c r="IS60" s="447">
        <f t="shared" si="571"/>
        <v>0</v>
      </c>
      <c r="IT60" s="447">
        <f t="shared" si="571"/>
        <v>0</v>
      </c>
      <c r="IU60" s="447">
        <f t="shared" si="571"/>
        <v>0</v>
      </c>
      <c r="IV60" s="447">
        <f t="shared" si="571"/>
        <v>0</v>
      </c>
      <c r="IW60" s="447">
        <f t="shared" si="571"/>
        <v>0</v>
      </c>
      <c r="IX60" s="447">
        <f t="shared" si="571"/>
        <v>0</v>
      </c>
      <c r="IY60" s="447">
        <f t="shared" si="571"/>
        <v>0</v>
      </c>
      <c r="IZ60" s="447">
        <f t="shared" si="571"/>
        <v>0</v>
      </c>
      <c r="JA60" s="447">
        <f t="shared" si="571"/>
        <v>0</v>
      </c>
      <c r="JB60" s="447">
        <f t="shared" si="571"/>
        <v>0</v>
      </c>
      <c r="JC60" s="447">
        <f t="shared" si="572"/>
        <v>0</v>
      </c>
      <c r="JD60" s="447">
        <f t="shared" si="572"/>
        <v>0</v>
      </c>
      <c r="JE60" s="447">
        <f t="shared" si="572"/>
        <v>0</v>
      </c>
      <c r="JF60" s="447">
        <f t="shared" si="572"/>
        <v>0</v>
      </c>
      <c r="JG60" s="447">
        <f t="shared" si="572"/>
        <v>0</v>
      </c>
      <c r="JH60" s="447">
        <f t="shared" si="572"/>
        <v>0</v>
      </c>
      <c r="JI60" s="447">
        <f t="shared" si="572"/>
        <v>0</v>
      </c>
      <c r="JJ60" s="447">
        <f t="shared" si="572"/>
        <v>0</v>
      </c>
      <c r="JK60" s="447">
        <f t="shared" si="572"/>
        <v>0</v>
      </c>
      <c r="JL60" s="447">
        <f t="shared" si="572"/>
        <v>0</v>
      </c>
    </row>
    <row r="61" spans="1:319" s="242" customFormat="1" x14ac:dyDescent="0.35">
      <c r="A61" s="63">
        <v>55</v>
      </c>
      <c r="B61" s="63" t="s">
        <v>1804</v>
      </c>
      <c r="C61" s="63">
        <v>8</v>
      </c>
      <c r="D61" s="63">
        <v>-1</v>
      </c>
      <c r="E61" s="63">
        <v>0</v>
      </c>
      <c r="F61" s="63"/>
      <c r="G61" s="73">
        <v>1040</v>
      </c>
      <c r="H61" s="63"/>
      <c r="I61" s="265">
        <v>0</v>
      </c>
      <c r="J61" s="63">
        <f t="shared" si="551"/>
        <v>0</v>
      </c>
      <c r="K61" s="63">
        <f t="shared" si="552"/>
        <v>0</v>
      </c>
      <c r="L61" s="73">
        <v>200</v>
      </c>
      <c r="M61" s="63">
        <v>0</v>
      </c>
      <c r="N61" s="267">
        <v>0</v>
      </c>
      <c r="O61" s="268">
        <f>ROUND(IF(N61&lt;&gt;0,$BX$4/('全局参数|GlobalPar'!$B$19/10000/E61)/N61,0),6)</f>
        <v>0</v>
      </c>
      <c r="P61" s="270">
        <f t="shared" si="386"/>
        <v>0</v>
      </c>
      <c r="Q61" s="285">
        <f t="shared" si="535"/>
        <v>0</v>
      </c>
      <c r="R61" s="287">
        <v>12</v>
      </c>
      <c r="S61" s="288">
        <v>1</v>
      </c>
      <c r="T61" s="284" t="str">
        <f t="shared" si="21"/>
        <v>[[0,1],[0,1],[0,1],[0,1],[0,1],[0,1],[0,1],[0,1],[0,1],[0,1],[0,2],[0,4],[0,6],[0,8],[0,10],[0,20],[0,40],[0,60],[0,80],[0,100]]</v>
      </c>
      <c r="U61" s="284">
        <v>1</v>
      </c>
      <c r="V61" s="284">
        <v>1</v>
      </c>
      <c r="W61" s="284" t="str">
        <f t="shared" si="168"/>
        <v>[[0,1],[0,1],[0,1],[0,1],[0,1],[0,1],[0,1],[0,1],[0,1],[0,1],[0,1],[0,1],[0,1],[0,1],[0,1],[0,1],[0,1],[0,1],[0,1],[0,1]]</v>
      </c>
      <c r="X61" s="63">
        <v>0</v>
      </c>
      <c r="Y61" s="268">
        <v>0</v>
      </c>
      <c r="Z61" s="311">
        <f t="shared" si="541"/>
        <v>0</v>
      </c>
      <c r="AA61" s="312">
        <v>0</v>
      </c>
      <c r="AB61" s="313">
        <f t="shared" si="169"/>
        <v>0</v>
      </c>
      <c r="AC61" s="304">
        <v>0</v>
      </c>
      <c r="AD61" s="303">
        <v>0</v>
      </c>
      <c r="AE61" s="303">
        <v>0</v>
      </c>
      <c r="AF61" s="303">
        <v>0</v>
      </c>
      <c r="AG61" s="63" t="str">
        <f t="shared" si="170"/>
        <v>[[6,5],[8,2],[10,2]]</v>
      </c>
      <c r="AH61" s="256" t="str">
        <f t="shared" si="171"/>
        <v>[0,0,0]</v>
      </c>
      <c r="AI61" s="256">
        <v>0</v>
      </c>
      <c r="AJ61" s="256">
        <v>0</v>
      </c>
      <c r="AK61" s="256">
        <f t="shared" si="243"/>
        <v>0</v>
      </c>
      <c r="AL61" s="256">
        <v>0</v>
      </c>
      <c r="AM61" s="256">
        <f t="shared" si="172"/>
        <v>0</v>
      </c>
      <c r="AN61" s="256" t="s">
        <v>2550</v>
      </c>
      <c r="AO61" s="324">
        <v>0</v>
      </c>
      <c r="AP61" s="63">
        <f t="shared" si="613"/>
        <v>-1</v>
      </c>
      <c r="AQ61" s="63">
        <v>0</v>
      </c>
      <c r="AR61" s="63">
        <v>3</v>
      </c>
      <c r="AS61" s="39">
        <v>4</v>
      </c>
      <c r="AT61" s="39">
        <v>0</v>
      </c>
      <c r="AU61" s="63">
        <v>0.6</v>
      </c>
      <c r="AV61" s="63">
        <f t="shared" si="615"/>
        <v>0.6</v>
      </c>
      <c r="AW61" s="63">
        <v>1</v>
      </c>
      <c r="AX61" s="63">
        <v>1</v>
      </c>
      <c r="AY61" s="63"/>
      <c r="AZ61" s="39"/>
      <c r="BA61" s="39"/>
      <c r="BB61" s="328">
        <v>1</v>
      </c>
      <c r="BC61" s="39">
        <v>1604</v>
      </c>
      <c r="BD61" s="39">
        <v>0.18</v>
      </c>
      <c r="BE61" s="39">
        <v>0.8</v>
      </c>
      <c r="BF61" s="39">
        <v>1</v>
      </c>
      <c r="BG61" s="39" t="s">
        <v>1786</v>
      </c>
      <c r="BH61" s="331" t="s">
        <v>1805</v>
      </c>
      <c r="BI61" s="331" t="s">
        <v>1805</v>
      </c>
      <c r="BJ61" s="265"/>
      <c r="BK61" s="265"/>
      <c r="BL61" s="265"/>
      <c r="BM61" s="265"/>
      <c r="BN61" s="81">
        <f t="shared" si="387"/>
        <v>0</v>
      </c>
      <c r="BO61" s="343">
        <f t="shared" si="542"/>
        <v>0</v>
      </c>
      <c r="BP61" s="81" t="s">
        <v>1606</v>
      </c>
      <c r="BQ61" s="81">
        <f t="shared" si="388"/>
        <v>0.44800000000000001</v>
      </c>
      <c r="BR61" s="81"/>
      <c r="BS61" s="63">
        <f t="shared" si="543"/>
        <v>0</v>
      </c>
      <c r="BT61" s="63">
        <f t="shared" si="614"/>
        <v>0</v>
      </c>
      <c r="BV61" s="63">
        <f t="shared" si="544"/>
        <v>0</v>
      </c>
      <c r="CC61" s="358"/>
      <c r="CG61" s="371">
        <f t="shared" si="545"/>
        <v>0</v>
      </c>
      <c r="CH61" s="374">
        <f t="shared" si="214"/>
        <v>0</v>
      </c>
      <c r="CI61" s="373">
        <v>6</v>
      </c>
      <c r="CJ61" s="143">
        <v>5</v>
      </c>
      <c r="CK61" s="373">
        <v>8</v>
      </c>
      <c r="CL61" s="143">
        <v>2</v>
      </c>
      <c r="CM61" s="373">
        <v>10</v>
      </c>
      <c r="CN61" s="143">
        <v>2</v>
      </c>
      <c r="CO61" s="143">
        <f t="shared" si="174"/>
        <v>7.333333333333333</v>
      </c>
      <c r="CP61" s="143">
        <f t="shared" si="550"/>
        <v>7.5</v>
      </c>
      <c r="CQ61" s="377">
        <f t="shared" si="176"/>
        <v>0</v>
      </c>
      <c r="CR61" s="143">
        <f t="shared" si="550"/>
        <v>15</v>
      </c>
      <c r="CS61" s="378">
        <f t="shared" si="177"/>
        <v>0</v>
      </c>
      <c r="CT61" s="143">
        <f t="shared" si="550"/>
        <v>22.5</v>
      </c>
      <c r="CU61" s="392">
        <f t="shared" si="178"/>
        <v>0</v>
      </c>
      <c r="CW61" s="242">
        <v>0</v>
      </c>
      <c r="CX61" s="397">
        <f t="shared" si="215"/>
        <v>0</v>
      </c>
      <c r="CY61" s="398">
        <f t="shared" si="546"/>
        <v>0</v>
      </c>
      <c r="CZ61" s="399">
        <f t="shared" si="547"/>
        <v>0</v>
      </c>
      <c r="DA61" s="399">
        <f t="shared" si="35"/>
        <v>0</v>
      </c>
      <c r="DB61" s="395">
        <f t="shared" si="179"/>
        <v>0</v>
      </c>
      <c r="DC61" s="423">
        <f t="shared" si="548"/>
        <v>0</v>
      </c>
      <c r="DD61" s="399">
        <f t="shared" si="37"/>
        <v>0</v>
      </c>
      <c r="DE61" s="424" t="e">
        <f t="shared" si="549"/>
        <v>#DIV/0!</v>
      </c>
      <c r="DF61" s="421">
        <f t="shared" si="180"/>
        <v>12</v>
      </c>
      <c r="DG61" s="422">
        <f t="shared" si="181"/>
        <v>1</v>
      </c>
      <c r="DH61" s="284"/>
      <c r="DI61" s="287">
        <v>12</v>
      </c>
      <c r="DJ61" s="288">
        <v>1</v>
      </c>
      <c r="DL61" s="430"/>
      <c r="DQ61" s="427"/>
      <c r="DR61" s="421">
        <v>0</v>
      </c>
      <c r="DS61" s="270">
        <v>1</v>
      </c>
      <c r="DT61" s="427">
        <f t="shared" si="573"/>
        <v>0</v>
      </c>
      <c r="DU61" s="421">
        <f t="shared" si="40"/>
        <v>0</v>
      </c>
      <c r="DV61" s="270">
        <f t="shared" si="182"/>
        <v>1</v>
      </c>
      <c r="DW61" s="427">
        <f t="shared" si="574"/>
        <v>0</v>
      </c>
      <c r="DX61" s="421">
        <f t="shared" si="43"/>
        <v>0</v>
      </c>
      <c r="DY61" s="270">
        <f t="shared" si="183"/>
        <v>1</v>
      </c>
      <c r="DZ61" s="427">
        <f t="shared" si="575"/>
        <v>0</v>
      </c>
      <c r="EA61" s="421">
        <f t="shared" si="184"/>
        <v>0</v>
      </c>
      <c r="EB61" s="270">
        <f t="shared" si="185"/>
        <v>1</v>
      </c>
      <c r="EC61" s="427">
        <f t="shared" si="576"/>
        <v>0</v>
      </c>
      <c r="ED61" s="421">
        <f t="shared" si="186"/>
        <v>0</v>
      </c>
      <c r="EE61" s="270">
        <f t="shared" si="187"/>
        <v>1</v>
      </c>
      <c r="EF61" s="427">
        <f t="shared" si="577"/>
        <v>0</v>
      </c>
      <c r="EG61" s="421">
        <f t="shared" si="188"/>
        <v>0</v>
      </c>
      <c r="EH61" s="270">
        <f t="shared" si="189"/>
        <v>1</v>
      </c>
      <c r="EI61" s="427">
        <f t="shared" si="578"/>
        <v>0</v>
      </c>
      <c r="EJ61" s="421">
        <f t="shared" si="190"/>
        <v>0</v>
      </c>
      <c r="EK61" s="270">
        <f t="shared" si="191"/>
        <v>1</v>
      </c>
      <c r="EL61" s="427">
        <f t="shared" si="579"/>
        <v>0</v>
      </c>
      <c r="EM61" s="421">
        <f t="shared" si="192"/>
        <v>0</v>
      </c>
      <c r="EN61" s="270">
        <f t="shared" si="193"/>
        <v>1</v>
      </c>
      <c r="EO61" s="427">
        <f t="shared" si="580"/>
        <v>0</v>
      </c>
      <c r="EP61" s="421">
        <f t="shared" si="194"/>
        <v>0</v>
      </c>
      <c r="EQ61" s="270">
        <f t="shared" si="195"/>
        <v>1</v>
      </c>
      <c r="ER61" s="427">
        <f t="shared" si="581"/>
        <v>0</v>
      </c>
      <c r="ES61" s="421">
        <f t="shared" si="196"/>
        <v>0</v>
      </c>
      <c r="ET61" s="270">
        <f t="shared" si="197"/>
        <v>1</v>
      </c>
      <c r="EU61" s="427">
        <f t="shared" si="582"/>
        <v>0</v>
      </c>
      <c r="EV61" s="421">
        <f t="shared" si="558"/>
        <v>0</v>
      </c>
      <c r="EW61" s="270">
        <f t="shared" si="68"/>
        <v>2</v>
      </c>
      <c r="EX61" s="427">
        <f t="shared" si="583"/>
        <v>0</v>
      </c>
      <c r="EY61" s="421">
        <f t="shared" si="558"/>
        <v>0</v>
      </c>
      <c r="EZ61" s="270">
        <f t="shared" si="71"/>
        <v>4</v>
      </c>
      <c r="FA61" s="427">
        <f t="shared" si="584"/>
        <v>0</v>
      </c>
      <c r="FB61" s="421">
        <f t="shared" si="558"/>
        <v>0</v>
      </c>
      <c r="FC61" s="270">
        <f t="shared" si="74"/>
        <v>6</v>
      </c>
      <c r="FD61" s="427">
        <f t="shared" si="585"/>
        <v>0</v>
      </c>
      <c r="FE61" s="421">
        <f t="shared" si="558"/>
        <v>0</v>
      </c>
      <c r="FF61" s="270">
        <f t="shared" si="77"/>
        <v>8</v>
      </c>
      <c r="FG61" s="427">
        <f t="shared" si="586"/>
        <v>0</v>
      </c>
      <c r="FH61" s="421">
        <f t="shared" si="558"/>
        <v>0</v>
      </c>
      <c r="FI61" s="270">
        <f t="shared" si="80"/>
        <v>10</v>
      </c>
      <c r="FJ61" s="427">
        <f t="shared" si="587"/>
        <v>0</v>
      </c>
      <c r="FK61" s="421">
        <f t="shared" si="558"/>
        <v>0</v>
      </c>
      <c r="FL61" s="270">
        <f t="shared" si="83"/>
        <v>20</v>
      </c>
      <c r="FM61" s="427">
        <f t="shared" si="588"/>
        <v>0</v>
      </c>
      <c r="FN61" s="421">
        <f t="shared" si="558"/>
        <v>0</v>
      </c>
      <c r="FO61" s="270">
        <f t="shared" si="86"/>
        <v>40</v>
      </c>
      <c r="FP61" s="427">
        <f t="shared" si="589"/>
        <v>0</v>
      </c>
      <c r="FQ61" s="421">
        <f t="shared" si="558"/>
        <v>0</v>
      </c>
      <c r="FR61" s="270">
        <f t="shared" si="89"/>
        <v>60</v>
      </c>
      <c r="FS61" s="427">
        <f t="shared" si="590"/>
        <v>0</v>
      </c>
      <c r="FT61" s="421">
        <f t="shared" si="558"/>
        <v>0</v>
      </c>
      <c r="FU61" s="270">
        <f t="shared" si="92"/>
        <v>80</v>
      </c>
      <c r="FV61" s="427">
        <f t="shared" si="591"/>
        <v>0</v>
      </c>
      <c r="FW61" s="421">
        <f t="shared" si="558"/>
        <v>0</v>
      </c>
      <c r="FX61" s="270">
        <f t="shared" si="95"/>
        <v>100</v>
      </c>
      <c r="FY61" s="427">
        <f t="shared" si="592"/>
        <v>0</v>
      </c>
      <c r="GA61" s="430"/>
      <c r="GF61" s="427"/>
      <c r="GG61" s="421">
        <v>0</v>
      </c>
      <c r="GH61" s="270">
        <v>1</v>
      </c>
      <c r="GI61" s="427">
        <f t="shared" si="593"/>
        <v>0</v>
      </c>
      <c r="GJ61" s="421">
        <f t="shared" si="98"/>
        <v>0</v>
      </c>
      <c r="GK61" s="270">
        <f t="shared" si="99"/>
        <v>1</v>
      </c>
      <c r="GL61" s="427">
        <f t="shared" si="594"/>
        <v>0</v>
      </c>
      <c r="GM61" s="421">
        <f t="shared" si="101"/>
        <v>0</v>
      </c>
      <c r="GN61" s="270">
        <f t="shared" si="102"/>
        <v>1</v>
      </c>
      <c r="GO61" s="427">
        <f t="shared" si="595"/>
        <v>0</v>
      </c>
      <c r="GP61" s="421">
        <f t="shared" si="104"/>
        <v>0</v>
      </c>
      <c r="GQ61" s="270">
        <f t="shared" si="105"/>
        <v>1</v>
      </c>
      <c r="GR61" s="427">
        <f t="shared" si="596"/>
        <v>0</v>
      </c>
      <c r="GS61" s="421">
        <f t="shared" si="107"/>
        <v>0</v>
      </c>
      <c r="GT61" s="270">
        <f t="shared" si="108"/>
        <v>1</v>
      </c>
      <c r="GU61" s="427">
        <f t="shared" si="597"/>
        <v>0</v>
      </c>
      <c r="GV61" s="421">
        <f t="shared" si="110"/>
        <v>0</v>
      </c>
      <c r="GW61" s="270">
        <f t="shared" si="111"/>
        <v>1</v>
      </c>
      <c r="GX61" s="427">
        <f t="shared" si="598"/>
        <v>0</v>
      </c>
      <c r="GY61" s="421">
        <f t="shared" si="113"/>
        <v>0</v>
      </c>
      <c r="GZ61" s="270">
        <f t="shared" si="114"/>
        <v>1</v>
      </c>
      <c r="HA61" s="427">
        <f t="shared" si="599"/>
        <v>0</v>
      </c>
      <c r="HB61" s="421">
        <f t="shared" si="116"/>
        <v>0</v>
      </c>
      <c r="HC61" s="270">
        <f t="shared" si="117"/>
        <v>1</v>
      </c>
      <c r="HD61" s="427">
        <f t="shared" si="600"/>
        <v>0</v>
      </c>
      <c r="HE61" s="421">
        <f t="shared" si="119"/>
        <v>0</v>
      </c>
      <c r="HF61" s="270">
        <f t="shared" si="120"/>
        <v>1</v>
      </c>
      <c r="HG61" s="427">
        <f t="shared" si="601"/>
        <v>0</v>
      </c>
      <c r="HH61" s="421">
        <f t="shared" si="122"/>
        <v>0</v>
      </c>
      <c r="HI61" s="270">
        <f t="shared" si="123"/>
        <v>1</v>
      </c>
      <c r="HJ61" s="427">
        <f t="shared" si="602"/>
        <v>0</v>
      </c>
      <c r="HK61" s="421">
        <f t="shared" si="125"/>
        <v>0</v>
      </c>
      <c r="HL61" s="270">
        <f t="shared" si="125"/>
        <v>1</v>
      </c>
      <c r="HM61" s="427">
        <f t="shared" si="603"/>
        <v>0</v>
      </c>
      <c r="HN61" s="421">
        <f t="shared" si="127"/>
        <v>0</v>
      </c>
      <c r="HO61" s="270">
        <f t="shared" si="127"/>
        <v>1</v>
      </c>
      <c r="HP61" s="427">
        <f t="shared" si="604"/>
        <v>0</v>
      </c>
      <c r="HQ61" s="421">
        <f t="shared" si="129"/>
        <v>0</v>
      </c>
      <c r="HR61" s="270">
        <f t="shared" si="129"/>
        <v>1</v>
      </c>
      <c r="HS61" s="427">
        <f t="shared" si="605"/>
        <v>0</v>
      </c>
      <c r="HT61" s="421">
        <f t="shared" si="131"/>
        <v>0</v>
      </c>
      <c r="HU61" s="270">
        <f t="shared" si="131"/>
        <v>1</v>
      </c>
      <c r="HV61" s="427">
        <f t="shared" si="606"/>
        <v>0</v>
      </c>
      <c r="HW61" s="421">
        <f t="shared" si="133"/>
        <v>0</v>
      </c>
      <c r="HX61" s="270">
        <f t="shared" si="133"/>
        <v>1</v>
      </c>
      <c r="HY61" s="427">
        <f t="shared" si="607"/>
        <v>0</v>
      </c>
      <c r="HZ61" s="421">
        <f t="shared" si="135"/>
        <v>0</v>
      </c>
      <c r="IA61" s="270">
        <f t="shared" si="135"/>
        <v>1</v>
      </c>
      <c r="IB61" s="427">
        <f t="shared" si="608"/>
        <v>0</v>
      </c>
      <c r="IC61" s="421">
        <f t="shared" si="137"/>
        <v>0</v>
      </c>
      <c r="ID61" s="270">
        <f t="shared" si="137"/>
        <v>1</v>
      </c>
      <c r="IE61" s="427">
        <f t="shared" si="609"/>
        <v>0</v>
      </c>
      <c r="IF61" s="421">
        <f t="shared" si="139"/>
        <v>0</v>
      </c>
      <c r="IG61" s="270">
        <f t="shared" si="139"/>
        <v>1</v>
      </c>
      <c r="IH61" s="427">
        <f t="shared" si="610"/>
        <v>0</v>
      </c>
      <c r="II61" s="421">
        <f t="shared" si="141"/>
        <v>0</v>
      </c>
      <c r="IJ61" s="270">
        <f t="shared" si="141"/>
        <v>1</v>
      </c>
      <c r="IK61" s="427">
        <f t="shared" si="611"/>
        <v>0</v>
      </c>
      <c r="IL61" s="421">
        <f t="shared" si="143"/>
        <v>0</v>
      </c>
      <c r="IM61" s="270">
        <f t="shared" si="143"/>
        <v>1</v>
      </c>
      <c r="IN61" s="427">
        <f t="shared" si="612"/>
        <v>0</v>
      </c>
      <c r="IS61" s="447">
        <f t="shared" si="571"/>
        <v>0</v>
      </c>
      <c r="IT61" s="447">
        <f t="shared" si="571"/>
        <v>0</v>
      </c>
      <c r="IU61" s="447">
        <f t="shared" si="571"/>
        <v>0</v>
      </c>
      <c r="IV61" s="447">
        <f t="shared" si="571"/>
        <v>0</v>
      </c>
      <c r="IW61" s="447">
        <f t="shared" si="571"/>
        <v>0</v>
      </c>
      <c r="IX61" s="447">
        <f t="shared" si="571"/>
        <v>0</v>
      </c>
      <c r="IY61" s="447">
        <f t="shared" si="571"/>
        <v>0</v>
      </c>
      <c r="IZ61" s="447">
        <f t="shared" si="571"/>
        <v>0</v>
      </c>
      <c r="JA61" s="447">
        <f t="shared" si="571"/>
        <v>0</v>
      </c>
      <c r="JB61" s="447">
        <f t="shared" si="571"/>
        <v>0</v>
      </c>
      <c r="JC61" s="447">
        <f t="shared" si="572"/>
        <v>0</v>
      </c>
      <c r="JD61" s="447">
        <f t="shared" si="572"/>
        <v>0</v>
      </c>
      <c r="JE61" s="447">
        <f t="shared" si="572"/>
        <v>0</v>
      </c>
      <c r="JF61" s="447">
        <f t="shared" si="572"/>
        <v>0</v>
      </c>
      <c r="JG61" s="447">
        <f t="shared" si="572"/>
        <v>0</v>
      </c>
      <c r="JH61" s="447">
        <f t="shared" si="572"/>
        <v>0</v>
      </c>
      <c r="JI61" s="447">
        <f t="shared" si="572"/>
        <v>0</v>
      </c>
      <c r="JJ61" s="447">
        <f t="shared" si="572"/>
        <v>0</v>
      </c>
      <c r="JK61" s="447">
        <f t="shared" si="572"/>
        <v>0</v>
      </c>
      <c r="JL61" s="447">
        <f t="shared" si="572"/>
        <v>0</v>
      </c>
    </row>
    <row r="62" spans="1:319" s="242" customFormat="1" x14ac:dyDescent="0.35">
      <c r="A62" s="63">
        <v>56</v>
      </c>
      <c r="B62" s="63" t="s">
        <v>1804</v>
      </c>
      <c r="C62" s="63">
        <v>8</v>
      </c>
      <c r="D62" s="63">
        <v>-1</v>
      </c>
      <c r="E62" s="63">
        <v>0</v>
      </c>
      <c r="F62" s="63"/>
      <c r="G62" s="73">
        <v>1050</v>
      </c>
      <c r="H62" s="63"/>
      <c r="I62" s="265">
        <v>0</v>
      </c>
      <c r="J62" s="63">
        <f t="shared" ref="J62:J64" si="616">ROUND(IF(C62=4,E62*10%,0),0)</f>
        <v>0</v>
      </c>
      <c r="K62" s="63">
        <f t="shared" ref="K62:K64" si="617">ROUND(IF(C62=4,E62*2%,0),0)</f>
        <v>0</v>
      </c>
      <c r="L62" s="73">
        <v>500</v>
      </c>
      <c r="M62" s="63">
        <v>0</v>
      </c>
      <c r="N62" s="267">
        <v>0</v>
      </c>
      <c r="O62" s="268">
        <f>ROUND(IF(N62&lt;&gt;0,$BX$4/('全局参数|GlobalPar'!$B$19/10000/E62)/N62,0),6)</f>
        <v>0</v>
      </c>
      <c r="P62" s="270">
        <f t="shared" si="386"/>
        <v>0</v>
      </c>
      <c r="Q62" s="285">
        <f t="shared" ref="Q62:Q64" si="618">CX62</f>
        <v>0</v>
      </c>
      <c r="R62" s="282">
        <v>12</v>
      </c>
      <c r="S62" s="283">
        <v>1</v>
      </c>
      <c r="T62" s="284" t="str">
        <f t="shared" ref="T62:T64" si="619">"[["&amp;DR62&amp;","&amp;DS62&amp;"],["&amp;DU62&amp;","&amp;DV62&amp;"],["&amp;DX62&amp;","&amp;DY62&amp;"],["&amp;EA62&amp;","&amp;EB62&amp;"],["&amp;ED62&amp;","&amp;EE62&amp;"],["&amp;EG62&amp;","&amp;EH62&amp;"],["&amp;EJ62&amp;","&amp;EK62&amp;"],["&amp;EM62&amp;","&amp;EN62&amp;"],["&amp;EP62&amp;","&amp;EQ62&amp;"],["&amp;ES62&amp;","&amp;ET62&amp;"],["&amp;EV62&amp;","&amp;EW62&amp;"],["&amp;EY62&amp;","&amp;EZ62&amp;"],["&amp;FB62&amp;","&amp;FC62&amp;"],["&amp;FE62&amp;","&amp;FF62&amp;"],["&amp;FH62&amp;","&amp;FI62&amp;"],["&amp;FK62&amp;","&amp;FL62&amp;"],["&amp;FN62&amp;","&amp;FO62&amp;"],["&amp;FQ62&amp;","&amp;FR62&amp;"],["&amp;FT62&amp;","&amp;FU62&amp;"],["&amp;FW62&amp;","&amp;FX62&amp;"]]"</f>
        <v>[[0,1],[0,1],[0,1],[0,1],[0,1],[0,1],[0,1],[0,1],[0,1],[0,1],[0,2],[0,4],[0,6],[0,8],[0,10],[0,20],[0,40],[0,60],[0,80],[0,100]]</v>
      </c>
      <c r="U62" s="284">
        <v>1</v>
      </c>
      <c r="V62" s="284">
        <v>1</v>
      </c>
      <c r="W62" s="284" t="str">
        <f t="shared" si="168"/>
        <v>[[0,1],[0,1],[0,1],[0,1],[0,1],[0,1],[0,1],[0,1],[0,1],[0,1],[0,1],[0,1],[0,1],[0,1],[0,1],[0,1],[0,1],[0,1],[0,1],[0,1]]</v>
      </c>
      <c r="X62" s="63">
        <v>0</v>
      </c>
      <c r="Y62" s="268">
        <v>0</v>
      </c>
      <c r="Z62" s="311">
        <f t="shared" ref="Z62:Z64" si="620">(J62+K62)/100</f>
        <v>0</v>
      </c>
      <c r="AA62" s="312">
        <v>0</v>
      </c>
      <c r="AB62" s="313">
        <f t="shared" ref="AB62:AB64" si="621">CH62</f>
        <v>0</v>
      </c>
      <c r="AC62" s="304">
        <v>0</v>
      </c>
      <c r="AD62" s="303">
        <v>0</v>
      </c>
      <c r="AE62" s="303">
        <v>0</v>
      </c>
      <c r="AF62" s="303">
        <v>0</v>
      </c>
      <c r="AG62" s="63" t="str">
        <f t="shared" ref="AG62:AG64" si="622">"[["&amp;CI62&amp;","&amp;CJ62&amp;"],["&amp;CK62&amp;","&amp;CL62&amp;"],["&amp;CM62&amp;","&amp;CN62&amp;"]]"</f>
        <v>[[6,5],[8,2],[10,2]]</v>
      </c>
      <c r="AH62" s="256" t="str">
        <f t="shared" ref="AH62:AH64" si="623">"["&amp;CQ62&amp;","&amp;CS62&amp;","&amp;CU62&amp;"]"</f>
        <v>[0,0,0]</v>
      </c>
      <c r="AI62" s="256">
        <v>0</v>
      </c>
      <c r="AJ62" s="256">
        <v>0</v>
      </c>
      <c r="AK62" s="256">
        <f t="shared" si="243"/>
        <v>0</v>
      </c>
      <c r="AL62" s="256">
        <v>0</v>
      </c>
      <c r="AM62" s="256">
        <f t="shared" si="172"/>
        <v>0</v>
      </c>
      <c r="AN62" s="256" t="s">
        <v>2550</v>
      </c>
      <c r="AO62" s="324">
        <v>0</v>
      </c>
      <c r="AP62" s="63">
        <f t="shared" si="613"/>
        <v>-1</v>
      </c>
      <c r="AQ62" s="63">
        <v>0</v>
      </c>
      <c r="AR62" s="63">
        <v>1</v>
      </c>
      <c r="AS62" s="39">
        <v>4</v>
      </c>
      <c r="AT62" s="39">
        <v>0</v>
      </c>
      <c r="AU62" s="63">
        <v>1</v>
      </c>
      <c r="AV62" s="63">
        <f t="shared" si="615"/>
        <v>1</v>
      </c>
      <c r="AW62" s="63">
        <v>1</v>
      </c>
      <c r="AX62" s="63">
        <v>1</v>
      </c>
      <c r="AY62" s="63"/>
      <c r="AZ62" s="39"/>
      <c r="BA62" s="39"/>
      <c r="BB62" s="328">
        <v>1</v>
      </c>
      <c r="BC62" s="39">
        <v>1602</v>
      </c>
      <c r="BD62" s="39">
        <v>0.18</v>
      </c>
      <c r="BE62" s="39">
        <v>0.8</v>
      </c>
      <c r="BF62" s="39">
        <v>1</v>
      </c>
      <c r="BG62" s="39" t="s">
        <v>1786</v>
      </c>
      <c r="BH62" s="331" t="s">
        <v>1805</v>
      </c>
      <c r="BI62" s="331" t="s">
        <v>1805</v>
      </c>
      <c r="BJ62" s="265"/>
      <c r="BK62" s="265"/>
      <c r="BL62" s="265"/>
      <c r="BM62" s="265"/>
      <c r="BN62" s="81">
        <f t="shared" si="387"/>
        <v>0</v>
      </c>
      <c r="BO62" s="343">
        <f t="shared" ref="BO62:BO64" si="624">IF(BN62=0,0,$BR$1/BN62)</f>
        <v>0</v>
      </c>
      <c r="BP62" s="81" t="s">
        <v>1606</v>
      </c>
      <c r="BQ62" s="81">
        <f t="shared" si="388"/>
        <v>0.746</v>
      </c>
      <c r="BR62" s="81"/>
      <c r="BS62" s="63">
        <f t="shared" si="543"/>
        <v>0</v>
      </c>
      <c r="BT62" s="63">
        <f t="shared" si="614"/>
        <v>0</v>
      </c>
      <c r="BV62" s="63">
        <f t="shared" si="544"/>
        <v>0</v>
      </c>
      <c r="CG62" s="371">
        <f t="shared" si="545"/>
        <v>0</v>
      </c>
      <c r="CH62" s="374">
        <f t="shared" si="214"/>
        <v>0</v>
      </c>
      <c r="CI62" s="373">
        <v>6</v>
      </c>
      <c r="CJ62" s="143">
        <v>5</v>
      </c>
      <c r="CK62" s="373">
        <v>8</v>
      </c>
      <c r="CL62" s="143">
        <v>2</v>
      </c>
      <c r="CM62" s="373">
        <v>10</v>
      </c>
      <c r="CN62" s="143">
        <v>2</v>
      </c>
      <c r="CO62" s="143">
        <f t="shared" ref="CO62:CO64" si="625">(CI62*CJ62+CK62*CL62+CM62*CN62)/(CJ62+CL62+CN62)</f>
        <v>7.333333333333333</v>
      </c>
      <c r="CP62" s="143">
        <f t="shared" si="550"/>
        <v>7.5</v>
      </c>
      <c r="CQ62" s="377">
        <f t="shared" si="176"/>
        <v>0</v>
      </c>
      <c r="CR62" s="143">
        <f t="shared" si="550"/>
        <v>15</v>
      </c>
      <c r="CS62" s="378">
        <f t="shared" si="177"/>
        <v>0</v>
      </c>
      <c r="CT62" s="143">
        <f t="shared" si="550"/>
        <v>22.5</v>
      </c>
      <c r="CU62" s="392">
        <f t="shared" si="178"/>
        <v>0</v>
      </c>
      <c r="CW62" s="242">
        <v>0</v>
      </c>
      <c r="CX62" s="396">
        <f t="shared" si="215"/>
        <v>0</v>
      </c>
      <c r="CY62" s="270">
        <f t="shared" si="546"/>
        <v>0</v>
      </c>
      <c r="CZ62" s="394">
        <f t="shared" si="547"/>
        <v>0</v>
      </c>
      <c r="DA62" s="394">
        <f t="shared" ref="DA62:DA64" si="626">$CZ62*DA$3/DF62</f>
        <v>0</v>
      </c>
      <c r="DB62" s="395">
        <f t="shared" ref="DB62:DB64" si="627">IF(DA62&gt;$DB$3,CX62*$DB$3/DA62,$CX62)</f>
        <v>0</v>
      </c>
      <c r="DC62" s="419">
        <f t="shared" si="548"/>
        <v>0</v>
      </c>
      <c r="DD62" s="394">
        <f t="shared" ref="DD62:DD64" si="628">$DC62*DA$3/DF62</f>
        <v>0</v>
      </c>
      <c r="DE62" s="420" t="e">
        <f t="shared" si="549"/>
        <v>#DIV/0!</v>
      </c>
      <c r="DF62" s="421">
        <f t="shared" ref="DF62:DF64" si="629">IF($DA$3&lt;$DI$2,DI62,DI62*INT($DA$3/$DI$2))</f>
        <v>12</v>
      </c>
      <c r="DG62" s="422">
        <f t="shared" ref="DG62:DG64" si="630">IF($DA$3&lt;$DI$2,DJ62,DJ62*INT($DA$3/$DI$2))</f>
        <v>1</v>
      </c>
      <c r="DH62" s="284"/>
      <c r="DI62" s="282">
        <v>12</v>
      </c>
      <c r="DJ62" s="283">
        <v>1</v>
      </c>
      <c r="DL62" s="430"/>
      <c r="DQ62" s="427"/>
      <c r="DR62" s="421">
        <v>0</v>
      </c>
      <c r="DS62" s="270">
        <v>1</v>
      </c>
      <c r="DT62" s="427">
        <f t="shared" si="573"/>
        <v>0</v>
      </c>
      <c r="DU62" s="421">
        <f t="shared" ref="DU62:DU64" si="631">DR62</f>
        <v>0</v>
      </c>
      <c r="DV62" s="270">
        <f t="shared" ref="DV62:DV64" si="632">DS62</f>
        <v>1</v>
      </c>
      <c r="DW62" s="427">
        <f t="shared" si="574"/>
        <v>0</v>
      </c>
      <c r="DX62" s="421">
        <f t="shared" ref="DX62:DX64" si="633">DU62</f>
        <v>0</v>
      </c>
      <c r="DY62" s="270">
        <f t="shared" ref="DY62:DY64" si="634">DV62</f>
        <v>1</v>
      </c>
      <c r="DZ62" s="427">
        <f t="shared" si="575"/>
        <v>0</v>
      </c>
      <c r="EA62" s="421">
        <f t="shared" ref="EA62:EA64" si="635">DX62</f>
        <v>0</v>
      </c>
      <c r="EB62" s="270">
        <f t="shared" ref="EB62:EB64" si="636">DY62</f>
        <v>1</v>
      </c>
      <c r="EC62" s="427">
        <f t="shared" si="576"/>
        <v>0</v>
      </c>
      <c r="ED62" s="421">
        <f t="shared" ref="ED62:ED64" si="637">EA62</f>
        <v>0</v>
      </c>
      <c r="EE62" s="270">
        <f t="shared" ref="EE62:EE64" si="638">EB62</f>
        <v>1</v>
      </c>
      <c r="EF62" s="427">
        <f t="shared" si="577"/>
        <v>0</v>
      </c>
      <c r="EG62" s="421">
        <f t="shared" ref="EG62:EG64" si="639">ED62</f>
        <v>0</v>
      </c>
      <c r="EH62" s="270">
        <f t="shared" ref="EH62:EH64" si="640">EE62</f>
        <v>1</v>
      </c>
      <c r="EI62" s="427">
        <f t="shared" si="578"/>
        <v>0</v>
      </c>
      <c r="EJ62" s="421">
        <f t="shared" ref="EJ62:EJ64" si="641">EG62</f>
        <v>0</v>
      </c>
      <c r="EK62" s="270">
        <f t="shared" ref="EK62:EK64" si="642">EH62</f>
        <v>1</v>
      </c>
      <c r="EL62" s="427">
        <f t="shared" si="579"/>
        <v>0</v>
      </c>
      <c r="EM62" s="421">
        <f t="shared" ref="EM62:EM64" si="643">EJ62</f>
        <v>0</v>
      </c>
      <c r="EN62" s="270">
        <f t="shared" ref="EN62:EN64" si="644">EK62</f>
        <v>1</v>
      </c>
      <c r="EO62" s="427">
        <f t="shared" si="580"/>
        <v>0</v>
      </c>
      <c r="EP62" s="421">
        <f t="shared" ref="EP62:EP64" si="645">EM62</f>
        <v>0</v>
      </c>
      <c r="EQ62" s="270">
        <f t="shared" ref="EQ62:EQ64" si="646">EN62</f>
        <v>1</v>
      </c>
      <c r="ER62" s="427">
        <f t="shared" si="581"/>
        <v>0</v>
      </c>
      <c r="ES62" s="421">
        <f t="shared" ref="ES62:ES64" si="647">EP62</f>
        <v>0</v>
      </c>
      <c r="ET62" s="270">
        <f t="shared" ref="ET62:ET64" si="648">EQ62</f>
        <v>1</v>
      </c>
      <c r="EU62" s="427">
        <f t="shared" si="582"/>
        <v>0</v>
      </c>
      <c r="EV62" s="421">
        <f t="shared" si="558"/>
        <v>0</v>
      </c>
      <c r="EW62" s="270">
        <f t="shared" ref="EW62:EW64" si="649">$ET62*EV$4/$ES$4</f>
        <v>2</v>
      </c>
      <c r="EX62" s="427">
        <f t="shared" si="583"/>
        <v>0</v>
      </c>
      <c r="EY62" s="421">
        <f t="shared" si="558"/>
        <v>0</v>
      </c>
      <c r="EZ62" s="270">
        <f t="shared" ref="EZ62:EZ64" si="650">$ET62*EY$4/$ES$4</f>
        <v>4</v>
      </c>
      <c r="FA62" s="427">
        <f t="shared" si="584"/>
        <v>0</v>
      </c>
      <c r="FB62" s="421">
        <f t="shared" si="558"/>
        <v>0</v>
      </c>
      <c r="FC62" s="270">
        <f t="shared" ref="FC62:FC64" si="651">$ET62*FB$4/$ES$4</f>
        <v>6</v>
      </c>
      <c r="FD62" s="427">
        <f t="shared" si="585"/>
        <v>0</v>
      </c>
      <c r="FE62" s="421">
        <f t="shared" si="558"/>
        <v>0</v>
      </c>
      <c r="FF62" s="270">
        <f t="shared" ref="FF62:FF64" si="652">$ET62*FE$4/$ES$4</f>
        <v>8</v>
      </c>
      <c r="FG62" s="427">
        <f t="shared" si="586"/>
        <v>0</v>
      </c>
      <c r="FH62" s="421">
        <f t="shared" si="558"/>
        <v>0</v>
      </c>
      <c r="FI62" s="270">
        <f t="shared" ref="FI62:FI64" si="653">$ET62*FH$4/$ES$4</f>
        <v>10</v>
      </c>
      <c r="FJ62" s="427">
        <f t="shared" si="587"/>
        <v>0</v>
      </c>
      <c r="FK62" s="421">
        <f t="shared" si="558"/>
        <v>0</v>
      </c>
      <c r="FL62" s="270">
        <f t="shared" ref="FL62:FL64" si="654">$ET62*FK$4/$ES$4</f>
        <v>20</v>
      </c>
      <c r="FM62" s="427">
        <f t="shared" si="588"/>
        <v>0</v>
      </c>
      <c r="FN62" s="421">
        <f t="shared" si="558"/>
        <v>0</v>
      </c>
      <c r="FO62" s="270">
        <f t="shared" ref="FO62:FO64" si="655">$ET62*FN$4/$ES$4</f>
        <v>40</v>
      </c>
      <c r="FP62" s="427">
        <f t="shared" si="589"/>
        <v>0</v>
      </c>
      <c r="FQ62" s="421">
        <f t="shared" si="558"/>
        <v>0</v>
      </c>
      <c r="FR62" s="270">
        <f t="shared" ref="FR62:FR64" si="656">$ET62*FQ$4/$ES$4</f>
        <v>60</v>
      </c>
      <c r="FS62" s="427">
        <f t="shared" si="590"/>
        <v>0</v>
      </c>
      <c r="FT62" s="421">
        <f t="shared" si="558"/>
        <v>0</v>
      </c>
      <c r="FU62" s="270">
        <f t="shared" ref="FU62:FU64" si="657">$ET62*FT$4/$ES$4</f>
        <v>80</v>
      </c>
      <c r="FV62" s="427">
        <f t="shared" si="591"/>
        <v>0</v>
      </c>
      <c r="FW62" s="421">
        <f t="shared" si="558"/>
        <v>0</v>
      </c>
      <c r="FX62" s="270">
        <f t="shared" ref="FX62:FX64" si="658">$ET62*FW$4/$ES$4</f>
        <v>100</v>
      </c>
      <c r="FY62" s="427">
        <f t="shared" si="592"/>
        <v>0</v>
      </c>
      <c r="GA62" s="430"/>
      <c r="GF62" s="427"/>
      <c r="GG62" s="421">
        <v>0</v>
      </c>
      <c r="GH62" s="270">
        <v>1</v>
      </c>
      <c r="GI62" s="427">
        <f t="shared" si="593"/>
        <v>0</v>
      </c>
      <c r="GJ62" s="421">
        <f t="shared" si="98"/>
        <v>0</v>
      </c>
      <c r="GK62" s="270">
        <f t="shared" si="99"/>
        <v>1</v>
      </c>
      <c r="GL62" s="427">
        <f t="shared" si="594"/>
        <v>0</v>
      </c>
      <c r="GM62" s="421">
        <f t="shared" si="101"/>
        <v>0</v>
      </c>
      <c r="GN62" s="270">
        <f t="shared" si="102"/>
        <v>1</v>
      </c>
      <c r="GO62" s="427">
        <f t="shared" si="595"/>
        <v>0</v>
      </c>
      <c r="GP62" s="421">
        <f t="shared" si="104"/>
        <v>0</v>
      </c>
      <c r="GQ62" s="270">
        <f t="shared" si="105"/>
        <v>1</v>
      </c>
      <c r="GR62" s="427">
        <f t="shared" si="596"/>
        <v>0</v>
      </c>
      <c r="GS62" s="421">
        <f t="shared" si="107"/>
        <v>0</v>
      </c>
      <c r="GT62" s="270">
        <f t="shared" si="108"/>
        <v>1</v>
      </c>
      <c r="GU62" s="427">
        <f t="shared" si="597"/>
        <v>0</v>
      </c>
      <c r="GV62" s="421">
        <f t="shared" si="110"/>
        <v>0</v>
      </c>
      <c r="GW62" s="270">
        <f t="shared" si="111"/>
        <v>1</v>
      </c>
      <c r="GX62" s="427">
        <f t="shared" si="598"/>
        <v>0</v>
      </c>
      <c r="GY62" s="421">
        <f t="shared" si="113"/>
        <v>0</v>
      </c>
      <c r="GZ62" s="270">
        <f t="shared" si="114"/>
        <v>1</v>
      </c>
      <c r="HA62" s="427">
        <f t="shared" si="599"/>
        <v>0</v>
      </c>
      <c r="HB62" s="421">
        <f t="shared" si="116"/>
        <v>0</v>
      </c>
      <c r="HC62" s="270">
        <f t="shared" si="117"/>
        <v>1</v>
      </c>
      <c r="HD62" s="427">
        <f t="shared" si="600"/>
        <v>0</v>
      </c>
      <c r="HE62" s="421">
        <f t="shared" si="119"/>
        <v>0</v>
      </c>
      <c r="HF62" s="270">
        <f t="shared" si="120"/>
        <v>1</v>
      </c>
      <c r="HG62" s="427">
        <f t="shared" si="601"/>
        <v>0</v>
      </c>
      <c r="HH62" s="421">
        <f t="shared" si="122"/>
        <v>0</v>
      </c>
      <c r="HI62" s="270">
        <f t="shared" si="123"/>
        <v>1</v>
      </c>
      <c r="HJ62" s="427">
        <f t="shared" si="602"/>
        <v>0</v>
      </c>
      <c r="HK62" s="421">
        <f t="shared" si="125"/>
        <v>0</v>
      </c>
      <c r="HL62" s="270">
        <f t="shared" si="125"/>
        <v>1</v>
      </c>
      <c r="HM62" s="427">
        <f t="shared" si="603"/>
        <v>0</v>
      </c>
      <c r="HN62" s="421">
        <f t="shared" si="127"/>
        <v>0</v>
      </c>
      <c r="HO62" s="270">
        <f t="shared" si="127"/>
        <v>1</v>
      </c>
      <c r="HP62" s="427">
        <f t="shared" si="604"/>
        <v>0</v>
      </c>
      <c r="HQ62" s="421">
        <f t="shared" si="129"/>
        <v>0</v>
      </c>
      <c r="HR62" s="270">
        <f t="shared" si="129"/>
        <v>1</v>
      </c>
      <c r="HS62" s="427">
        <f t="shared" si="605"/>
        <v>0</v>
      </c>
      <c r="HT62" s="421">
        <f t="shared" si="131"/>
        <v>0</v>
      </c>
      <c r="HU62" s="270">
        <f t="shared" si="131"/>
        <v>1</v>
      </c>
      <c r="HV62" s="427">
        <f t="shared" si="606"/>
        <v>0</v>
      </c>
      <c r="HW62" s="421">
        <f t="shared" si="133"/>
        <v>0</v>
      </c>
      <c r="HX62" s="270">
        <f t="shared" si="133"/>
        <v>1</v>
      </c>
      <c r="HY62" s="427">
        <f t="shared" si="607"/>
        <v>0</v>
      </c>
      <c r="HZ62" s="421">
        <f t="shared" si="135"/>
        <v>0</v>
      </c>
      <c r="IA62" s="270">
        <f t="shared" si="135"/>
        <v>1</v>
      </c>
      <c r="IB62" s="427">
        <f t="shared" si="608"/>
        <v>0</v>
      </c>
      <c r="IC62" s="421">
        <f t="shared" si="137"/>
        <v>0</v>
      </c>
      <c r="ID62" s="270">
        <f t="shared" si="137"/>
        <v>1</v>
      </c>
      <c r="IE62" s="427">
        <f t="shared" si="609"/>
        <v>0</v>
      </c>
      <c r="IF62" s="421">
        <f t="shared" si="139"/>
        <v>0</v>
      </c>
      <c r="IG62" s="270">
        <f t="shared" si="139"/>
        <v>1</v>
      </c>
      <c r="IH62" s="427">
        <f t="shared" si="610"/>
        <v>0</v>
      </c>
      <c r="II62" s="421">
        <f t="shared" si="141"/>
        <v>0</v>
      </c>
      <c r="IJ62" s="270">
        <f t="shared" si="141"/>
        <v>1</v>
      </c>
      <c r="IK62" s="427">
        <f t="shared" si="611"/>
        <v>0</v>
      </c>
      <c r="IL62" s="421">
        <f t="shared" si="143"/>
        <v>0</v>
      </c>
      <c r="IM62" s="270">
        <f t="shared" si="143"/>
        <v>1</v>
      </c>
      <c r="IN62" s="427">
        <f t="shared" si="612"/>
        <v>0</v>
      </c>
      <c r="IS62" s="447">
        <f t="shared" si="571"/>
        <v>0</v>
      </c>
      <c r="IT62" s="447">
        <f t="shared" si="571"/>
        <v>0</v>
      </c>
      <c r="IU62" s="447">
        <f t="shared" si="571"/>
        <v>0</v>
      </c>
      <c r="IV62" s="447">
        <f t="shared" si="571"/>
        <v>0</v>
      </c>
      <c r="IW62" s="447">
        <f t="shared" si="571"/>
        <v>0</v>
      </c>
      <c r="IX62" s="447">
        <f t="shared" si="571"/>
        <v>0</v>
      </c>
      <c r="IY62" s="447">
        <f t="shared" si="571"/>
        <v>0</v>
      </c>
      <c r="IZ62" s="447">
        <f t="shared" si="571"/>
        <v>0</v>
      </c>
      <c r="JA62" s="447">
        <f t="shared" si="571"/>
        <v>0</v>
      </c>
      <c r="JB62" s="447">
        <f t="shared" si="571"/>
        <v>0</v>
      </c>
      <c r="JC62" s="447">
        <f t="shared" si="572"/>
        <v>0</v>
      </c>
      <c r="JD62" s="447">
        <f t="shared" si="572"/>
        <v>0</v>
      </c>
      <c r="JE62" s="447">
        <f t="shared" si="572"/>
        <v>0</v>
      </c>
      <c r="JF62" s="447">
        <f t="shared" si="572"/>
        <v>0</v>
      </c>
      <c r="JG62" s="447">
        <f t="shared" si="572"/>
        <v>0</v>
      </c>
      <c r="JH62" s="447">
        <f t="shared" si="572"/>
        <v>0</v>
      </c>
      <c r="JI62" s="447">
        <f t="shared" si="572"/>
        <v>0</v>
      </c>
      <c r="JJ62" s="447">
        <f t="shared" si="572"/>
        <v>0</v>
      </c>
      <c r="JK62" s="447">
        <f t="shared" si="572"/>
        <v>0</v>
      </c>
      <c r="JL62" s="447">
        <f t="shared" si="572"/>
        <v>0</v>
      </c>
    </row>
    <row r="63" spans="1:319" x14ac:dyDescent="0.35">
      <c r="A63" s="63">
        <v>57</v>
      </c>
      <c r="B63" s="63" t="s">
        <v>1804</v>
      </c>
      <c r="C63" s="63">
        <v>8</v>
      </c>
      <c r="D63" s="63">
        <v>-1</v>
      </c>
      <c r="E63" s="63">
        <v>0</v>
      </c>
      <c r="F63" s="63"/>
      <c r="G63" s="73">
        <v>1060</v>
      </c>
      <c r="H63" s="63"/>
      <c r="I63" s="265">
        <v>0</v>
      </c>
      <c r="J63" s="63">
        <f t="shared" si="616"/>
        <v>0</v>
      </c>
      <c r="K63" s="63">
        <f t="shared" si="617"/>
        <v>0</v>
      </c>
      <c r="L63" s="73">
        <v>2000</v>
      </c>
      <c r="M63" s="63">
        <v>0</v>
      </c>
      <c r="N63" s="267">
        <v>0</v>
      </c>
      <c r="O63" s="268">
        <f>ROUND(IF(N63&lt;&gt;0,$BX$4/('全局参数|GlobalPar'!$B$19/10000/E63)/N63,0),6)</f>
        <v>0</v>
      </c>
      <c r="P63" s="270">
        <f t="shared" si="386"/>
        <v>0</v>
      </c>
      <c r="Q63" s="285">
        <f t="shared" si="618"/>
        <v>0</v>
      </c>
      <c r="R63" s="282">
        <v>12</v>
      </c>
      <c r="S63" s="283">
        <v>1</v>
      </c>
      <c r="T63" s="284" t="str">
        <f t="shared" si="619"/>
        <v>[[0,1],[0,1],[0,1],[0,1],[0,1],[0,1],[0,1],[0,1],[0,1],[0,1],[0,2],[0,4],[0,6],[0,8],[0,10],[0,20],[0,40],[0,60],[0,80],[0,100]]</v>
      </c>
      <c r="U63" s="284">
        <v>1</v>
      </c>
      <c r="V63" s="284">
        <v>1</v>
      </c>
      <c r="W63" s="284" t="str">
        <f t="shared" si="168"/>
        <v>[[0,1],[0,1],[0,1],[0,1],[0,1],[0,1],[0,1],[0,1],[0,1],[0,1],[0,1],[0,1],[0,1],[0,1],[0,1],[0,1],[0,1],[0,1],[0,1],[0,1]]</v>
      </c>
      <c r="X63" s="63">
        <v>0</v>
      </c>
      <c r="Y63" s="268">
        <v>0</v>
      </c>
      <c r="Z63" s="311">
        <f t="shared" si="620"/>
        <v>0</v>
      </c>
      <c r="AA63" s="312">
        <v>0</v>
      </c>
      <c r="AB63" s="313">
        <f t="shared" si="621"/>
        <v>0</v>
      </c>
      <c r="AC63" s="304">
        <v>0</v>
      </c>
      <c r="AD63" s="303">
        <v>0</v>
      </c>
      <c r="AE63" s="303">
        <v>0</v>
      </c>
      <c r="AF63" s="303">
        <v>0</v>
      </c>
      <c r="AG63" s="63" t="str">
        <f t="shared" si="622"/>
        <v>[[6,5],[8,2],[10,2]]</v>
      </c>
      <c r="AH63" s="256" t="str">
        <f t="shared" si="623"/>
        <v>[0,0,0]</v>
      </c>
      <c r="AI63" s="256">
        <v>0</v>
      </c>
      <c r="AJ63" s="256">
        <v>0</v>
      </c>
      <c r="AK63" s="256">
        <f t="shared" si="243"/>
        <v>0</v>
      </c>
      <c r="AL63" s="256">
        <v>0</v>
      </c>
      <c r="AM63" s="256">
        <f t="shared" si="172"/>
        <v>0</v>
      </c>
      <c r="AN63" s="256" t="s">
        <v>2550</v>
      </c>
      <c r="AO63" s="324">
        <v>0</v>
      </c>
      <c r="AP63" s="63">
        <f t="shared" si="613"/>
        <v>-1</v>
      </c>
      <c r="AQ63" s="63">
        <v>0</v>
      </c>
      <c r="AR63" s="39">
        <v>2</v>
      </c>
      <c r="AS63" s="39">
        <v>4</v>
      </c>
      <c r="AT63" s="39">
        <v>0</v>
      </c>
      <c r="AU63" s="63">
        <v>0.6</v>
      </c>
      <c r="AV63" s="63">
        <f t="shared" si="615"/>
        <v>0.6</v>
      </c>
      <c r="AW63" s="63">
        <v>1</v>
      </c>
      <c r="AX63" s="63">
        <v>1</v>
      </c>
      <c r="AY63" s="63"/>
      <c r="AZ63" s="39"/>
      <c r="BA63" s="39"/>
      <c r="BB63" s="328">
        <v>1</v>
      </c>
      <c r="BC63" s="39">
        <v>1603</v>
      </c>
      <c r="BD63" s="39">
        <v>0.18</v>
      </c>
      <c r="BE63" s="39">
        <v>0.8</v>
      </c>
      <c r="BF63" s="39">
        <v>1</v>
      </c>
      <c r="BG63" s="39" t="s">
        <v>1786</v>
      </c>
      <c r="BH63" s="331" t="s">
        <v>1805</v>
      </c>
      <c r="BI63" s="331" t="s">
        <v>1805</v>
      </c>
      <c r="BJ63" s="265"/>
      <c r="BK63" s="265"/>
      <c r="BL63" s="265"/>
      <c r="BM63" s="265"/>
      <c r="BN63" s="81">
        <f t="shared" si="387"/>
        <v>0</v>
      </c>
      <c r="BO63" s="343">
        <f t="shared" si="624"/>
        <v>0</v>
      </c>
      <c r="BP63" s="81" t="s">
        <v>1606</v>
      </c>
      <c r="BQ63" s="81">
        <f t="shared" si="388"/>
        <v>0.44800000000000001</v>
      </c>
      <c r="BR63" s="81"/>
      <c r="BS63" s="63">
        <f t="shared" si="543"/>
        <v>0</v>
      </c>
      <c r="BT63" s="63">
        <f t="shared" si="614"/>
        <v>0</v>
      </c>
      <c r="BV63" s="63">
        <f t="shared" si="544"/>
        <v>0</v>
      </c>
      <c r="CG63" s="371">
        <f t="shared" si="545"/>
        <v>0</v>
      </c>
      <c r="CH63" s="374">
        <f t="shared" si="214"/>
        <v>0</v>
      </c>
      <c r="CI63" s="373">
        <v>6</v>
      </c>
      <c r="CJ63" s="143">
        <v>5</v>
      </c>
      <c r="CK63" s="373">
        <v>8</v>
      </c>
      <c r="CL63" s="143">
        <v>2</v>
      </c>
      <c r="CM63" s="373">
        <v>10</v>
      </c>
      <c r="CN63" s="143">
        <v>2</v>
      </c>
      <c r="CO63" s="143">
        <f t="shared" si="625"/>
        <v>7.333333333333333</v>
      </c>
      <c r="CP63" s="143">
        <f t="shared" ref="CP63:CT64" si="659">CP$3/10</f>
        <v>7.5</v>
      </c>
      <c r="CQ63" s="377">
        <f t="shared" si="176"/>
        <v>0</v>
      </c>
      <c r="CR63" s="143">
        <f t="shared" si="659"/>
        <v>15</v>
      </c>
      <c r="CS63" s="378">
        <f t="shared" si="177"/>
        <v>0</v>
      </c>
      <c r="CT63" s="143">
        <f t="shared" si="659"/>
        <v>22.5</v>
      </c>
      <c r="CU63" s="392">
        <f t="shared" si="178"/>
        <v>0</v>
      </c>
      <c r="CW63" s="241">
        <v>0</v>
      </c>
      <c r="CX63" s="396">
        <f t="shared" si="215"/>
        <v>0</v>
      </c>
      <c r="CY63" s="270">
        <f t="shared" si="546"/>
        <v>0</v>
      </c>
      <c r="CZ63" s="394">
        <f t="shared" si="547"/>
        <v>0</v>
      </c>
      <c r="DA63" s="394">
        <f t="shared" si="626"/>
        <v>0</v>
      </c>
      <c r="DB63" s="395">
        <f t="shared" si="627"/>
        <v>0</v>
      </c>
      <c r="DC63" s="419">
        <f t="shared" si="548"/>
        <v>0</v>
      </c>
      <c r="DD63" s="394">
        <f t="shared" si="628"/>
        <v>0</v>
      </c>
      <c r="DE63" s="420" t="e">
        <f t="shared" si="549"/>
        <v>#DIV/0!</v>
      </c>
      <c r="DF63" s="421">
        <f t="shared" si="629"/>
        <v>12</v>
      </c>
      <c r="DG63" s="422">
        <f t="shared" si="630"/>
        <v>1</v>
      </c>
      <c r="DH63" s="284"/>
      <c r="DI63" s="282">
        <v>12</v>
      </c>
      <c r="DJ63" s="283">
        <v>1</v>
      </c>
      <c r="DL63" s="431"/>
      <c r="DM63" s="242"/>
      <c r="DQ63" s="427"/>
      <c r="DR63" s="421">
        <v>0</v>
      </c>
      <c r="DS63" s="270">
        <v>1</v>
      </c>
      <c r="DT63" s="427">
        <f t="shared" si="573"/>
        <v>0</v>
      </c>
      <c r="DU63" s="421">
        <f t="shared" si="631"/>
        <v>0</v>
      </c>
      <c r="DV63" s="270">
        <f t="shared" si="632"/>
        <v>1</v>
      </c>
      <c r="DW63" s="427">
        <f t="shared" si="574"/>
        <v>0</v>
      </c>
      <c r="DX63" s="421">
        <f t="shared" si="633"/>
        <v>0</v>
      </c>
      <c r="DY63" s="270">
        <f t="shared" si="634"/>
        <v>1</v>
      </c>
      <c r="DZ63" s="427">
        <f t="shared" si="575"/>
        <v>0</v>
      </c>
      <c r="EA63" s="421">
        <f t="shared" si="635"/>
        <v>0</v>
      </c>
      <c r="EB63" s="270">
        <f t="shared" si="636"/>
        <v>1</v>
      </c>
      <c r="EC63" s="427">
        <f t="shared" si="576"/>
        <v>0</v>
      </c>
      <c r="ED63" s="421">
        <f t="shared" si="637"/>
        <v>0</v>
      </c>
      <c r="EE63" s="270">
        <f t="shared" si="638"/>
        <v>1</v>
      </c>
      <c r="EF63" s="427">
        <f t="shared" si="577"/>
        <v>0</v>
      </c>
      <c r="EG63" s="421">
        <f t="shared" si="639"/>
        <v>0</v>
      </c>
      <c r="EH63" s="270">
        <f t="shared" si="640"/>
        <v>1</v>
      </c>
      <c r="EI63" s="427">
        <f t="shared" si="578"/>
        <v>0</v>
      </c>
      <c r="EJ63" s="421">
        <f t="shared" si="641"/>
        <v>0</v>
      </c>
      <c r="EK63" s="270">
        <f t="shared" si="642"/>
        <v>1</v>
      </c>
      <c r="EL63" s="427">
        <f t="shared" si="579"/>
        <v>0</v>
      </c>
      <c r="EM63" s="421">
        <f t="shared" si="643"/>
        <v>0</v>
      </c>
      <c r="EN63" s="270">
        <f t="shared" si="644"/>
        <v>1</v>
      </c>
      <c r="EO63" s="427">
        <f t="shared" si="580"/>
        <v>0</v>
      </c>
      <c r="EP63" s="421">
        <f t="shared" si="645"/>
        <v>0</v>
      </c>
      <c r="EQ63" s="270">
        <f t="shared" si="646"/>
        <v>1</v>
      </c>
      <c r="ER63" s="427">
        <f t="shared" si="581"/>
        <v>0</v>
      </c>
      <c r="ES63" s="421">
        <f t="shared" si="647"/>
        <v>0</v>
      </c>
      <c r="ET63" s="270">
        <f t="shared" si="648"/>
        <v>1</v>
      </c>
      <c r="EU63" s="427">
        <f t="shared" si="582"/>
        <v>0</v>
      </c>
      <c r="EV63" s="421">
        <f t="shared" si="558"/>
        <v>0</v>
      </c>
      <c r="EW63" s="270">
        <f t="shared" si="649"/>
        <v>2</v>
      </c>
      <c r="EX63" s="427">
        <f t="shared" si="583"/>
        <v>0</v>
      </c>
      <c r="EY63" s="421">
        <f t="shared" si="558"/>
        <v>0</v>
      </c>
      <c r="EZ63" s="270">
        <f t="shared" si="650"/>
        <v>4</v>
      </c>
      <c r="FA63" s="427">
        <f t="shared" si="584"/>
        <v>0</v>
      </c>
      <c r="FB63" s="421">
        <f t="shared" si="558"/>
        <v>0</v>
      </c>
      <c r="FC63" s="270">
        <f t="shared" si="651"/>
        <v>6</v>
      </c>
      <c r="FD63" s="427">
        <f t="shared" si="585"/>
        <v>0</v>
      </c>
      <c r="FE63" s="421">
        <f t="shared" si="558"/>
        <v>0</v>
      </c>
      <c r="FF63" s="270">
        <f t="shared" si="652"/>
        <v>8</v>
      </c>
      <c r="FG63" s="427">
        <f t="shared" si="586"/>
        <v>0</v>
      </c>
      <c r="FH63" s="421">
        <f t="shared" si="558"/>
        <v>0</v>
      </c>
      <c r="FI63" s="270">
        <f t="shared" si="653"/>
        <v>10</v>
      </c>
      <c r="FJ63" s="427">
        <f t="shared" si="587"/>
        <v>0</v>
      </c>
      <c r="FK63" s="421">
        <f t="shared" si="558"/>
        <v>0</v>
      </c>
      <c r="FL63" s="270">
        <f t="shared" si="654"/>
        <v>20</v>
      </c>
      <c r="FM63" s="427">
        <f t="shared" si="588"/>
        <v>0</v>
      </c>
      <c r="FN63" s="421">
        <f t="shared" si="558"/>
        <v>0</v>
      </c>
      <c r="FO63" s="270">
        <f t="shared" si="655"/>
        <v>40</v>
      </c>
      <c r="FP63" s="427">
        <f t="shared" si="589"/>
        <v>0</v>
      </c>
      <c r="FQ63" s="421">
        <f t="shared" si="558"/>
        <v>0</v>
      </c>
      <c r="FR63" s="270">
        <f t="shared" si="656"/>
        <v>60</v>
      </c>
      <c r="FS63" s="427">
        <f t="shared" si="590"/>
        <v>0</v>
      </c>
      <c r="FT63" s="421">
        <f t="shared" si="558"/>
        <v>0</v>
      </c>
      <c r="FU63" s="270">
        <f t="shared" si="657"/>
        <v>80</v>
      </c>
      <c r="FV63" s="427">
        <f t="shared" si="591"/>
        <v>0</v>
      </c>
      <c r="FW63" s="421">
        <f t="shared" si="558"/>
        <v>0</v>
      </c>
      <c r="FX63" s="270">
        <f t="shared" si="658"/>
        <v>100</v>
      </c>
      <c r="FY63" s="427">
        <f t="shared" si="592"/>
        <v>0</v>
      </c>
      <c r="GA63" s="431"/>
      <c r="GB63" s="242"/>
      <c r="GF63" s="427"/>
      <c r="GG63" s="421">
        <v>0</v>
      </c>
      <c r="GH63" s="270">
        <v>1</v>
      </c>
      <c r="GI63" s="427">
        <f t="shared" si="593"/>
        <v>0</v>
      </c>
      <c r="GJ63" s="421">
        <f t="shared" si="98"/>
        <v>0</v>
      </c>
      <c r="GK63" s="270">
        <f t="shared" si="99"/>
        <v>1</v>
      </c>
      <c r="GL63" s="427">
        <f t="shared" si="594"/>
        <v>0</v>
      </c>
      <c r="GM63" s="421">
        <f t="shared" si="101"/>
        <v>0</v>
      </c>
      <c r="GN63" s="270">
        <f t="shared" si="102"/>
        <v>1</v>
      </c>
      <c r="GO63" s="427">
        <f t="shared" si="595"/>
        <v>0</v>
      </c>
      <c r="GP63" s="421">
        <f t="shared" si="104"/>
        <v>0</v>
      </c>
      <c r="GQ63" s="270">
        <f t="shared" si="105"/>
        <v>1</v>
      </c>
      <c r="GR63" s="427">
        <f t="shared" si="596"/>
        <v>0</v>
      </c>
      <c r="GS63" s="421">
        <f t="shared" si="107"/>
        <v>0</v>
      </c>
      <c r="GT63" s="270">
        <f t="shared" si="108"/>
        <v>1</v>
      </c>
      <c r="GU63" s="427">
        <f t="shared" si="597"/>
        <v>0</v>
      </c>
      <c r="GV63" s="421">
        <f t="shared" si="110"/>
        <v>0</v>
      </c>
      <c r="GW63" s="270">
        <f t="shared" si="111"/>
        <v>1</v>
      </c>
      <c r="GX63" s="427">
        <f t="shared" si="598"/>
        <v>0</v>
      </c>
      <c r="GY63" s="421">
        <f t="shared" si="113"/>
        <v>0</v>
      </c>
      <c r="GZ63" s="270">
        <f t="shared" si="114"/>
        <v>1</v>
      </c>
      <c r="HA63" s="427">
        <f t="shared" si="599"/>
        <v>0</v>
      </c>
      <c r="HB63" s="421">
        <f t="shared" si="116"/>
        <v>0</v>
      </c>
      <c r="HC63" s="270">
        <f t="shared" si="117"/>
        <v>1</v>
      </c>
      <c r="HD63" s="427">
        <f t="shared" si="600"/>
        <v>0</v>
      </c>
      <c r="HE63" s="421">
        <f t="shared" si="119"/>
        <v>0</v>
      </c>
      <c r="HF63" s="270">
        <f t="shared" si="120"/>
        <v>1</v>
      </c>
      <c r="HG63" s="427">
        <f t="shared" si="601"/>
        <v>0</v>
      </c>
      <c r="HH63" s="421">
        <f t="shared" si="122"/>
        <v>0</v>
      </c>
      <c r="HI63" s="270">
        <f t="shared" si="123"/>
        <v>1</v>
      </c>
      <c r="HJ63" s="427">
        <f t="shared" si="602"/>
        <v>0</v>
      </c>
      <c r="HK63" s="421">
        <f t="shared" si="125"/>
        <v>0</v>
      </c>
      <c r="HL63" s="270">
        <f t="shared" si="125"/>
        <v>1</v>
      </c>
      <c r="HM63" s="427">
        <f t="shared" si="603"/>
        <v>0</v>
      </c>
      <c r="HN63" s="421">
        <f t="shared" si="127"/>
        <v>0</v>
      </c>
      <c r="HO63" s="270">
        <f t="shared" si="127"/>
        <v>1</v>
      </c>
      <c r="HP63" s="427">
        <f t="shared" si="604"/>
        <v>0</v>
      </c>
      <c r="HQ63" s="421">
        <f t="shared" si="129"/>
        <v>0</v>
      </c>
      <c r="HR63" s="270">
        <f t="shared" si="129"/>
        <v>1</v>
      </c>
      <c r="HS63" s="427">
        <f t="shared" si="605"/>
        <v>0</v>
      </c>
      <c r="HT63" s="421">
        <f t="shared" si="131"/>
        <v>0</v>
      </c>
      <c r="HU63" s="270">
        <f t="shared" si="131"/>
        <v>1</v>
      </c>
      <c r="HV63" s="427">
        <f t="shared" si="606"/>
        <v>0</v>
      </c>
      <c r="HW63" s="421">
        <f t="shared" si="133"/>
        <v>0</v>
      </c>
      <c r="HX63" s="270">
        <f t="shared" si="133"/>
        <v>1</v>
      </c>
      <c r="HY63" s="427">
        <f t="shared" si="607"/>
        <v>0</v>
      </c>
      <c r="HZ63" s="421">
        <f t="shared" si="135"/>
        <v>0</v>
      </c>
      <c r="IA63" s="270">
        <f t="shared" si="135"/>
        <v>1</v>
      </c>
      <c r="IB63" s="427">
        <f t="shared" si="608"/>
        <v>0</v>
      </c>
      <c r="IC63" s="421">
        <f t="shared" si="137"/>
        <v>0</v>
      </c>
      <c r="ID63" s="270">
        <f t="shared" si="137"/>
        <v>1</v>
      </c>
      <c r="IE63" s="427">
        <f t="shared" si="609"/>
        <v>0</v>
      </c>
      <c r="IF63" s="421">
        <f t="shared" si="139"/>
        <v>0</v>
      </c>
      <c r="IG63" s="270">
        <f t="shared" si="139"/>
        <v>1</v>
      </c>
      <c r="IH63" s="427">
        <f t="shared" si="610"/>
        <v>0</v>
      </c>
      <c r="II63" s="421">
        <f t="shared" si="141"/>
        <v>0</v>
      </c>
      <c r="IJ63" s="270">
        <f t="shared" si="141"/>
        <v>1</v>
      </c>
      <c r="IK63" s="427">
        <f t="shared" si="611"/>
        <v>0</v>
      </c>
      <c r="IL63" s="421">
        <f t="shared" si="143"/>
        <v>0</v>
      </c>
      <c r="IM63" s="270">
        <f t="shared" si="143"/>
        <v>1</v>
      </c>
      <c r="IN63" s="427">
        <f t="shared" si="612"/>
        <v>0</v>
      </c>
      <c r="IS63" s="447">
        <f t="shared" si="571"/>
        <v>0</v>
      </c>
      <c r="IT63" s="447">
        <f t="shared" si="571"/>
        <v>0</v>
      </c>
      <c r="IU63" s="447">
        <f t="shared" si="571"/>
        <v>0</v>
      </c>
      <c r="IV63" s="447">
        <f t="shared" si="571"/>
        <v>0</v>
      </c>
      <c r="IW63" s="447">
        <f t="shared" si="571"/>
        <v>0</v>
      </c>
      <c r="IX63" s="447">
        <f t="shared" si="571"/>
        <v>0</v>
      </c>
      <c r="IY63" s="447">
        <f t="shared" si="571"/>
        <v>0</v>
      </c>
      <c r="IZ63" s="447">
        <f t="shared" si="571"/>
        <v>0</v>
      </c>
      <c r="JA63" s="447">
        <f t="shared" si="571"/>
        <v>0</v>
      </c>
      <c r="JB63" s="447">
        <f t="shared" si="571"/>
        <v>0</v>
      </c>
      <c r="JC63" s="447">
        <f t="shared" si="572"/>
        <v>0</v>
      </c>
      <c r="JD63" s="447">
        <f t="shared" si="572"/>
        <v>0</v>
      </c>
      <c r="JE63" s="447">
        <f t="shared" si="572"/>
        <v>0</v>
      </c>
      <c r="JF63" s="447">
        <f t="shared" si="572"/>
        <v>0</v>
      </c>
      <c r="JG63" s="447">
        <f t="shared" si="572"/>
        <v>0</v>
      </c>
      <c r="JH63" s="447">
        <f t="shared" si="572"/>
        <v>0</v>
      </c>
      <c r="JI63" s="447">
        <f t="shared" si="572"/>
        <v>0</v>
      </c>
      <c r="JJ63" s="447">
        <f t="shared" si="572"/>
        <v>0</v>
      </c>
      <c r="JK63" s="447">
        <f t="shared" si="572"/>
        <v>0</v>
      </c>
      <c r="JL63" s="447">
        <f t="shared" si="572"/>
        <v>0</v>
      </c>
    </row>
    <row r="64" spans="1:319" s="242" customFormat="1" x14ac:dyDescent="0.35">
      <c r="A64" s="63">
        <v>58</v>
      </c>
      <c r="B64" s="63" t="s">
        <v>1804</v>
      </c>
      <c r="C64" s="63">
        <v>8</v>
      </c>
      <c r="D64" s="63">
        <v>-1</v>
      </c>
      <c r="E64" s="63">
        <v>0</v>
      </c>
      <c r="F64" s="63"/>
      <c r="G64" s="73">
        <v>1070</v>
      </c>
      <c r="H64" s="63"/>
      <c r="I64" s="265">
        <v>0</v>
      </c>
      <c r="J64" s="63">
        <f t="shared" si="616"/>
        <v>0</v>
      </c>
      <c r="K64" s="63">
        <f t="shared" si="617"/>
        <v>0</v>
      </c>
      <c r="L64" s="73">
        <v>5000</v>
      </c>
      <c r="M64" s="63">
        <v>0</v>
      </c>
      <c r="N64" s="267">
        <v>0</v>
      </c>
      <c r="O64" s="268">
        <f>ROUND(IF(N64&lt;&gt;0,$BX$4/('全局参数|GlobalPar'!$B$19/10000/E64)/N64,0),6)</f>
        <v>0</v>
      </c>
      <c r="P64" s="270">
        <f t="shared" si="386"/>
        <v>0</v>
      </c>
      <c r="Q64" s="285">
        <f t="shared" si="618"/>
        <v>0</v>
      </c>
      <c r="R64" s="287">
        <v>12</v>
      </c>
      <c r="S64" s="288">
        <v>1</v>
      </c>
      <c r="T64" s="284" t="str">
        <f t="shared" si="619"/>
        <v>[[0,1],[0,1],[0,1],[0,1],[0,1],[0,1],[0,1],[0,1],[0,1],[0,1],[0,2],[0,4],[0,6],[0,8],[0,10],[0,20],[0,40],[0,60],[0,80],[0,100]]</v>
      </c>
      <c r="U64" s="284">
        <v>1</v>
      </c>
      <c r="V64" s="284">
        <v>1</v>
      </c>
      <c r="W64" s="284" t="str">
        <f t="shared" si="168"/>
        <v>[[0,1],[0,1],[0,1],[0,1],[0,1],[0,1],[0,1],[0,1],[0,1],[0,1],[0,1],[0,1],[0,1],[0,1],[0,1],[0,1],[0,1],[0,1],[0,1],[0,1]]</v>
      </c>
      <c r="X64" s="63">
        <v>0</v>
      </c>
      <c r="Y64" s="268">
        <v>0</v>
      </c>
      <c r="Z64" s="315">
        <f t="shared" si="620"/>
        <v>0</v>
      </c>
      <c r="AA64" s="316">
        <v>0</v>
      </c>
      <c r="AB64" s="317">
        <f t="shared" si="621"/>
        <v>0</v>
      </c>
      <c r="AC64" s="304">
        <v>0</v>
      </c>
      <c r="AD64" s="303">
        <v>0</v>
      </c>
      <c r="AE64" s="303">
        <v>0</v>
      </c>
      <c r="AF64" s="303">
        <v>0</v>
      </c>
      <c r="AG64" s="63" t="str">
        <f t="shared" si="622"/>
        <v>[[6,5],[8,2],[10,2]]</v>
      </c>
      <c r="AH64" s="256" t="str">
        <f t="shared" si="623"/>
        <v>[0,0,0]</v>
      </c>
      <c r="AI64" s="256">
        <v>0</v>
      </c>
      <c r="AJ64" s="256">
        <v>0</v>
      </c>
      <c r="AK64" s="256">
        <f t="shared" si="243"/>
        <v>0</v>
      </c>
      <c r="AL64" s="256">
        <v>0</v>
      </c>
      <c r="AM64" s="256">
        <f t="shared" si="172"/>
        <v>0</v>
      </c>
      <c r="AN64" s="256" t="s">
        <v>2550</v>
      </c>
      <c r="AO64" s="324">
        <v>0</v>
      </c>
      <c r="AP64" s="63">
        <f t="shared" si="613"/>
        <v>-1</v>
      </c>
      <c r="AQ64" s="63">
        <v>0</v>
      </c>
      <c r="AR64" s="63">
        <v>3</v>
      </c>
      <c r="AS64" s="39">
        <v>4</v>
      </c>
      <c r="AT64" s="39">
        <v>0</v>
      </c>
      <c r="AU64" s="63">
        <v>1</v>
      </c>
      <c r="AV64" s="63">
        <f t="shared" si="615"/>
        <v>1</v>
      </c>
      <c r="AW64" s="63">
        <v>1</v>
      </c>
      <c r="AX64" s="63">
        <v>1</v>
      </c>
      <c r="AY64" s="63"/>
      <c r="AZ64" s="39"/>
      <c r="BA64" s="39"/>
      <c r="BB64" s="328">
        <v>1</v>
      </c>
      <c r="BC64" s="39">
        <v>1604</v>
      </c>
      <c r="BD64" s="39">
        <v>0.18</v>
      </c>
      <c r="BE64" s="39">
        <v>0.8</v>
      </c>
      <c r="BF64" s="39">
        <v>1</v>
      </c>
      <c r="BG64" s="39" t="s">
        <v>1786</v>
      </c>
      <c r="BH64" s="331" t="s">
        <v>1805</v>
      </c>
      <c r="BI64" s="331" t="s">
        <v>1805</v>
      </c>
      <c r="BJ64" s="265"/>
      <c r="BK64" s="265"/>
      <c r="BL64" s="265"/>
      <c r="BM64" s="265"/>
      <c r="BN64" s="81">
        <f t="shared" si="387"/>
        <v>0</v>
      </c>
      <c r="BO64" s="343">
        <f t="shared" si="624"/>
        <v>0</v>
      </c>
      <c r="BP64" s="81" t="s">
        <v>1606</v>
      </c>
      <c r="BQ64" s="81">
        <f t="shared" si="388"/>
        <v>0.746</v>
      </c>
      <c r="BR64" s="81"/>
      <c r="BS64" s="63">
        <f t="shared" si="543"/>
        <v>0</v>
      </c>
      <c r="BT64" s="63">
        <f t="shared" si="614"/>
        <v>0</v>
      </c>
      <c r="BV64" s="63">
        <f t="shared" si="544"/>
        <v>0</v>
      </c>
      <c r="CC64" s="358"/>
      <c r="CG64" s="371">
        <f t="shared" si="545"/>
        <v>0</v>
      </c>
      <c r="CH64" s="374">
        <f t="shared" si="214"/>
        <v>0</v>
      </c>
      <c r="CI64" s="373">
        <v>6</v>
      </c>
      <c r="CJ64" s="143">
        <v>5</v>
      </c>
      <c r="CK64" s="373">
        <v>8</v>
      </c>
      <c r="CL64" s="143">
        <v>2</v>
      </c>
      <c r="CM64" s="373">
        <v>10</v>
      </c>
      <c r="CN64" s="143">
        <v>2</v>
      </c>
      <c r="CO64" s="143">
        <f t="shared" si="625"/>
        <v>7.333333333333333</v>
      </c>
      <c r="CP64" s="143">
        <f t="shared" si="659"/>
        <v>7.5</v>
      </c>
      <c r="CQ64" s="377">
        <f t="shared" si="176"/>
        <v>0</v>
      </c>
      <c r="CR64" s="143">
        <f t="shared" si="659"/>
        <v>15</v>
      </c>
      <c r="CS64" s="378">
        <f t="shared" si="177"/>
        <v>0</v>
      </c>
      <c r="CT64" s="143">
        <f t="shared" si="659"/>
        <v>22.5</v>
      </c>
      <c r="CU64" s="392">
        <f t="shared" si="178"/>
        <v>0</v>
      </c>
      <c r="CW64" s="242">
        <v>0</v>
      </c>
      <c r="CX64" s="397">
        <f t="shared" si="215"/>
        <v>0</v>
      </c>
      <c r="CY64" s="398">
        <f t="shared" si="546"/>
        <v>0</v>
      </c>
      <c r="CZ64" s="399">
        <f t="shared" si="547"/>
        <v>0</v>
      </c>
      <c r="DA64" s="399">
        <f t="shared" si="626"/>
        <v>0</v>
      </c>
      <c r="DB64" s="395">
        <f t="shared" si="627"/>
        <v>0</v>
      </c>
      <c r="DC64" s="423">
        <f t="shared" si="548"/>
        <v>0</v>
      </c>
      <c r="DD64" s="399">
        <f t="shared" si="628"/>
        <v>0</v>
      </c>
      <c r="DE64" s="424" t="e">
        <f t="shared" si="549"/>
        <v>#DIV/0!</v>
      </c>
      <c r="DF64" s="421">
        <f t="shared" si="629"/>
        <v>12</v>
      </c>
      <c r="DG64" s="422">
        <f t="shared" si="630"/>
        <v>1</v>
      </c>
      <c r="DH64" s="284"/>
      <c r="DI64" s="287">
        <v>12</v>
      </c>
      <c r="DJ64" s="288">
        <v>1</v>
      </c>
      <c r="DL64" s="430"/>
      <c r="DQ64" s="427"/>
      <c r="DR64" s="421">
        <v>0</v>
      </c>
      <c r="DS64" s="270">
        <v>1</v>
      </c>
      <c r="DT64" s="427">
        <f t="shared" si="573"/>
        <v>0</v>
      </c>
      <c r="DU64" s="421">
        <f t="shared" si="631"/>
        <v>0</v>
      </c>
      <c r="DV64" s="270">
        <f t="shared" si="632"/>
        <v>1</v>
      </c>
      <c r="DW64" s="427">
        <f t="shared" si="574"/>
        <v>0</v>
      </c>
      <c r="DX64" s="421">
        <f t="shared" si="633"/>
        <v>0</v>
      </c>
      <c r="DY64" s="270">
        <f t="shared" si="634"/>
        <v>1</v>
      </c>
      <c r="DZ64" s="427">
        <f t="shared" si="575"/>
        <v>0</v>
      </c>
      <c r="EA64" s="421">
        <f t="shared" si="635"/>
        <v>0</v>
      </c>
      <c r="EB64" s="270">
        <f t="shared" si="636"/>
        <v>1</v>
      </c>
      <c r="EC64" s="427">
        <f t="shared" si="576"/>
        <v>0</v>
      </c>
      <c r="ED64" s="421">
        <f t="shared" si="637"/>
        <v>0</v>
      </c>
      <c r="EE64" s="270">
        <f t="shared" si="638"/>
        <v>1</v>
      </c>
      <c r="EF64" s="427">
        <f t="shared" si="577"/>
        <v>0</v>
      </c>
      <c r="EG64" s="421">
        <f t="shared" si="639"/>
        <v>0</v>
      </c>
      <c r="EH64" s="270">
        <f t="shared" si="640"/>
        <v>1</v>
      </c>
      <c r="EI64" s="427">
        <f t="shared" si="578"/>
        <v>0</v>
      </c>
      <c r="EJ64" s="421">
        <f t="shared" si="641"/>
        <v>0</v>
      </c>
      <c r="EK64" s="270">
        <f t="shared" si="642"/>
        <v>1</v>
      </c>
      <c r="EL64" s="427">
        <f t="shared" si="579"/>
        <v>0</v>
      </c>
      <c r="EM64" s="421">
        <f t="shared" si="643"/>
        <v>0</v>
      </c>
      <c r="EN64" s="270">
        <f t="shared" si="644"/>
        <v>1</v>
      </c>
      <c r="EO64" s="427">
        <f t="shared" si="580"/>
        <v>0</v>
      </c>
      <c r="EP64" s="421">
        <f t="shared" si="645"/>
        <v>0</v>
      </c>
      <c r="EQ64" s="270">
        <f t="shared" si="646"/>
        <v>1</v>
      </c>
      <c r="ER64" s="427">
        <f t="shared" si="581"/>
        <v>0</v>
      </c>
      <c r="ES64" s="421">
        <f t="shared" si="647"/>
        <v>0</v>
      </c>
      <c r="ET64" s="270">
        <f t="shared" si="648"/>
        <v>1</v>
      </c>
      <c r="EU64" s="427">
        <f t="shared" si="582"/>
        <v>0</v>
      </c>
      <c r="EV64" s="421">
        <f t="shared" ref="EV64:FW64" si="660">$ES64*EV$4/$ES$4</f>
        <v>0</v>
      </c>
      <c r="EW64" s="270">
        <f t="shared" si="649"/>
        <v>2</v>
      </c>
      <c r="EX64" s="427">
        <f t="shared" si="583"/>
        <v>0</v>
      </c>
      <c r="EY64" s="421">
        <f t="shared" si="660"/>
        <v>0</v>
      </c>
      <c r="EZ64" s="270">
        <f t="shared" si="650"/>
        <v>4</v>
      </c>
      <c r="FA64" s="427">
        <f t="shared" si="584"/>
        <v>0</v>
      </c>
      <c r="FB64" s="421">
        <f t="shared" si="660"/>
        <v>0</v>
      </c>
      <c r="FC64" s="270">
        <f t="shared" si="651"/>
        <v>6</v>
      </c>
      <c r="FD64" s="427">
        <f t="shared" si="585"/>
        <v>0</v>
      </c>
      <c r="FE64" s="421">
        <f t="shared" si="660"/>
        <v>0</v>
      </c>
      <c r="FF64" s="270">
        <f t="shared" si="652"/>
        <v>8</v>
      </c>
      <c r="FG64" s="427">
        <f t="shared" si="586"/>
        <v>0</v>
      </c>
      <c r="FH64" s="421">
        <f t="shared" si="660"/>
        <v>0</v>
      </c>
      <c r="FI64" s="270">
        <f t="shared" si="653"/>
        <v>10</v>
      </c>
      <c r="FJ64" s="427">
        <f t="shared" si="587"/>
        <v>0</v>
      </c>
      <c r="FK64" s="421">
        <f t="shared" si="660"/>
        <v>0</v>
      </c>
      <c r="FL64" s="270">
        <f t="shared" si="654"/>
        <v>20</v>
      </c>
      <c r="FM64" s="427">
        <f t="shared" si="588"/>
        <v>0</v>
      </c>
      <c r="FN64" s="421">
        <f t="shared" si="660"/>
        <v>0</v>
      </c>
      <c r="FO64" s="270">
        <f t="shared" si="655"/>
        <v>40</v>
      </c>
      <c r="FP64" s="427">
        <f t="shared" si="589"/>
        <v>0</v>
      </c>
      <c r="FQ64" s="421">
        <f t="shared" si="660"/>
        <v>0</v>
      </c>
      <c r="FR64" s="270">
        <f t="shared" si="656"/>
        <v>60</v>
      </c>
      <c r="FS64" s="427">
        <f t="shared" si="590"/>
        <v>0</v>
      </c>
      <c r="FT64" s="421">
        <f t="shared" si="660"/>
        <v>0</v>
      </c>
      <c r="FU64" s="270">
        <f t="shared" si="657"/>
        <v>80</v>
      </c>
      <c r="FV64" s="427">
        <f t="shared" si="591"/>
        <v>0</v>
      </c>
      <c r="FW64" s="421">
        <f t="shared" si="660"/>
        <v>0</v>
      </c>
      <c r="FX64" s="270">
        <f t="shared" si="658"/>
        <v>100</v>
      </c>
      <c r="FY64" s="427">
        <f t="shared" si="592"/>
        <v>0</v>
      </c>
      <c r="GA64" s="430"/>
      <c r="GF64" s="427"/>
      <c r="GG64" s="421">
        <v>0</v>
      </c>
      <c r="GH64" s="270">
        <v>1</v>
      </c>
      <c r="GI64" s="427">
        <f t="shared" si="593"/>
        <v>0</v>
      </c>
      <c r="GJ64" s="421">
        <f t="shared" si="98"/>
        <v>0</v>
      </c>
      <c r="GK64" s="270">
        <f t="shared" si="99"/>
        <v>1</v>
      </c>
      <c r="GL64" s="427">
        <f t="shared" si="594"/>
        <v>0</v>
      </c>
      <c r="GM64" s="421">
        <f t="shared" si="101"/>
        <v>0</v>
      </c>
      <c r="GN64" s="270">
        <f t="shared" si="102"/>
        <v>1</v>
      </c>
      <c r="GO64" s="427">
        <f t="shared" si="595"/>
        <v>0</v>
      </c>
      <c r="GP64" s="421">
        <f t="shared" si="104"/>
        <v>0</v>
      </c>
      <c r="GQ64" s="270">
        <f t="shared" si="105"/>
        <v>1</v>
      </c>
      <c r="GR64" s="427">
        <f t="shared" si="596"/>
        <v>0</v>
      </c>
      <c r="GS64" s="421">
        <f t="shared" si="107"/>
        <v>0</v>
      </c>
      <c r="GT64" s="270">
        <f t="shared" si="108"/>
        <v>1</v>
      </c>
      <c r="GU64" s="427">
        <f t="shared" si="597"/>
        <v>0</v>
      </c>
      <c r="GV64" s="421">
        <f t="shared" si="110"/>
        <v>0</v>
      </c>
      <c r="GW64" s="270">
        <f t="shared" si="111"/>
        <v>1</v>
      </c>
      <c r="GX64" s="427">
        <f t="shared" si="598"/>
        <v>0</v>
      </c>
      <c r="GY64" s="421">
        <f t="shared" si="113"/>
        <v>0</v>
      </c>
      <c r="GZ64" s="270">
        <f t="shared" si="114"/>
        <v>1</v>
      </c>
      <c r="HA64" s="427">
        <f t="shared" si="599"/>
        <v>0</v>
      </c>
      <c r="HB64" s="421">
        <f t="shared" si="116"/>
        <v>0</v>
      </c>
      <c r="HC64" s="270">
        <f t="shared" si="117"/>
        <v>1</v>
      </c>
      <c r="HD64" s="427">
        <f t="shared" si="600"/>
        <v>0</v>
      </c>
      <c r="HE64" s="421">
        <f t="shared" si="119"/>
        <v>0</v>
      </c>
      <c r="HF64" s="270">
        <f t="shared" si="120"/>
        <v>1</v>
      </c>
      <c r="HG64" s="427">
        <f t="shared" si="601"/>
        <v>0</v>
      </c>
      <c r="HH64" s="421">
        <f t="shared" si="122"/>
        <v>0</v>
      </c>
      <c r="HI64" s="270">
        <f t="shared" si="123"/>
        <v>1</v>
      </c>
      <c r="HJ64" s="427">
        <f t="shared" si="602"/>
        <v>0</v>
      </c>
      <c r="HK64" s="421">
        <f t="shared" si="125"/>
        <v>0</v>
      </c>
      <c r="HL64" s="270">
        <f t="shared" si="125"/>
        <v>1</v>
      </c>
      <c r="HM64" s="427">
        <f t="shared" si="603"/>
        <v>0</v>
      </c>
      <c r="HN64" s="421">
        <f t="shared" si="127"/>
        <v>0</v>
      </c>
      <c r="HO64" s="270">
        <f t="shared" si="127"/>
        <v>1</v>
      </c>
      <c r="HP64" s="427">
        <f t="shared" si="604"/>
        <v>0</v>
      </c>
      <c r="HQ64" s="421">
        <f t="shared" si="129"/>
        <v>0</v>
      </c>
      <c r="HR64" s="270">
        <f t="shared" si="129"/>
        <v>1</v>
      </c>
      <c r="HS64" s="427">
        <f t="shared" si="605"/>
        <v>0</v>
      </c>
      <c r="HT64" s="421">
        <f t="shared" si="131"/>
        <v>0</v>
      </c>
      <c r="HU64" s="270">
        <f t="shared" si="131"/>
        <v>1</v>
      </c>
      <c r="HV64" s="427">
        <f t="shared" si="606"/>
        <v>0</v>
      </c>
      <c r="HW64" s="421">
        <f t="shared" si="133"/>
        <v>0</v>
      </c>
      <c r="HX64" s="270">
        <f t="shared" si="133"/>
        <v>1</v>
      </c>
      <c r="HY64" s="427">
        <f t="shared" si="607"/>
        <v>0</v>
      </c>
      <c r="HZ64" s="421">
        <f t="shared" si="135"/>
        <v>0</v>
      </c>
      <c r="IA64" s="270">
        <f t="shared" si="135"/>
        <v>1</v>
      </c>
      <c r="IB64" s="427">
        <f t="shared" si="608"/>
        <v>0</v>
      </c>
      <c r="IC64" s="421">
        <f t="shared" si="137"/>
        <v>0</v>
      </c>
      <c r="ID64" s="270">
        <f t="shared" si="137"/>
        <v>1</v>
      </c>
      <c r="IE64" s="427">
        <f t="shared" si="609"/>
        <v>0</v>
      </c>
      <c r="IF64" s="421">
        <f t="shared" si="139"/>
        <v>0</v>
      </c>
      <c r="IG64" s="270">
        <f t="shared" si="139"/>
        <v>1</v>
      </c>
      <c r="IH64" s="427">
        <f t="shared" si="610"/>
        <v>0</v>
      </c>
      <c r="II64" s="421">
        <f t="shared" si="141"/>
        <v>0</v>
      </c>
      <c r="IJ64" s="270">
        <f t="shared" si="141"/>
        <v>1</v>
      </c>
      <c r="IK64" s="427">
        <f t="shared" si="611"/>
        <v>0</v>
      </c>
      <c r="IL64" s="421">
        <f t="shared" si="143"/>
        <v>0</v>
      </c>
      <c r="IM64" s="270">
        <f t="shared" si="143"/>
        <v>1</v>
      </c>
      <c r="IN64" s="427">
        <f t="shared" si="612"/>
        <v>0</v>
      </c>
      <c r="IS64" s="447">
        <f t="shared" si="571"/>
        <v>0</v>
      </c>
      <c r="IT64" s="447">
        <f t="shared" si="571"/>
        <v>0</v>
      </c>
      <c r="IU64" s="447">
        <f t="shared" si="571"/>
        <v>0</v>
      </c>
      <c r="IV64" s="447">
        <f t="shared" si="571"/>
        <v>0</v>
      </c>
      <c r="IW64" s="447">
        <f t="shared" si="571"/>
        <v>0</v>
      </c>
      <c r="IX64" s="447">
        <f t="shared" si="571"/>
        <v>0</v>
      </c>
      <c r="IY64" s="447">
        <f t="shared" si="571"/>
        <v>0</v>
      </c>
      <c r="IZ64" s="447">
        <f t="shared" si="571"/>
        <v>0</v>
      </c>
      <c r="JA64" s="447">
        <f t="shared" si="571"/>
        <v>0</v>
      </c>
      <c r="JB64" s="447">
        <f t="shared" si="571"/>
        <v>0</v>
      </c>
      <c r="JC64" s="447">
        <f t="shared" si="572"/>
        <v>0</v>
      </c>
      <c r="JD64" s="447">
        <f t="shared" si="572"/>
        <v>0</v>
      </c>
      <c r="JE64" s="447">
        <f t="shared" si="572"/>
        <v>0</v>
      </c>
      <c r="JF64" s="447">
        <f t="shared" si="572"/>
        <v>0</v>
      </c>
      <c r="JG64" s="447">
        <f t="shared" si="572"/>
        <v>0</v>
      </c>
      <c r="JH64" s="447">
        <f t="shared" si="572"/>
        <v>0</v>
      </c>
      <c r="JI64" s="447">
        <f t="shared" si="572"/>
        <v>0</v>
      </c>
      <c r="JJ64" s="447">
        <f t="shared" si="572"/>
        <v>0</v>
      </c>
      <c r="JK64" s="447">
        <f t="shared" si="572"/>
        <v>0</v>
      </c>
      <c r="JL64" s="447">
        <f t="shared" si="572"/>
        <v>0</v>
      </c>
    </row>
  </sheetData>
  <mergeCells count="18">
    <mergeCell ref="BX30:BY30"/>
    <mergeCell ref="BZ30:CA30"/>
    <mergeCell ref="CB30:CC30"/>
    <mergeCell ref="CJ1:CJ2"/>
    <mergeCell ref="CZ2:CZ3"/>
    <mergeCell ref="GD2:GD4"/>
    <mergeCell ref="GD5:GD6"/>
    <mergeCell ref="CG1:CI2"/>
    <mergeCell ref="CM1:CQ2"/>
    <mergeCell ref="DN2:DN4"/>
    <mergeCell ref="DN5:DN6"/>
    <mergeCell ref="DO2:DO4"/>
    <mergeCell ref="DO5:DO6"/>
    <mergeCell ref="GC2:GC4"/>
    <mergeCell ref="GC5:GC6"/>
    <mergeCell ref="CZ1:DC1"/>
    <mergeCell ref="DF3:DG3"/>
    <mergeCell ref="DI3:DJ3"/>
  </mergeCells>
  <phoneticPr fontId="64" type="noConversion"/>
  <conditionalFormatting sqref="AZ1">
    <cfRule type="containsText" dxfId="2175" priority="1469" operator="containsText" text=" ">
      <formula>NOT(ISERROR(SEARCH(" ",AZ1)))</formula>
    </cfRule>
    <cfRule type="containsText" dxfId="2174" priority="1470" operator="containsText" text=" ">
      <formula>NOT(ISERROR(SEARCH(" ",AZ1)))</formula>
    </cfRule>
  </conditionalFormatting>
  <conditionalFormatting sqref="BC1">
    <cfRule type="containsText" dxfId="2173" priority="2523" operator="containsText" text=" ">
      <formula>NOT(ISERROR(SEARCH(" ",BC1)))</formula>
    </cfRule>
    <cfRule type="containsText" dxfId="2172" priority="2524" operator="containsText" text=" ">
      <formula>NOT(ISERROR(SEARCH(" ",BC1)))</formula>
    </cfRule>
  </conditionalFormatting>
  <conditionalFormatting sqref="BD1">
    <cfRule type="containsText" dxfId="2171" priority="2495" operator="containsText" text=" ">
      <formula>NOT(ISERROR(SEARCH(" ",BD1)))</formula>
    </cfRule>
    <cfRule type="containsText" dxfId="2170" priority="2496" operator="containsText" text=" ">
      <formula>NOT(ISERROR(SEARCH(" ",BD1)))</formula>
    </cfRule>
  </conditionalFormatting>
  <conditionalFormatting sqref="BE1">
    <cfRule type="containsText" dxfId="2169" priority="1525" operator="containsText" text=" ">
      <formula>NOT(ISERROR(SEARCH(" ",BE1)))</formula>
    </cfRule>
    <cfRule type="containsText" dxfId="2168" priority="1526" operator="containsText" text=" ">
      <formula>NOT(ISERROR(SEARCH(" ",BE1)))</formula>
    </cfRule>
  </conditionalFormatting>
  <conditionalFormatting sqref="BF1">
    <cfRule type="containsText" dxfId="2167" priority="2682" operator="containsText" text=" ">
      <formula>NOT(ISERROR(SEARCH(" ",BF1)))</formula>
    </cfRule>
    <cfRule type="containsText" dxfId="2166" priority="2683" operator="containsText" text=" ">
      <formula>NOT(ISERROR(SEARCH(" ",BF1)))</formula>
    </cfRule>
  </conditionalFormatting>
  <conditionalFormatting sqref="BG1">
    <cfRule type="containsText" dxfId="2165" priority="2369" operator="containsText" text=" ">
      <formula>NOT(ISERROR(SEARCH(" ",BG1)))</formula>
    </cfRule>
    <cfRule type="containsText" dxfId="2164" priority="2370" operator="containsText" text=" ">
      <formula>NOT(ISERROR(SEARCH(" ",BG1)))</formula>
    </cfRule>
  </conditionalFormatting>
  <conditionalFormatting sqref="BH1">
    <cfRule type="containsText" dxfId="2163" priority="1491" operator="containsText" text=" ">
      <formula>NOT(ISERROR(SEARCH(" ",BH1)))</formula>
    </cfRule>
    <cfRule type="containsText" dxfId="2162" priority="1492" operator="containsText" text=" ">
      <formula>NOT(ISERROR(SEARCH(" ",BH1)))</formula>
    </cfRule>
  </conditionalFormatting>
  <conditionalFormatting sqref="BI1">
    <cfRule type="containsText" dxfId="2161" priority="2391" operator="containsText" text=" ">
      <formula>NOT(ISERROR(SEARCH(" ",BI1)))</formula>
    </cfRule>
    <cfRule type="containsText" dxfId="2160" priority="2392" operator="containsText" text=" ">
      <formula>NOT(ISERROR(SEARCH(" ",BI1)))</formula>
    </cfRule>
  </conditionalFormatting>
  <conditionalFormatting sqref="BJ1">
    <cfRule type="containsText" dxfId="2159" priority="2325" operator="containsText" text=" ">
      <formula>NOT(ISERROR(SEARCH(" ",BJ1)))</formula>
    </cfRule>
    <cfRule type="containsText" dxfId="2158" priority="2326" operator="containsText" text=" ">
      <formula>NOT(ISERROR(SEARCH(" ",BJ1)))</formula>
    </cfRule>
  </conditionalFormatting>
  <conditionalFormatting sqref="BK1:BL1">
    <cfRule type="containsText" dxfId="2157" priority="2321" operator="containsText" text=" ">
      <formula>NOT(ISERROR(SEARCH(" ",BK1)))</formula>
    </cfRule>
    <cfRule type="containsText" dxfId="2156" priority="2322" operator="containsText" text=" ">
      <formula>NOT(ISERROR(SEARCH(" ",BK1)))</formula>
    </cfRule>
  </conditionalFormatting>
  <conditionalFormatting sqref="BM1">
    <cfRule type="containsText" dxfId="2155" priority="12" operator="containsText" text=" ">
      <formula>NOT(ISERROR(SEARCH(" ",BM1)))</formula>
    </cfRule>
    <cfRule type="containsText" dxfId="2154" priority="13" operator="containsText" text=" ">
      <formula>NOT(ISERROR(SEARCH(" ",BM1)))</formula>
    </cfRule>
  </conditionalFormatting>
  <conditionalFormatting sqref="BX1">
    <cfRule type="containsText" dxfId="2153" priority="2614" operator="containsText" text=" ">
      <formula>NOT(ISERROR(SEARCH(" ",BX1)))</formula>
    </cfRule>
    <cfRule type="containsText" dxfId="2152" priority="2615" operator="containsText" text=" ">
      <formula>NOT(ISERROR(SEARCH(" ",BX1)))</formula>
    </cfRule>
  </conditionalFormatting>
  <conditionalFormatting sqref="IR1">
    <cfRule type="containsText" dxfId="2151" priority="1445" operator="containsText" text=" ">
      <formula>NOT(ISERROR(SEARCH(" ",IR1)))</formula>
    </cfRule>
    <cfRule type="containsText" dxfId="2150" priority="1446" operator="containsText" text=" ">
      <formula>NOT(ISERROR(SEARCH(" ",IR1)))</formula>
    </cfRule>
  </conditionalFormatting>
  <conditionalFormatting sqref="B2">
    <cfRule type="containsText" dxfId="2149" priority="2211" operator="containsText" text=" ">
      <formula>NOT(ISERROR(SEARCH(" ",B2)))</formula>
    </cfRule>
    <cfRule type="containsText" dxfId="2148" priority="2212" operator="containsText" text=" ">
      <formula>NOT(ISERROR(SEARCH(" ",B2)))</formula>
    </cfRule>
  </conditionalFormatting>
  <conditionalFormatting sqref="F2">
    <cfRule type="containsText" dxfId="2147" priority="2207" operator="containsText" text=" ">
      <formula>NOT(ISERROR(SEARCH(" ",F2)))</formula>
    </cfRule>
    <cfRule type="containsText" dxfId="2146" priority="2208" operator="containsText" text=" ">
      <formula>NOT(ISERROR(SEARCH(" ",F2)))</formula>
    </cfRule>
  </conditionalFormatting>
  <conditionalFormatting sqref="G2">
    <cfRule type="containsText" dxfId="2145" priority="1457" operator="containsText" text=" ">
      <formula>NOT(ISERROR(SEARCH(" ",G2)))</formula>
    </cfRule>
    <cfRule type="containsText" dxfId="2144" priority="1458" operator="containsText" text=" ">
      <formula>NOT(ISERROR(SEARCH(" ",G2)))</formula>
    </cfRule>
  </conditionalFormatting>
  <conditionalFormatting sqref="H2:I2">
    <cfRule type="containsText" dxfId="2143" priority="2213" operator="containsText" text=" ">
      <formula>NOT(ISERROR(SEARCH(" ",H2)))</formula>
    </cfRule>
    <cfRule type="containsText" dxfId="2142" priority="2214" operator="containsText" text=" ">
      <formula>NOT(ISERROR(SEARCH(" ",H2)))</formula>
    </cfRule>
  </conditionalFormatting>
  <conditionalFormatting sqref="AR2">
    <cfRule type="containsText" dxfId="2141" priority="2686" operator="containsText" text=" ">
      <formula>NOT(ISERROR(SEARCH(" ",AR2)))</formula>
    </cfRule>
    <cfRule type="containsText" dxfId="2140" priority="2687" operator="containsText" text=" ">
      <formula>NOT(ISERROR(SEARCH(" ",AR2)))</formula>
    </cfRule>
  </conditionalFormatting>
  <conditionalFormatting sqref="AS2">
    <cfRule type="containsText" dxfId="2139" priority="2688" operator="containsText" text=" ">
      <formula>NOT(ISERROR(SEARCH(" ",AS2)))</formula>
    </cfRule>
    <cfRule type="containsText" dxfId="2138" priority="2689" operator="containsText" text=" ">
      <formula>NOT(ISERROR(SEARCH(" ",AS2)))</formula>
    </cfRule>
  </conditionalFormatting>
  <conditionalFormatting sqref="AT2">
    <cfRule type="containsText" dxfId="2137" priority="2477" operator="containsText" text=" ">
      <formula>NOT(ISERROR(SEARCH(" ",AT2)))</formula>
    </cfRule>
    <cfRule type="containsText" dxfId="2136" priority="2478" operator="containsText" text=" ">
      <formula>NOT(ISERROR(SEARCH(" ",AT2)))</formula>
    </cfRule>
  </conditionalFormatting>
  <conditionalFormatting sqref="AV2">
    <cfRule type="containsText" dxfId="2135" priority="2429" operator="containsText" text=" ">
      <formula>NOT(ISERROR(SEARCH(" ",AV2)))</formula>
    </cfRule>
    <cfRule type="containsText" dxfId="2134" priority="2430" operator="containsText" text=" ">
      <formula>NOT(ISERROR(SEARCH(" ",AV2)))</formula>
    </cfRule>
  </conditionalFormatting>
  <conditionalFormatting sqref="AW2">
    <cfRule type="containsText" dxfId="2133" priority="2373" operator="containsText" text=" ">
      <formula>NOT(ISERROR(SEARCH(" ",AW2)))</formula>
    </cfRule>
    <cfRule type="containsText" dxfId="2132" priority="2374" operator="containsText" text=" ">
      <formula>NOT(ISERROR(SEARCH(" ",AW2)))</formula>
    </cfRule>
  </conditionalFormatting>
  <conditionalFormatting sqref="AX2">
    <cfRule type="containsText" dxfId="2131" priority="2445" operator="containsText" text=" ">
      <formula>NOT(ISERROR(SEARCH(" ",AX2)))</formula>
    </cfRule>
    <cfRule type="containsText" dxfId="2130" priority="2446" operator="containsText" text=" ">
      <formula>NOT(ISERROR(SEARCH(" ",AX2)))</formula>
    </cfRule>
  </conditionalFormatting>
  <conditionalFormatting sqref="AY2">
    <cfRule type="containsText" dxfId="2129" priority="2221" operator="containsText" text=" ">
      <formula>NOT(ISERROR(SEARCH(" ",AY2)))</formula>
    </cfRule>
    <cfRule type="containsText" dxfId="2128" priority="2222" operator="containsText" text=" ">
      <formula>NOT(ISERROR(SEARCH(" ",AY2)))</formula>
    </cfRule>
  </conditionalFormatting>
  <conditionalFormatting sqref="AZ2">
    <cfRule type="containsText" dxfId="2127" priority="1467" operator="containsText" text=" ">
      <formula>NOT(ISERROR(SEARCH(" ",AZ2)))</formula>
    </cfRule>
    <cfRule type="containsText" dxfId="2126" priority="1468" operator="containsText" text=" ">
      <formula>NOT(ISERROR(SEARCH(" ",AZ2)))</formula>
    </cfRule>
  </conditionalFormatting>
  <conditionalFormatting sqref="BA2">
    <cfRule type="containsText" dxfId="2125" priority="1465" operator="containsText" text=" ">
      <formula>NOT(ISERROR(SEARCH(" ",BA2)))</formula>
    </cfRule>
    <cfRule type="containsText" dxfId="2124" priority="1466" operator="containsText" text=" ">
      <formula>NOT(ISERROR(SEARCH(" ",BA2)))</formula>
    </cfRule>
  </conditionalFormatting>
  <conditionalFormatting sqref="BB2">
    <cfRule type="containsText" dxfId="2123" priority="2463" operator="containsText" text=" ">
      <formula>NOT(ISERROR(SEARCH(" ",BB2)))</formula>
    </cfRule>
    <cfRule type="containsText" dxfId="2122" priority="2464" operator="containsText" text=" ">
      <formula>NOT(ISERROR(SEARCH(" ",BB2)))</formula>
    </cfRule>
  </conditionalFormatting>
  <conditionalFormatting sqref="BC2">
    <cfRule type="containsText" dxfId="2121" priority="2519" operator="containsText" text=" ">
      <formula>NOT(ISERROR(SEARCH(" ",BC2)))</formula>
    </cfRule>
    <cfRule type="containsText" dxfId="2120" priority="2520" operator="containsText" text=" ">
      <formula>NOT(ISERROR(SEARCH(" ",BC2)))</formula>
    </cfRule>
  </conditionalFormatting>
  <conditionalFormatting sqref="BE2">
    <cfRule type="containsText" dxfId="2119" priority="1523" operator="containsText" text=" ">
      <formula>NOT(ISERROR(SEARCH(" ",BE2)))</formula>
    </cfRule>
    <cfRule type="containsText" dxfId="2118" priority="1524" operator="containsText" text=" ">
      <formula>NOT(ISERROR(SEARCH(" ",BE2)))</formula>
    </cfRule>
  </conditionalFormatting>
  <conditionalFormatting sqref="BF2">
    <cfRule type="containsText" dxfId="2117" priority="2678" operator="containsText" text=" ">
      <formula>NOT(ISERROR(SEARCH(" ",BF2)))</formula>
    </cfRule>
    <cfRule type="containsText" dxfId="2116" priority="2679" operator="containsText" text=" ">
      <formula>NOT(ISERROR(SEARCH(" ",BF2)))</formula>
    </cfRule>
  </conditionalFormatting>
  <conditionalFormatting sqref="BG2">
    <cfRule type="containsText" dxfId="2115" priority="2371" operator="containsText" text=" ">
      <formula>NOT(ISERROR(SEARCH(" ",BG2)))</formula>
    </cfRule>
    <cfRule type="containsText" dxfId="2114" priority="2372" operator="containsText" text=" ">
      <formula>NOT(ISERROR(SEARCH(" ",BG2)))</formula>
    </cfRule>
  </conditionalFormatting>
  <conditionalFormatting sqref="BJ2">
    <cfRule type="containsText" dxfId="2113" priority="2327" operator="containsText" text=" ">
      <formula>NOT(ISERROR(SEARCH(" ",BJ2)))</formula>
    </cfRule>
    <cfRule type="containsText" dxfId="2112" priority="2328" operator="containsText" text=" ">
      <formula>NOT(ISERROR(SEARCH(" ",BJ2)))</formula>
    </cfRule>
  </conditionalFormatting>
  <conditionalFormatting sqref="BK2:BL2">
    <cfRule type="containsText" dxfId="2111" priority="2323" operator="containsText" text=" ">
      <formula>NOT(ISERROR(SEARCH(" ",BK2)))</formula>
    </cfRule>
    <cfRule type="containsText" dxfId="2110" priority="2324" operator="containsText" text=" ">
      <formula>NOT(ISERROR(SEARCH(" ",BK2)))</formula>
    </cfRule>
  </conditionalFormatting>
  <conditionalFormatting sqref="BM2">
    <cfRule type="containsText" dxfId="2109" priority="14" operator="containsText" text=" ">
      <formula>NOT(ISERROR(SEARCH(" ",BM2)))</formula>
    </cfRule>
    <cfRule type="containsText" dxfId="2108" priority="15" operator="containsText" text=" ">
      <formula>NOT(ISERROR(SEARCH(" ",BM2)))</formula>
    </cfRule>
  </conditionalFormatting>
  <conditionalFormatting sqref="AH3:AJ3">
    <cfRule type="containsText" dxfId="2107" priority="2305" operator="containsText" text=" ">
      <formula>NOT(ISERROR(SEARCH(" ",AH3)))</formula>
    </cfRule>
    <cfRule type="containsText" dxfId="2106" priority="2306" operator="containsText" text=" ">
      <formula>NOT(ISERROR(SEARCH(" ",AH3)))</formula>
    </cfRule>
  </conditionalFormatting>
  <conditionalFormatting sqref="AK3">
    <cfRule type="containsText" dxfId="2105" priority="175" operator="containsText" text=" ">
      <formula>NOT(ISERROR(SEARCH(" ",AK3)))</formula>
    </cfRule>
    <cfRule type="containsText" dxfId="2104" priority="176" operator="containsText" text=" ">
      <formula>NOT(ISERROR(SEARCH(" ",AK3)))</formula>
    </cfRule>
  </conditionalFormatting>
  <conditionalFormatting sqref="AL3">
    <cfRule type="containsText" dxfId="2103" priority="171" operator="containsText" text=" ">
      <formula>NOT(ISERROR(SEARCH(" ",AL3)))</formula>
    </cfRule>
    <cfRule type="containsText" dxfId="2102" priority="172" operator="containsText" text=" ">
      <formula>NOT(ISERROR(SEARCH(" ",AL3)))</formula>
    </cfRule>
  </conditionalFormatting>
  <conditionalFormatting sqref="AW3">
    <cfRule type="containsText" dxfId="2101" priority="2377" operator="containsText" text=" ">
      <formula>NOT(ISERROR(SEARCH(" ",AW3)))</formula>
    </cfRule>
    <cfRule type="containsText" dxfId="2100" priority="2378" operator="containsText" text=" ">
      <formula>NOT(ISERROR(SEARCH(" ",AW3)))</formula>
    </cfRule>
  </conditionalFormatting>
  <conditionalFormatting sqref="AZ3">
    <cfRule type="containsText" dxfId="2099" priority="1471" operator="containsText" text=" ">
      <formula>NOT(ISERROR(SEARCH(" ",AZ3)))</formula>
    </cfRule>
    <cfRule type="containsText" dxfId="2098" priority="1472" operator="containsText" text=" ">
      <formula>NOT(ISERROR(SEARCH(" ",AZ3)))</formula>
    </cfRule>
  </conditionalFormatting>
  <conditionalFormatting sqref="BC3">
    <cfRule type="containsText" dxfId="2097" priority="2517" operator="containsText" text=" ">
      <formula>NOT(ISERROR(SEARCH(" ",BC3)))</formula>
    </cfRule>
    <cfRule type="containsText" dxfId="2096" priority="2518" operator="containsText" text=" ">
      <formula>NOT(ISERROR(SEARCH(" ",BC3)))</formula>
    </cfRule>
  </conditionalFormatting>
  <conditionalFormatting sqref="BF3:BG3">
    <cfRule type="containsText" dxfId="2095" priority="2680" operator="containsText" text=" ">
      <formula>NOT(ISERROR(SEARCH(" ",BF3)))</formula>
    </cfRule>
    <cfRule type="containsText" dxfId="2094" priority="2681" operator="containsText" text=" ">
      <formula>NOT(ISERROR(SEARCH(" ",BF3)))</formula>
    </cfRule>
  </conditionalFormatting>
  <conditionalFormatting sqref="BM3">
    <cfRule type="containsText" dxfId="2093" priority="16" operator="containsText" text=" ">
      <formula>NOT(ISERROR(SEARCH(" ",BM3)))</formula>
    </cfRule>
    <cfRule type="containsText" dxfId="2092" priority="17" operator="containsText" text=" ">
      <formula>NOT(ISERROR(SEARCH(" ",BM3)))</formula>
    </cfRule>
  </conditionalFormatting>
  <conditionalFormatting sqref="AP4">
    <cfRule type="containsText" dxfId="2091" priority="2674" operator="containsText" text=" ">
      <formula>NOT(ISERROR(SEARCH(" ",AP4)))</formula>
    </cfRule>
    <cfRule type="containsText" dxfId="2090" priority="2675" operator="containsText" text=" ">
      <formula>NOT(ISERROR(SEARCH(" ",AP4)))</formula>
    </cfRule>
  </conditionalFormatting>
  <conditionalFormatting sqref="BC4:BE4">
    <cfRule type="containsText" dxfId="2089" priority="2513" operator="containsText" text=" ">
      <formula>NOT(ISERROR(SEARCH(" ",BC4)))</formula>
    </cfRule>
    <cfRule type="containsText" dxfId="2088" priority="2514" operator="containsText" text=" ">
      <formula>NOT(ISERROR(SEARCH(" ",BC4)))</formula>
    </cfRule>
  </conditionalFormatting>
  <conditionalFormatting sqref="DV4">
    <cfRule type="containsText" dxfId="2087" priority="2047" operator="containsText" text=" ">
      <formula>NOT(ISERROR(SEARCH(" ",DV4)))</formula>
    </cfRule>
  </conditionalFormatting>
  <conditionalFormatting sqref="DW4">
    <cfRule type="containsText" dxfId="2086" priority="2171" operator="containsText" text=" ">
      <formula>NOT(ISERROR(SEARCH(" ",DW4)))</formula>
    </cfRule>
  </conditionalFormatting>
  <conditionalFormatting sqref="DY4">
    <cfRule type="containsText" dxfId="2085" priority="2040" operator="containsText" text=" ">
      <formula>NOT(ISERROR(SEARCH(" ",DY4)))</formula>
    </cfRule>
  </conditionalFormatting>
  <conditionalFormatting sqref="DZ4">
    <cfRule type="containsText" dxfId="2084" priority="2169" operator="containsText" text=" ">
      <formula>NOT(ISERROR(SEARCH(" ",DZ4)))</formula>
    </cfRule>
  </conditionalFormatting>
  <conditionalFormatting sqref="EB4">
    <cfRule type="containsText" dxfId="2083" priority="2033" operator="containsText" text=" ">
      <formula>NOT(ISERROR(SEARCH(" ",EB4)))</formula>
    </cfRule>
  </conditionalFormatting>
  <conditionalFormatting sqref="EC4">
    <cfRule type="containsText" dxfId="2082" priority="2168" operator="containsText" text=" ">
      <formula>NOT(ISERROR(SEARCH(" ",EC4)))</formula>
    </cfRule>
  </conditionalFormatting>
  <conditionalFormatting sqref="EE4">
    <cfRule type="containsText" dxfId="2081" priority="2026" operator="containsText" text=" ">
      <formula>NOT(ISERROR(SEARCH(" ",EE4)))</formula>
    </cfRule>
  </conditionalFormatting>
  <conditionalFormatting sqref="EF4">
    <cfRule type="containsText" dxfId="2080" priority="2167" operator="containsText" text=" ">
      <formula>NOT(ISERROR(SEARCH(" ",EF4)))</formula>
    </cfRule>
  </conditionalFormatting>
  <conditionalFormatting sqref="EH4">
    <cfRule type="containsText" dxfId="2079" priority="2019" operator="containsText" text=" ">
      <formula>NOT(ISERROR(SEARCH(" ",EH4)))</formula>
    </cfRule>
  </conditionalFormatting>
  <conditionalFormatting sqref="EI4">
    <cfRule type="containsText" dxfId="2078" priority="2166" operator="containsText" text=" ">
      <formula>NOT(ISERROR(SEARCH(" ",EI4)))</formula>
    </cfRule>
  </conditionalFormatting>
  <conditionalFormatting sqref="EK4">
    <cfRule type="containsText" dxfId="2077" priority="2012" operator="containsText" text=" ">
      <formula>NOT(ISERROR(SEARCH(" ",EK4)))</formula>
    </cfRule>
  </conditionalFormatting>
  <conditionalFormatting sqref="EL4">
    <cfRule type="containsText" dxfId="2076" priority="2165" operator="containsText" text=" ">
      <formula>NOT(ISERROR(SEARCH(" ",EL4)))</formula>
    </cfRule>
  </conditionalFormatting>
  <conditionalFormatting sqref="EN4">
    <cfRule type="containsText" dxfId="2075" priority="2005" operator="containsText" text=" ">
      <formula>NOT(ISERROR(SEARCH(" ",EN4)))</formula>
    </cfRule>
  </conditionalFormatting>
  <conditionalFormatting sqref="EO4">
    <cfRule type="containsText" dxfId="2074" priority="2164" operator="containsText" text=" ">
      <formula>NOT(ISERROR(SEARCH(" ",EO4)))</formula>
    </cfRule>
  </conditionalFormatting>
  <conditionalFormatting sqref="EQ4">
    <cfRule type="containsText" dxfId="2073" priority="1998" operator="containsText" text=" ">
      <formula>NOT(ISERROR(SEARCH(" ",EQ4)))</formula>
    </cfRule>
  </conditionalFormatting>
  <conditionalFormatting sqref="ER4">
    <cfRule type="containsText" dxfId="2072" priority="2163" operator="containsText" text=" ">
      <formula>NOT(ISERROR(SEARCH(" ",ER4)))</formula>
    </cfRule>
  </conditionalFormatting>
  <conditionalFormatting sqref="ET4">
    <cfRule type="containsText" dxfId="2071" priority="1991" operator="containsText" text=" ">
      <formula>NOT(ISERROR(SEARCH(" ",ET4)))</formula>
    </cfRule>
  </conditionalFormatting>
  <conditionalFormatting sqref="EU4">
    <cfRule type="containsText" dxfId="2070" priority="2162" operator="containsText" text=" ">
      <formula>NOT(ISERROR(SEARCH(" ",EU4)))</formula>
    </cfRule>
  </conditionalFormatting>
  <conditionalFormatting sqref="EW4">
    <cfRule type="containsText" dxfId="2069" priority="1984" operator="containsText" text=" ">
      <formula>NOT(ISERROR(SEARCH(" ",EW4)))</formula>
    </cfRule>
  </conditionalFormatting>
  <conditionalFormatting sqref="EX4">
    <cfRule type="containsText" dxfId="2068" priority="2161" operator="containsText" text=" ">
      <formula>NOT(ISERROR(SEARCH(" ",EX4)))</formula>
    </cfRule>
  </conditionalFormatting>
  <conditionalFormatting sqref="EZ4">
    <cfRule type="containsText" dxfId="2067" priority="1977" operator="containsText" text=" ">
      <formula>NOT(ISERROR(SEARCH(" ",EZ4)))</formula>
    </cfRule>
  </conditionalFormatting>
  <conditionalFormatting sqref="FA4">
    <cfRule type="containsText" dxfId="2066" priority="2160" operator="containsText" text=" ">
      <formula>NOT(ISERROR(SEARCH(" ",FA4)))</formula>
    </cfRule>
  </conditionalFormatting>
  <conditionalFormatting sqref="FC4">
    <cfRule type="containsText" dxfId="2065" priority="1970" operator="containsText" text=" ">
      <formula>NOT(ISERROR(SEARCH(" ",FC4)))</formula>
    </cfRule>
  </conditionalFormatting>
  <conditionalFormatting sqref="FD4">
    <cfRule type="containsText" dxfId="2064" priority="2159" operator="containsText" text=" ">
      <formula>NOT(ISERROR(SEARCH(" ",FD4)))</formula>
    </cfRule>
  </conditionalFormatting>
  <conditionalFormatting sqref="FF4">
    <cfRule type="containsText" dxfId="2063" priority="1963" operator="containsText" text=" ">
      <formula>NOT(ISERROR(SEARCH(" ",FF4)))</formula>
    </cfRule>
  </conditionalFormatting>
  <conditionalFormatting sqref="FG4">
    <cfRule type="containsText" dxfId="2062" priority="2158" operator="containsText" text=" ">
      <formula>NOT(ISERROR(SEARCH(" ",FG4)))</formula>
    </cfRule>
  </conditionalFormatting>
  <conditionalFormatting sqref="FI4">
    <cfRule type="containsText" dxfId="2061" priority="1956" operator="containsText" text=" ">
      <formula>NOT(ISERROR(SEARCH(" ",FI4)))</formula>
    </cfRule>
  </conditionalFormatting>
  <conditionalFormatting sqref="FJ4">
    <cfRule type="containsText" dxfId="2060" priority="2157" operator="containsText" text=" ">
      <formula>NOT(ISERROR(SEARCH(" ",FJ4)))</formula>
    </cfRule>
  </conditionalFormatting>
  <conditionalFormatting sqref="FL4">
    <cfRule type="containsText" dxfId="2059" priority="1949" operator="containsText" text=" ">
      <formula>NOT(ISERROR(SEARCH(" ",FL4)))</formula>
    </cfRule>
  </conditionalFormatting>
  <conditionalFormatting sqref="FM4">
    <cfRule type="containsText" dxfId="2058" priority="2156" operator="containsText" text=" ">
      <formula>NOT(ISERROR(SEARCH(" ",FM4)))</formula>
    </cfRule>
  </conditionalFormatting>
  <conditionalFormatting sqref="FO4">
    <cfRule type="containsText" dxfId="2057" priority="1942" operator="containsText" text=" ">
      <formula>NOT(ISERROR(SEARCH(" ",FO4)))</formula>
    </cfRule>
  </conditionalFormatting>
  <conditionalFormatting sqref="FP4">
    <cfRule type="containsText" dxfId="2056" priority="2155" operator="containsText" text=" ">
      <formula>NOT(ISERROR(SEARCH(" ",FP4)))</formula>
    </cfRule>
  </conditionalFormatting>
  <conditionalFormatting sqref="FR4">
    <cfRule type="containsText" dxfId="2055" priority="1935" operator="containsText" text=" ">
      <formula>NOT(ISERROR(SEARCH(" ",FR4)))</formula>
    </cfRule>
  </conditionalFormatting>
  <conditionalFormatting sqref="FS4">
    <cfRule type="containsText" dxfId="2054" priority="2154" operator="containsText" text=" ">
      <formula>NOT(ISERROR(SEARCH(" ",FS4)))</formula>
    </cfRule>
  </conditionalFormatting>
  <conditionalFormatting sqref="FU4">
    <cfRule type="containsText" dxfId="2053" priority="1928" operator="containsText" text=" ">
      <formula>NOT(ISERROR(SEARCH(" ",FU4)))</formula>
    </cfRule>
  </conditionalFormatting>
  <conditionalFormatting sqref="FV4">
    <cfRule type="containsText" dxfId="2052" priority="2153" operator="containsText" text=" ">
      <formula>NOT(ISERROR(SEARCH(" ",FV4)))</formula>
    </cfRule>
  </conditionalFormatting>
  <conditionalFormatting sqref="FX4">
    <cfRule type="containsText" dxfId="2051" priority="1921" operator="containsText" text=" ">
      <formula>NOT(ISERROR(SEARCH(" ",FX4)))</formula>
    </cfRule>
  </conditionalFormatting>
  <conditionalFormatting sqref="FY4">
    <cfRule type="cellIs" dxfId="2050" priority="2151" operator="greaterThan">
      <formula>1</formula>
    </cfRule>
    <cfRule type="containsText" dxfId="2049" priority="2152" operator="containsText" text=" ">
      <formula>NOT(ISERROR(SEARCH(" ",FY4)))</formula>
    </cfRule>
  </conditionalFormatting>
  <conditionalFormatting sqref="GK4">
    <cfRule type="containsText" dxfId="2048" priority="1313" operator="containsText" text=" ">
      <formula>NOT(ISERROR(SEARCH(" ",GK4)))</formula>
    </cfRule>
  </conditionalFormatting>
  <conditionalFormatting sqref="GL4">
    <cfRule type="containsText" dxfId="2047" priority="1363" operator="containsText" text=" ">
      <formula>NOT(ISERROR(SEARCH(" ",GL4)))</formula>
    </cfRule>
  </conditionalFormatting>
  <conditionalFormatting sqref="GN4">
    <cfRule type="containsText" dxfId="2046" priority="1306" operator="containsText" text=" ">
      <formula>NOT(ISERROR(SEARCH(" ",GN4)))</formula>
    </cfRule>
  </conditionalFormatting>
  <conditionalFormatting sqref="GO4">
    <cfRule type="containsText" dxfId="2045" priority="1361" operator="containsText" text=" ">
      <formula>NOT(ISERROR(SEARCH(" ",GO4)))</formula>
    </cfRule>
  </conditionalFormatting>
  <conditionalFormatting sqref="GQ4">
    <cfRule type="containsText" dxfId="2044" priority="1301" operator="containsText" text=" ">
      <formula>NOT(ISERROR(SEARCH(" ",GQ4)))</formula>
    </cfRule>
  </conditionalFormatting>
  <conditionalFormatting sqref="GR4">
    <cfRule type="containsText" dxfId="2043" priority="1360" operator="containsText" text=" ">
      <formula>NOT(ISERROR(SEARCH(" ",GR4)))</formula>
    </cfRule>
  </conditionalFormatting>
  <conditionalFormatting sqref="GT4">
    <cfRule type="containsText" dxfId="2042" priority="1296" operator="containsText" text=" ">
      <formula>NOT(ISERROR(SEARCH(" ",GT4)))</formula>
    </cfRule>
  </conditionalFormatting>
  <conditionalFormatting sqref="GU4">
    <cfRule type="containsText" dxfId="2041" priority="1359" operator="containsText" text=" ">
      <formula>NOT(ISERROR(SEARCH(" ",GU4)))</formula>
    </cfRule>
  </conditionalFormatting>
  <conditionalFormatting sqref="GW4">
    <cfRule type="containsText" dxfId="2040" priority="1291" operator="containsText" text=" ">
      <formula>NOT(ISERROR(SEARCH(" ",GW4)))</formula>
    </cfRule>
  </conditionalFormatting>
  <conditionalFormatting sqref="GX4">
    <cfRule type="containsText" dxfId="2039" priority="1358" operator="containsText" text=" ">
      <formula>NOT(ISERROR(SEARCH(" ",GX4)))</formula>
    </cfRule>
  </conditionalFormatting>
  <conditionalFormatting sqref="GZ4">
    <cfRule type="containsText" dxfId="2038" priority="1286" operator="containsText" text=" ">
      <formula>NOT(ISERROR(SEARCH(" ",GZ4)))</formula>
    </cfRule>
  </conditionalFormatting>
  <conditionalFormatting sqref="HA4">
    <cfRule type="containsText" dxfId="2037" priority="1357" operator="containsText" text=" ">
      <formula>NOT(ISERROR(SEARCH(" ",HA4)))</formula>
    </cfRule>
  </conditionalFormatting>
  <conditionalFormatting sqref="HC4">
    <cfRule type="containsText" dxfId="2036" priority="1281" operator="containsText" text=" ">
      <formula>NOT(ISERROR(SEARCH(" ",HC4)))</formula>
    </cfRule>
  </conditionalFormatting>
  <conditionalFormatting sqref="HD4">
    <cfRule type="containsText" dxfId="2035" priority="1356" operator="containsText" text=" ">
      <formula>NOT(ISERROR(SEARCH(" ",HD4)))</formula>
    </cfRule>
  </conditionalFormatting>
  <conditionalFormatting sqref="HF4">
    <cfRule type="containsText" dxfId="2034" priority="1276" operator="containsText" text=" ">
      <formula>NOT(ISERROR(SEARCH(" ",HF4)))</formula>
    </cfRule>
  </conditionalFormatting>
  <conditionalFormatting sqref="HG4">
    <cfRule type="containsText" dxfId="2033" priority="1355" operator="containsText" text=" ">
      <formula>NOT(ISERROR(SEARCH(" ",HG4)))</formula>
    </cfRule>
  </conditionalFormatting>
  <conditionalFormatting sqref="HI4">
    <cfRule type="containsText" dxfId="2032" priority="1271" operator="containsText" text=" ">
      <formula>NOT(ISERROR(SEARCH(" ",HI4)))</formula>
    </cfRule>
  </conditionalFormatting>
  <conditionalFormatting sqref="HJ4">
    <cfRule type="containsText" dxfId="2031" priority="1354" operator="containsText" text=" ">
      <formula>NOT(ISERROR(SEARCH(" ",HJ4)))</formula>
    </cfRule>
  </conditionalFormatting>
  <conditionalFormatting sqref="HL4">
    <cfRule type="containsText" dxfId="2030" priority="1266" operator="containsText" text=" ">
      <formula>NOT(ISERROR(SEARCH(" ",HL4)))</formula>
    </cfRule>
  </conditionalFormatting>
  <conditionalFormatting sqref="HM4">
    <cfRule type="containsText" dxfId="2029" priority="1353" operator="containsText" text=" ">
      <formula>NOT(ISERROR(SEARCH(" ",HM4)))</formula>
    </cfRule>
  </conditionalFormatting>
  <conditionalFormatting sqref="HO4">
    <cfRule type="containsText" dxfId="2028" priority="1259" operator="containsText" text=" ">
      <formula>NOT(ISERROR(SEARCH(" ",HO4)))</formula>
    </cfRule>
  </conditionalFormatting>
  <conditionalFormatting sqref="HP4">
    <cfRule type="containsText" dxfId="2027" priority="1352" operator="containsText" text=" ">
      <formula>NOT(ISERROR(SEARCH(" ",HP4)))</formula>
    </cfRule>
  </conditionalFormatting>
  <conditionalFormatting sqref="HR4">
    <cfRule type="containsText" dxfId="2026" priority="1252" operator="containsText" text=" ">
      <formula>NOT(ISERROR(SEARCH(" ",HR4)))</formula>
    </cfRule>
  </conditionalFormatting>
  <conditionalFormatting sqref="HS4">
    <cfRule type="containsText" dxfId="2025" priority="1351" operator="containsText" text=" ">
      <formula>NOT(ISERROR(SEARCH(" ",HS4)))</formula>
    </cfRule>
  </conditionalFormatting>
  <conditionalFormatting sqref="HU4">
    <cfRule type="containsText" dxfId="2024" priority="1245" operator="containsText" text=" ">
      <formula>NOT(ISERROR(SEARCH(" ",HU4)))</formula>
    </cfRule>
  </conditionalFormatting>
  <conditionalFormatting sqref="HV4">
    <cfRule type="containsText" dxfId="2023" priority="1350" operator="containsText" text=" ">
      <formula>NOT(ISERROR(SEARCH(" ",HV4)))</formula>
    </cfRule>
  </conditionalFormatting>
  <conditionalFormatting sqref="HX4">
    <cfRule type="containsText" dxfId="2022" priority="1238" operator="containsText" text=" ">
      <formula>NOT(ISERROR(SEARCH(" ",HX4)))</formula>
    </cfRule>
  </conditionalFormatting>
  <conditionalFormatting sqref="HY4">
    <cfRule type="containsText" dxfId="2021" priority="1349" operator="containsText" text=" ">
      <formula>NOT(ISERROR(SEARCH(" ",HY4)))</formula>
    </cfRule>
  </conditionalFormatting>
  <conditionalFormatting sqref="IA4">
    <cfRule type="containsText" dxfId="2020" priority="1231" operator="containsText" text=" ">
      <formula>NOT(ISERROR(SEARCH(" ",IA4)))</formula>
    </cfRule>
  </conditionalFormatting>
  <conditionalFormatting sqref="IB4">
    <cfRule type="containsText" dxfId="2019" priority="1348" operator="containsText" text=" ">
      <formula>NOT(ISERROR(SEARCH(" ",IB4)))</formula>
    </cfRule>
  </conditionalFormatting>
  <conditionalFormatting sqref="ID4">
    <cfRule type="containsText" dxfId="2018" priority="1224" operator="containsText" text=" ">
      <formula>NOT(ISERROR(SEARCH(" ",ID4)))</formula>
    </cfRule>
  </conditionalFormatting>
  <conditionalFormatting sqref="IE4">
    <cfRule type="containsText" dxfId="2017" priority="1347" operator="containsText" text=" ">
      <formula>NOT(ISERROR(SEARCH(" ",IE4)))</formula>
    </cfRule>
  </conditionalFormatting>
  <conditionalFormatting sqref="IG4">
    <cfRule type="containsText" dxfId="2016" priority="1217" operator="containsText" text=" ">
      <formula>NOT(ISERROR(SEARCH(" ",IG4)))</formula>
    </cfRule>
  </conditionalFormatting>
  <conditionalFormatting sqref="IH4">
    <cfRule type="containsText" dxfId="2015" priority="1346" operator="containsText" text=" ">
      <formula>NOT(ISERROR(SEARCH(" ",IH4)))</formula>
    </cfRule>
  </conditionalFormatting>
  <conditionalFormatting sqref="IJ4">
    <cfRule type="containsText" dxfId="2014" priority="1210" operator="containsText" text=" ">
      <formula>NOT(ISERROR(SEARCH(" ",IJ4)))</formula>
    </cfRule>
  </conditionalFormatting>
  <conditionalFormatting sqref="IK4">
    <cfRule type="containsText" dxfId="2013" priority="1345" operator="containsText" text=" ">
      <formula>NOT(ISERROR(SEARCH(" ",IK4)))</formula>
    </cfRule>
  </conditionalFormatting>
  <conditionalFormatting sqref="IM4">
    <cfRule type="containsText" dxfId="2012" priority="1203" operator="containsText" text=" ">
      <formula>NOT(ISERROR(SEARCH(" ",IM4)))</formula>
    </cfRule>
  </conditionalFormatting>
  <conditionalFormatting sqref="IN4">
    <cfRule type="cellIs" dxfId="2011" priority="1343" operator="greaterThan">
      <formula>1</formula>
    </cfRule>
    <cfRule type="containsText" dxfId="2010" priority="1344" operator="containsText" text=" ">
      <formula>NOT(ISERROR(SEARCH(" ",IN4)))</formula>
    </cfRule>
  </conditionalFormatting>
  <conditionalFormatting sqref="DV5">
    <cfRule type="colorScale" priority="1829">
      <colorScale>
        <cfvo type="min"/>
        <cfvo type="max"/>
        <color rgb="FFFCFCFF"/>
        <color rgb="FF63BE7B"/>
      </colorScale>
    </cfRule>
    <cfRule type="colorScale" priority="1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5">
    <cfRule type="colorScale" priority="1819">
      <colorScale>
        <cfvo type="min"/>
        <cfvo type="max"/>
        <color rgb="FFFCFCFF"/>
        <color rgb="FF63BE7B"/>
      </colorScale>
    </cfRule>
    <cfRule type="colorScale" priority="18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">
    <cfRule type="colorScale" priority="1113">
      <colorScale>
        <cfvo type="min"/>
        <cfvo type="max"/>
        <color rgb="FFFCFCFF"/>
        <color rgb="FF63BE7B"/>
      </colorScale>
    </cfRule>
    <cfRule type="colorScale" priority="11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">
    <cfRule type="colorScale" priority="1109">
      <colorScale>
        <cfvo type="min"/>
        <cfvo type="max"/>
        <color rgb="FFFCFCFF"/>
        <color rgb="FF63BE7B"/>
      </colorScale>
    </cfRule>
    <cfRule type="colorScale" priority="1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">
    <cfRule type="containsText" dxfId="2009" priority="1439" operator="containsText" text=" ">
      <formula>NOT(ISERROR(SEARCH(" ",JN5)))</formula>
    </cfRule>
  </conditionalFormatting>
  <conditionalFormatting sqref="BW6">
    <cfRule type="containsText" dxfId="2008" priority="2485" operator="containsText" text=" ">
      <formula>NOT(ISERROR(SEARCH(" ",BW6)))</formula>
    </cfRule>
    <cfRule type="containsText" dxfId="2007" priority="2486" operator="containsText" text=" ">
      <formula>NOT(ISERROR(SEARCH(" ",BW6)))</formula>
    </cfRule>
  </conditionalFormatting>
  <conditionalFormatting sqref="DV6">
    <cfRule type="colorScale" priority="1827">
      <colorScale>
        <cfvo type="min"/>
        <cfvo type="max"/>
        <color rgb="FFFCFCFF"/>
        <color rgb="FF63BE7B"/>
      </colorScale>
    </cfRule>
    <cfRule type="colorScale" priority="1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">
    <cfRule type="colorScale" priority="1111">
      <colorScale>
        <cfvo type="min"/>
        <cfvo type="max"/>
        <color rgb="FFFCFCFF"/>
        <color rgb="FF63BE7B"/>
      </colorScale>
    </cfRule>
    <cfRule type="colorScale" priority="1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">
    <cfRule type="cellIs" dxfId="2006" priority="1381" operator="equal">
      <formula>"概率正确"</formula>
    </cfRule>
    <cfRule type="cellIs" dxfId="2005" priority="1382" operator="equal">
      <formula>"概率错误"</formula>
    </cfRule>
  </conditionalFormatting>
  <conditionalFormatting sqref="GA11">
    <cfRule type="containsText" dxfId="2004" priority="915" operator="containsText" text=" ">
      <formula>NOT(ISERROR(SEARCH(" ",GA11)))</formula>
    </cfRule>
    <cfRule type="containsText" dxfId="2003" priority="916" operator="containsText" text=" ">
      <formula>NOT(ISERROR(SEARCH(" ",GA11)))</formula>
    </cfRule>
  </conditionalFormatting>
  <conditionalFormatting sqref="BH12">
    <cfRule type="containsText" dxfId="2002" priority="1519" operator="containsText" text=" ">
      <formula>NOT(ISERROR(SEARCH(" ",BH12)))</formula>
    </cfRule>
    <cfRule type="containsText" dxfId="2001" priority="1520" operator="containsText" text=" ">
      <formula>NOT(ISERROR(SEARCH(" ",BH12)))</formula>
    </cfRule>
  </conditionalFormatting>
  <conditionalFormatting sqref="BI12">
    <cfRule type="containsText" dxfId="2000" priority="2423" operator="containsText" text=" ">
      <formula>NOT(ISERROR(SEARCH(" ",BI12)))</formula>
    </cfRule>
    <cfRule type="containsText" dxfId="1999" priority="2424" operator="containsText" text=" ">
      <formula>NOT(ISERROR(SEARCH(" ",BI12)))</formula>
    </cfRule>
  </conditionalFormatting>
  <conditionalFormatting sqref="BU12">
    <cfRule type="containsText" dxfId="1998" priority="2754" operator="containsText" text=" ">
      <formula>NOT(ISERROR(SEARCH(" ",BU12)))</formula>
    </cfRule>
    <cfRule type="containsText" dxfId="1997" priority="2755" operator="containsText" text=" ">
      <formula>NOT(ISERROR(SEARCH(" ",BU12)))</formula>
    </cfRule>
  </conditionalFormatting>
  <conditionalFormatting sqref="BH13">
    <cfRule type="containsText" dxfId="1996" priority="1513" operator="containsText" text=" ">
      <formula>NOT(ISERROR(SEARCH(" ",BH13)))</formula>
    </cfRule>
    <cfRule type="containsText" dxfId="1995" priority="1514" operator="containsText" text=" ">
      <formula>NOT(ISERROR(SEARCH(" ",BH13)))</formula>
    </cfRule>
  </conditionalFormatting>
  <conditionalFormatting sqref="BI13">
    <cfRule type="containsText" dxfId="1994" priority="2417" operator="containsText" text=" ">
      <formula>NOT(ISERROR(SEARCH(" ",BI13)))</formula>
    </cfRule>
    <cfRule type="containsText" dxfId="1993" priority="2418" operator="containsText" text=" ">
      <formula>NOT(ISERROR(SEARCH(" ",BI13)))</formula>
    </cfRule>
  </conditionalFormatting>
  <conditionalFormatting sqref="BH14">
    <cfRule type="containsText" dxfId="1992" priority="1501" operator="containsText" text=" ">
      <formula>NOT(ISERROR(SEARCH(" ",BH14)))</formula>
    </cfRule>
    <cfRule type="containsText" dxfId="1991" priority="1502" operator="containsText" text=" ">
      <formula>NOT(ISERROR(SEARCH(" ",BH14)))</formula>
    </cfRule>
  </conditionalFormatting>
  <conditionalFormatting sqref="BI14">
    <cfRule type="containsText" dxfId="1990" priority="2401" operator="containsText" text=" ">
      <formula>NOT(ISERROR(SEARCH(" ",BI14)))</formula>
    </cfRule>
    <cfRule type="containsText" dxfId="1989" priority="2402" operator="containsText" text=" ">
      <formula>NOT(ISERROR(SEARCH(" ",BI14)))</formula>
    </cfRule>
  </conditionalFormatting>
  <conditionalFormatting sqref="B15">
    <cfRule type="containsText" dxfId="1988" priority="2748" operator="containsText" text=" ">
      <formula>NOT(ISERROR(SEARCH(" ",B15)))</formula>
    </cfRule>
    <cfRule type="containsText" dxfId="1987" priority="2749" operator="containsText" text=" ">
      <formula>NOT(ISERROR(SEARCH(" ",B15)))</formula>
    </cfRule>
  </conditionalFormatting>
  <conditionalFormatting sqref="JN15">
    <cfRule type="containsText" dxfId="1986" priority="1437" operator="containsText" text=" ">
      <formula>NOT(ISERROR(SEARCH(" ",JN15)))</formula>
    </cfRule>
  </conditionalFormatting>
  <conditionalFormatting sqref="BH20">
    <cfRule type="containsText" dxfId="1985" priority="1505" operator="containsText" text=" ">
      <formula>NOT(ISERROR(SEARCH(" ",BH20)))</formula>
    </cfRule>
    <cfRule type="containsText" dxfId="1984" priority="1506" operator="containsText" text=" ">
      <formula>NOT(ISERROR(SEARCH(" ",BH20)))</formula>
    </cfRule>
  </conditionalFormatting>
  <conditionalFormatting sqref="BI20">
    <cfRule type="containsText" dxfId="1983" priority="2405" operator="containsText" text=" ">
      <formula>NOT(ISERROR(SEARCH(" ",BI20)))</formula>
    </cfRule>
    <cfRule type="containsText" dxfId="1982" priority="2406" operator="containsText" text=" ">
      <formula>NOT(ISERROR(SEARCH(" ",BI20)))</formula>
    </cfRule>
  </conditionalFormatting>
  <conditionalFormatting sqref="B26">
    <cfRule type="cellIs" dxfId="1981" priority="848" operator="equal">
      <formula>" "</formula>
    </cfRule>
  </conditionalFormatting>
  <conditionalFormatting sqref="E26">
    <cfRule type="containsText" dxfId="1980" priority="147" operator="containsText" text=" ">
      <formula>NOT(ISERROR(SEARCH(" ",E26)))</formula>
    </cfRule>
    <cfRule type="containsText" dxfId="1979" priority="148" operator="containsText" text=" ">
      <formula>NOT(ISERROR(SEARCH(" ",E26)))</formula>
    </cfRule>
  </conditionalFormatting>
  <conditionalFormatting sqref="F26">
    <cfRule type="containsText" dxfId="1978" priority="159" operator="containsText" text=" ">
      <formula>NOT(ISERROR(SEARCH(" ",F26)))</formula>
    </cfRule>
    <cfRule type="containsText" dxfId="1977" priority="160" operator="containsText" text=" ">
      <formula>NOT(ISERROR(SEARCH(" ",F26)))</formula>
    </cfRule>
  </conditionalFormatting>
  <conditionalFormatting sqref="G26">
    <cfRule type="containsText" dxfId="1976" priority="883" operator="containsText" text=" ">
      <formula>NOT(ISERROR(SEARCH(" ",G26)))</formula>
    </cfRule>
    <cfRule type="containsText" dxfId="1975" priority="884" operator="containsText" text=" ">
      <formula>NOT(ISERROR(SEARCH(" ",G26)))</formula>
    </cfRule>
  </conditionalFormatting>
  <conditionalFormatting sqref="N26">
    <cfRule type="containsText" dxfId="1974" priority="901" operator="containsText" text=" ">
      <formula>NOT(ISERROR(SEARCH(" ",N26)))</formula>
    </cfRule>
    <cfRule type="containsText" dxfId="1973" priority="902" operator="containsText" text=" ">
      <formula>NOT(ISERROR(SEARCH(" ",N26)))</formula>
    </cfRule>
  </conditionalFormatting>
  <conditionalFormatting sqref="R26">
    <cfRule type="colorScale" priority="851">
      <colorScale>
        <cfvo type="min"/>
        <cfvo type="max"/>
        <color rgb="FFFCFCFF"/>
        <color rgb="FF63BE7B"/>
      </colorScale>
    </cfRule>
    <cfRule type="colorScale" priority="8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26">
    <cfRule type="cellIs" dxfId="1972" priority="889" operator="greaterThan">
      <formula>1</formula>
    </cfRule>
    <cfRule type="containsText" dxfId="1971" priority="890" operator="containsText" text=" ">
      <formula>NOT(ISERROR(SEARCH(" ",Y26)))</formula>
    </cfRule>
    <cfRule type="containsText" dxfId="1970" priority="891" operator="containsText" text=" ">
      <formula>NOT(ISERROR(SEARCH(" ",Y26)))</formula>
    </cfRule>
  </conditionalFormatting>
  <conditionalFormatting sqref="Z26:AC26">
    <cfRule type="cellIs" dxfId="1969" priority="867" operator="equal">
      <formula>0</formula>
    </cfRule>
    <cfRule type="cellIs" dxfId="1968" priority="872" operator="greaterThan">
      <formula>1</formula>
    </cfRule>
    <cfRule type="containsText" dxfId="1967" priority="873" operator="containsText" text=" ">
      <formula>NOT(ISERROR(SEARCH(" ",Z26)))</formula>
    </cfRule>
    <cfRule type="containsText" dxfId="1966" priority="874" operator="containsText" text=" ">
      <formula>NOT(ISERROR(SEARCH(" ",Z26)))</formula>
    </cfRule>
  </conditionalFormatting>
  <conditionalFormatting sqref="AD26">
    <cfRule type="cellIs" dxfId="1965" priority="83" operator="equal">
      <formula>0</formula>
    </cfRule>
    <cfRule type="cellIs" dxfId="1964" priority="84" operator="equal">
      <formula>0</formula>
    </cfRule>
    <cfRule type="cellIs" dxfId="1963" priority="85" operator="greaterThan">
      <formula>1</formula>
    </cfRule>
    <cfRule type="containsText" dxfId="1962" priority="86" operator="containsText" text=" ">
      <formula>NOT(ISERROR(SEARCH(" ",AD26)))</formula>
    </cfRule>
    <cfRule type="containsText" dxfId="1961" priority="87" operator="containsText" text=" ">
      <formula>NOT(ISERROR(SEARCH(" ",AD26)))</formula>
    </cfRule>
  </conditionalFormatting>
  <conditionalFormatting sqref="AE26">
    <cfRule type="cellIs" dxfId="1960" priority="38" operator="equal">
      <formula>0</formula>
    </cfRule>
    <cfRule type="cellIs" dxfId="1959" priority="39" operator="equal">
      <formula>0</formula>
    </cfRule>
    <cfRule type="cellIs" dxfId="1958" priority="40" operator="greaterThan">
      <formula>1</formula>
    </cfRule>
    <cfRule type="containsText" dxfId="1957" priority="41" operator="containsText" text=" ">
      <formula>NOT(ISERROR(SEARCH(" ",AE26)))</formula>
    </cfRule>
    <cfRule type="containsText" dxfId="1956" priority="42" operator="containsText" text=" ">
      <formula>NOT(ISERROR(SEARCH(" ",AE26)))</formula>
    </cfRule>
  </conditionalFormatting>
  <conditionalFormatting sqref="AF26">
    <cfRule type="cellIs" dxfId="1955" priority="23" operator="equal">
      <formula>0</formula>
    </cfRule>
    <cfRule type="cellIs" dxfId="1954" priority="24" operator="equal">
      <formula>0</formula>
    </cfRule>
    <cfRule type="cellIs" dxfId="1953" priority="25" operator="greaterThan">
      <formula>1</formula>
    </cfRule>
    <cfRule type="containsText" dxfId="1952" priority="26" operator="containsText" text=" ">
      <formula>NOT(ISERROR(SEARCH(" ",AF26)))</formula>
    </cfRule>
    <cfRule type="containsText" dxfId="1951" priority="27" operator="containsText" text=" ">
      <formula>NOT(ISERROR(SEARCH(" ",AF26)))</formula>
    </cfRule>
  </conditionalFormatting>
  <conditionalFormatting sqref="AG26:AI26">
    <cfRule type="containsText" dxfId="1950" priority="885" operator="containsText" text=" ">
      <formula>NOT(ISERROR(SEARCH(" ",AG26)))</formula>
    </cfRule>
    <cfRule type="containsText" dxfId="1949" priority="886" operator="containsText" text=" ">
      <formula>NOT(ISERROR(SEARCH(" ",AG26)))</formula>
    </cfRule>
  </conditionalFormatting>
  <conditionalFormatting sqref="AO26">
    <cfRule type="cellIs" dxfId="1948" priority="892" operator="greaterThan">
      <formula>1</formula>
    </cfRule>
    <cfRule type="containsText" dxfId="1947" priority="893" operator="containsText" text=" ">
      <formula>NOT(ISERROR(SEARCH(" ",AO26)))</formula>
    </cfRule>
    <cfRule type="containsText" dxfId="1946" priority="894" operator="containsText" text=" ">
      <formula>NOT(ISERROR(SEARCH(" ",AO26)))</formula>
    </cfRule>
  </conditionalFormatting>
  <conditionalFormatting sqref="AT26">
    <cfRule type="containsText" dxfId="1945" priority="907" operator="containsText" text=" ">
      <formula>NOT(ISERROR(SEARCH(" ",AT26)))</formula>
    </cfRule>
    <cfRule type="containsText" dxfId="1944" priority="908" operator="containsText" text=" ">
      <formula>NOT(ISERROR(SEARCH(" ",AT26)))</formula>
    </cfRule>
  </conditionalFormatting>
  <conditionalFormatting sqref="AV26">
    <cfRule type="containsText" dxfId="1943" priority="189" operator="containsText" text=" ">
      <formula>NOT(ISERROR(SEARCH(" ",AV26)))</formula>
    </cfRule>
    <cfRule type="containsText" dxfId="1942" priority="190" operator="containsText" text=" ">
      <formula>NOT(ISERROR(SEARCH(" ",AV26)))</formula>
    </cfRule>
  </conditionalFormatting>
  <conditionalFormatting sqref="AX26:AY26">
    <cfRule type="containsText" dxfId="1941" priority="887" operator="containsText" text=" ">
      <formula>NOT(ISERROR(SEARCH(" ",AX26)))</formula>
    </cfRule>
    <cfRule type="containsText" dxfId="1940" priority="888" operator="containsText" text=" ">
      <formula>NOT(ISERROR(SEARCH(" ",AX26)))</formula>
    </cfRule>
  </conditionalFormatting>
  <conditionalFormatting sqref="BA26">
    <cfRule type="containsText" dxfId="1939" priority="705" operator="containsText" text=" ">
      <formula>NOT(ISERROR(SEARCH(" ",BA26)))</formula>
    </cfRule>
    <cfRule type="containsText" dxfId="1938" priority="706" operator="containsText" text=" ">
      <formula>NOT(ISERROR(SEARCH(" ",BA26)))</formula>
    </cfRule>
  </conditionalFormatting>
  <conditionalFormatting sqref="BC26:BE26">
    <cfRule type="containsText" dxfId="1937" priority="899" operator="containsText" text=" ">
      <formula>NOT(ISERROR(SEARCH(" ",BC26)))</formula>
    </cfRule>
    <cfRule type="containsText" dxfId="1936" priority="900" operator="containsText" text=" ">
      <formula>NOT(ISERROR(SEARCH(" ",BC26)))</formula>
    </cfRule>
  </conditionalFormatting>
  <conditionalFormatting sqref="BH26">
    <cfRule type="containsText" dxfId="1935" priority="707" operator="containsText" text=" ">
      <formula>NOT(ISERROR(SEARCH(" ",BH26)))</formula>
    </cfRule>
    <cfRule type="containsText" dxfId="1934" priority="708" operator="containsText" text=" ">
      <formula>NOT(ISERROR(SEARCH(" ",BH26)))</formula>
    </cfRule>
  </conditionalFormatting>
  <conditionalFormatting sqref="BI26">
    <cfRule type="containsText" dxfId="1933" priority="179" operator="containsText" text=" ">
      <formula>NOT(ISERROR(SEARCH(" ",BI26)))</formula>
    </cfRule>
    <cfRule type="containsText" dxfId="1932" priority="180" operator="containsText" text=" ">
      <formula>NOT(ISERROR(SEARCH(" ",BI26)))</formula>
    </cfRule>
  </conditionalFormatting>
  <conditionalFormatting sqref="BJ26">
    <cfRule type="containsText" dxfId="1931" priority="133" operator="containsText" text=" ">
      <formula>NOT(ISERROR(SEARCH(" ",BJ26)))</formula>
    </cfRule>
    <cfRule type="containsText" dxfId="1930" priority="134" operator="containsText" text=" ">
      <formula>NOT(ISERROR(SEARCH(" ",BJ26)))</formula>
    </cfRule>
  </conditionalFormatting>
  <conditionalFormatting sqref="BK26:BM26">
    <cfRule type="containsText" dxfId="1929" priority="877" operator="containsText" text=" ">
      <formula>NOT(ISERROR(SEARCH(" ",BK26)))</formula>
    </cfRule>
    <cfRule type="containsText" dxfId="1928" priority="878" operator="containsText" text=" ">
      <formula>NOT(ISERROR(SEARCH(" ",BK26)))</formula>
    </cfRule>
  </conditionalFormatting>
  <conditionalFormatting sqref="BP26">
    <cfRule type="cellIs" dxfId="1927" priority="909" operator="equal">
      <formula>"是"</formula>
    </cfRule>
    <cfRule type="cellIs" dxfId="1926" priority="910" operator="equal">
      <formula>"否"</formula>
    </cfRule>
  </conditionalFormatting>
  <conditionalFormatting sqref="CH26">
    <cfRule type="cellIs" dxfId="1925" priority="849" operator="equal">
      <formula>0</formula>
    </cfRule>
  </conditionalFormatting>
  <conditionalFormatting sqref="CS26">
    <cfRule type="containsText" dxfId="1924" priority="870" operator="containsText" text=" ">
      <formula>NOT(ISERROR(SEARCH(" ",CS26)))</formula>
    </cfRule>
    <cfRule type="containsText" dxfId="1923" priority="871" operator="containsText" text=" ">
      <formula>NOT(ISERROR(SEARCH(" ",CS26)))</formula>
    </cfRule>
  </conditionalFormatting>
  <conditionalFormatting sqref="CU26">
    <cfRule type="containsText" dxfId="1922" priority="868" operator="containsText" text=" ">
      <formula>NOT(ISERROR(SEARCH(" ",CU26)))</formula>
    </cfRule>
    <cfRule type="containsText" dxfId="1921" priority="869" operator="containsText" text=" ">
      <formula>NOT(ISERROR(SEARCH(" ",CU26)))</formula>
    </cfRule>
  </conditionalFormatting>
  <conditionalFormatting sqref="CX26">
    <cfRule type="colorScale" priority="8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26">
    <cfRule type="cellIs" dxfId="1920" priority="864" operator="greaterThan">
      <formula>1</formula>
    </cfRule>
    <cfRule type="containsText" dxfId="1919" priority="865" operator="containsText" text=" ">
      <formula>NOT(ISERROR(SEARCH(" ",CZ26)))</formula>
    </cfRule>
    <cfRule type="containsText" dxfId="1918" priority="866" operator="containsText" text=" ">
      <formula>NOT(ISERROR(SEARCH(" ",CZ26)))</formula>
    </cfRule>
  </conditionalFormatting>
  <conditionalFormatting sqref="DC26">
    <cfRule type="cellIs" dxfId="1917" priority="859" operator="greaterThan">
      <formula>1</formula>
    </cfRule>
    <cfRule type="containsText" dxfId="1916" priority="860" operator="containsText" text=" ">
      <formula>NOT(ISERROR(SEARCH(" ",DC26)))</formula>
    </cfRule>
    <cfRule type="containsText" dxfId="1915" priority="861" operator="containsText" text=" ">
      <formula>NOT(ISERROR(SEARCH(" ",DC26)))</formula>
    </cfRule>
  </conditionalFormatting>
  <conditionalFormatting sqref="DF26">
    <cfRule type="colorScale" priority="855">
      <colorScale>
        <cfvo type="min"/>
        <cfvo type="max"/>
        <color rgb="FFFCFCFF"/>
        <color rgb="FF63BE7B"/>
      </colorScale>
    </cfRule>
    <cfRule type="colorScale" priority="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26">
    <cfRule type="colorScale" priority="853">
      <colorScale>
        <cfvo type="min"/>
        <cfvo type="max"/>
        <color rgb="FFFCFCFF"/>
        <color rgb="FF63BE7B"/>
      </colorScale>
    </cfRule>
    <cfRule type="colorScale" priority="8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26">
    <cfRule type="cellIs" dxfId="1914" priority="709" operator="greaterThan">
      <formula>1</formula>
    </cfRule>
    <cfRule type="colorScale" priority="710">
      <colorScale>
        <cfvo type="min"/>
        <cfvo type="max"/>
        <color rgb="FFFCFCFF"/>
        <color rgb="FF63BE7B"/>
      </colorScale>
    </cfRule>
    <cfRule type="colorScale" priority="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26:DT26">
    <cfRule type="colorScale" priority="846">
      <colorScale>
        <cfvo type="min"/>
        <cfvo type="max"/>
        <color rgb="FFFCFCFF"/>
        <color rgb="FF63BE7B"/>
      </colorScale>
    </cfRule>
    <cfRule type="colorScale" priority="8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26">
    <cfRule type="cellIs" dxfId="1913" priority="841" operator="greaterThan">
      <formula>1</formula>
    </cfRule>
  </conditionalFormatting>
  <conditionalFormatting sqref="DU26">
    <cfRule type="colorScale" priority="844">
      <colorScale>
        <cfvo type="min"/>
        <cfvo type="max"/>
        <color rgb="FFFCFCFF"/>
        <color rgb="FF63BE7B"/>
      </colorScale>
    </cfRule>
    <cfRule type="colorScale" priority="8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26">
    <cfRule type="colorScale" priority="818">
      <colorScale>
        <cfvo type="min"/>
        <cfvo type="max"/>
        <color rgb="FFFCFCFF"/>
        <color rgb="FF63BE7B"/>
      </colorScale>
    </cfRule>
    <cfRule type="colorScale" priority="8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26">
    <cfRule type="cellIs" dxfId="1912" priority="795" operator="greaterThan">
      <formula>1</formula>
    </cfRule>
    <cfRule type="colorScale" priority="796">
      <colorScale>
        <cfvo type="min"/>
        <cfvo type="max"/>
        <color rgb="FFFCFCFF"/>
        <color rgb="FF63BE7B"/>
      </colorScale>
    </cfRule>
    <cfRule type="colorScale" priority="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26">
    <cfRule type="colorScale" priority="742">
      <colorScale>
        <cfvo type="min"/>
        <cfvo type="max"/>
        <color rgb="FFFCFCFF"/>
        <color rgb="FF63BE7B"/>
      </colorScale>
    </cfRule>
    <cfRule type="colorScale" priority="7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6">
    <cfRule type="colorScale" priority="740">
      <colorScale>
        <cfvo type="min"/>
        <cfvo type="max"/>
        <color rgb="FFFCFCFF"/>
        <color rgb="FF63BE7B"/>
      </colorScale>
    </cfRule>
    <cfRule type="colorScale" priority="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26">
    <cfRule type="cellIs" dxfId="1911" priority="792" operator="greaterThan">
      <formula>1</formula>
    </cfRule>
    <cfRule type="colorScale" priority="793">
      <colorScale>
        <cfvo type="min"/>
        <cfvo type="max"/>
        <color rgb="FFFCFCFF"/>
        <color rgb="FF63BE7B"/>
      </colorScale>
    </cfRule>
    <cfRule type="colorScale" priority="7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26">
    <cfRule type="colorScale" priority="738">
      <colorScale>
        <cfvo type="min"/>
        <cfvo type="max"/>
        <color rgb="FFFCFCFF"/>
        <color rgb="FF63BE7B"/>
      </colorScale>
    </cfRule>
    <cfRule type="colorScale" priority="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26">
    <cfRule type="colorScale" priority="736">
      <colorScale>
        <cfvo type="min"/>
        <cfvo type="max"/>
        <color rgb="FFFCFCFF"/>
        <color rgb="FF63BE7B"/>
      </colorScale>
    </cfRule>
    <cfRule type="colorScale" priority="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26">
    <cfRule type="cellIs" dxfId="1910" priority="789" operator="greaterThan">
      <formula>1</formula>
    </cfRule>
    <cfRule type="colorScale" priority="790">
      <colorScale>
        <cfvo type="min"/>
        <cfvo type="max"/>
        <color rgb="FFFCFCFF"/>
        <color rgb="FF63BE7B"/>
      </colorScale>
    </cfRule>
    <cfRule type="colorScale" priority="7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26">
    <cfRule type="colorScale" priority="734">
      <colorScale>
        <cfvo type="min"/>
        <cfvo type="max"/>
        <color rgb="FFFCFCFF"/>
        <color rgb="FF63BE7B"/>
      </colorScale>
    </cfRule>
    <cfRule type="colorScale" priority="7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26">
    <cfRule type="colorScale" priority="732">
      <colorScale>
        <cfvo type="min"/>
        <cfvo type="max"/>
        <color rgb="FFFCFCFF"/>
        <color rgb="FF63BE7B"/>
      </colorScale>
    </cfRule>
    <cfRule type="colorScale" priority="7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26">
    <cfRule type="cellIs" dxfId="1909" priority="786" operator="greaterThan">
      <formula>1</formula>
    </cfRule>
    <cfRule type="colorScale" priority="787">
      <colorScale>
        <cfvo type="min"/>
        <cfvo type="max"/>
        <color rgb="FFFCFCFF"/>
        <color rgb="FF63BE7B"/>
      </colorScale>
    </cfRule>
    <cfRule type="colorScale" priority="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26">
    <cfRule type="colorScale" priority="730">
      <colorScale>
        <cfvo type="min"/>
        <cfvo type="max"/>
        <color rgb="FFFCFCFF"/>
        <color rgb="FF63BE7B"/>
      </colorScale>
    </cfRule>
    <cfRule type="colorScale" priority="7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6">
    <cfRule type="colorScale" priority="728">
      <colorScale>
        <cfvo type="min"/>
        <cfvo type="max"/>
        <color rgb="FFFCFCFF"/>
        <color rgb="FF63BE7B"/>
      </colorScale>
    </cfRule>
    <cfRule type="colorScale" priority="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26">
    <cfRule type="cellIs" dxfId="1908" priority="783" operator="greaterThan">
      <formula>1</formula>
    </cfRule>
    <cfRule type="colorScale" priority="784">
      <colorScale>
        <cfvo type="min"/>
        <cfvo type="max"/>
        <color rgb="FFFCFCFF"/>
        <color rgb="FF63BE7B"/>
      </colorScale>
    </cfRule>
    <cfRule type="colorScale" priority="7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26">
    <cfRule type="colorScale" priority="726">
      <colorScale>
        <cfvo type="min"/>
        <cfvo type="max"/>
        <color rgb="FFFCFCFF"/>
        <color rgb="FF63BE7B"/>
      </colorScale>
    </cfRule>
    <cfRule type="colorScale" priority="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26">
    <cfRule type="colorScale" priority="724">
      <colorScale>
        <cfvo type="min"/>
        <cfvo type="max"/>
        <color rgb="FFFCFCFF"/>
        <color rgb="FF63BE7B"/>
      </colorScale>
    </cfRule>
    <cfRule type="colorScale" priority="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26">
    <cfRule type="cellIs" dxfId="1907" priority="780" operator="greaterThan">
      <formula>1</formula>
    </cfRule>
    <cfRule type="colorScale" priority="781">
      <colorScale>
        <cfvo type="min"/>
        <cfvo type="max"/>
        <color rgb="FFFCFCFF"/>
        <color rgb="FF63BE7B"/>
      </colorScale>
    </cfRule>
    <cfRule type="colorScale" priority="7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26">
    <cfRule type="colorScale" priority="722">
      <colorScale>
        <cfvo type="min"/>
        <cfvo type="max"/>
        <color rgb="FFFCFCFF"/>
        <color rgb="FF63BE7B"/>
      </colorScale>
    </cfRule>
    <cfRule type="colorScale" priority="7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26">
    <cfRule type="colorScale" priority="720">
      <colorScale>
        <cfvo type="min"/>
        <cfvo type="max"/>
        <color rgb="FFFCFCFF"/>
        <color rgb="FF63BE7B"/>
      </colorScale>
    </cfRule>
    <cfRule type="colorScale" priority="7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26">
    <cfRule type="cellIs" dxfId="1906" priority="777" operator="greaterThan">
      <formula>1</formula>
    </cfRule>
    <cfRule type="colorScale" priority="778">
      <colorScale>
        <cfvo type="min"/>
        <cfvo type="max"/>
        <color rgb="FFFCFCFF"/>
        <color rgb="FF63BE7B"/>
      </colorScale>
    </cfRule>
    <cfRule type="colorScale" priority="7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26">
    <cfRule type="colorScale" priority="718">
      <colorScale>
        <cfvo type="min"/>
        <cfvo type="max"/>
        <color rgb="FFFCFCFF"/>
        <color rgb="FF63BE7B"/>
      </colorScale>
    </cfRule>
    <cfRule type="colorScale" priority="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6">
    <cfRule type="colorScale" priority="716">
      <colorScale>
        <cfvo type="min"/>
        <cfvo type="max"/>
        <color rgb="FFFCFCFF"/>
        <color rgb="FF63BE7B"/>
      </colorScale>
    </cfRule>
    <cfRule type="colorScale" priority="7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26">
    <cfRule type="cellIs" dxfId="1905" priority="774" operator="greaterThan">
      <formula>1</formula>
    </cfRule>
    <cfRule type="colorScale" priority="775">
      <colorScale>
        <cfvo type="min"/>
        <cfvo type="max"/>
        <color rgb="FFFCFCFF"/>
        <color rgb="FF63BE7B"/>
      </colorScale>
    </cfRule>
    <cfRule type="colorScale" priority="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26">
    <cfRule type="colorScale" priority="714">
      <colorScale>
        <cfvo type="min"/>
        <cfvo type="max"/>
        <color rgb="FFFCFCFF"/>
        <color rgb="FF63BE7B"/>
      </colorScale>
    </cfRule>
    <cfRule type="colorScale" priority="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6">
    <cfRule type="colorScale" priority="712">
      <colorScale>
        <cfvo type="min"/>
        <cfvo type="max"/>
        <color rgb="FFFCFCFF"/>
        <color rgb="FF63BE7B"/>
      </colorScale>
    </cfRule>
    <cfRule type="colorScale" priority="7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26">
    <cfRule type="cellIs" dxfId="1904" priority="771" operator="greaterThan">
      <formula>1</formula>
    </cfRule>
    <cfRule type="colorScale" priority="772">
      <colorScale>
        <cfvo type="min"/>
        <cfvo type="max"/>
        <color rgb="FFFCFCFF"/>
        <color rgb="FF63BE7B"/>
      </colorScale>
    </cfRule>
    <cfRule type="colorScale" priority="7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26">
    <cfRule type="colorScale" priority="842">
      <colorScale>
        <cfvo type="min"/>
        <cfvo type="max"/>
        <color rgb="FFFCFCFF"/>
        <color rgb="FF63BE7B"/>
      </colorScale>
    </cfRule>
    <cfRule type="colorScale" priority="8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26">
    <cfRule type="colorScale" priority="816">
      <colorScale>
        <cfvo type="min"/>
        <cfvo type="max"/>
        <color rgb="FFFCFCFF"/>
        <color rgb="FF63BE7B"/>
      </colorScale>
    </cfRule>
    <cfRule type="colorScale" priority="8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26">
    <cfRule type="cellIs" dxfId="1903" priority="838" operator="greaterThan">
      <formula>1</formula>
    </cfRule>
    <cfRule type="colorScale" priority="839">
      <colorScale>
        <cfvo type="min"/>
        <cfvo type="max"/>
        <color rgb="FFFCFCFF"/>
        <color rgb="FF63BE7B"/>
      </colorScale>
    </cfRule>
    <cfRule type="colorScale" priority="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26">
    <cfRule type="colorScale" priority="836">
      <colorScale>
        <cfvo type="min"/>
        <cfvo type="max"/>
        <color rgb="FFFCFCFF"/>
        <color rgb="FF63BE7B"/>
      </colorScale>
    </cfRule>
    <cfRule type="colorScale" priority="8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26">
    <cfRule type="colorScale" priority="814">
      <colorScale>
        <cfvo type="min"/>
        <cfvo type="max"/>
        <color rgb="FFFCFCFF"/>
        <color rgb="FF63BE7B"/>
      </colorScale>
    </cfRule>
    <cfRule type="colorScale" priority="8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26">
    <cfRule type="cellIs" dxfId="1902" priority="768" operator="greaterThan">
      <formula>1</formula>
    </cfRule>
    <cfRule type="colorScale" priority="769">
      <colorScale>
        <cfvo type="min"/>
        <cfvo type="max"/>
        <color rgb="FFFCFCFF"/>
        <color rgb="FF63BE7B"/>
      </colorScale>
    </cfRule>
    <cfRule type="colorScale" priority="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26">
    <cfRule type="colorScale" priority="834">
      <colorScale>
        <cfvo type="min"/>
        <cfvo type="max"/>
        <color rgb="FFFCFCFF"/>
        <color rgb="FF63BE7B"/>
      </colorScale>
    </cfRule>
    <cfRule type="colorScale" priority="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26">
    <cfRule type="colorScale" priority="812">
      <colorScale>
        <cfvo type="min"/>
        <cfvo type="max"/>
        <color rgb="FFFCFCFF"/>
        <color rgb="FF63BE7B"/>
      </colorScale>
    </cfRule>
    <cfRule type="colorScale" priority="8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26">
    <cfRule type="cellIs" dxfId="1901" priority="765" operator="greaterThan">
      <formula>1</formula>
    </cfRule>
    <cfRule type="colorScale" priority="766">
      <colorScale>
        <cfvo type="min"/>
        <cfvo type="max"/>
        <color rgb="FFFCFCFF"/>
        <color rgb="FF63BE7B"/>
      </colorScale>
    </cfRule>
    <cfRule type="colorScale" priority="7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26">
    <cfRule type="colorScale" priority="832">
      <colorScale>
        <cfvo type="min"/>
        <cfvo type="max"/>
        <color rgb="FFFCFCFF"/>
        <color rgb="FF63BE7B"/>
      </colorScale>
    </cfRule>
    <cfRule type="colorScale" priority="8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26">
    <cfRule type="colorScale" priority="810">
      <colorScale>
        <cfvo type="min"/>
        <cfvo type="max"/>
        <color rgb="FFFCFCFF"/>
        <color rgb="FF63BE7B"/>
      </colorScale>
    </cfRule>
    <cfRule type="colorScale" priority="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26">
    <cfRule type="cellIs" dxfId="1900" priority="762" operator="greaterThan">
      <formula>1</formula>
    </cfRule>
    <cfRule type="colorScale" priority="763">
      <colorScale>
        <cfvo type="min"/>
        <cfvo type="max"/>
        <color rgb="FFFCFCFF"/>
        <color rgb="FF63BE7B"/>
      </colorScale>
    </cfRule>
    <cfRule type="colorScale" priority="7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26">
    <cfRule type="colorScale" priority="830">
      <colorScale>
        <cfvo type="min"/>
        <cfvo type="max"/>
        <color rgb="FFFCFCFF"/>
        <color rgb="FF63BE7B"/>
      </colorScale>
    </cfRule>
    <cfRule type="colorScale" priority="8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6">
    <cfRule type="colorScale" priority="808">
      <colorScale>
        <cfvo type="min"/>
        <cfvo type="max"/>
        <color rgb="FFFCFCFF"/>
        <color rgb="FF63BE7B"/>
      </colorScale>
    </cfRule>
    <cfRule type="colorScale" priority="8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26">
    <cfRule type="cellIs" dxfId="1899" priority="759" operator="greaterThan">
      <formula>1</formula>
    </cfRule>
    <cfRule type="colorScale" priority="760">
      <colorScale>
        <cfvo type="min"/>
        <cfvo type="max"/>
        <color rgb="FFFCFCFF"/>
        <color rgb="FF63BE7B"/>
      </colorScale>
    </cfRule>
    <cfRule type="colorScale" priority="7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26">
    <cfRule type="colorScale" priority="828">
      <colorScale>
        <cfvo type="min"/>
        <cfvo type="max"/>
        <color rgb="FFFCFCFF"/>
        <color rgb="FF63BE7B"/>
      </colorScale>
    </cfRule>
    <cfRule type="colorScale" priority="8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6">
    <cfRule type="colorScale" priority="806">
      <colorScale>
        <cfvo type="min"/>
        <cfvo type="max"/>
        <color rgb="FFFCFCFF"/>
        <color rgb="FF63BE7B"/>
      </colorScale>
    </cfRule>
    <cfRule type="colorScale" priority="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26">
    <cfRule type="cellIs" dxfId="1898" priority="756" operator="greaterThan">
      <formula>1</formula>
    </cfRule>
    <cfRule type="colorScale" priority="757">
      <colorScale>
        <cfvo type="min"/>
        <cfvo type="max"/>
        <color rgb="FFFCFCFF"/>
        <color rgb="FF63BE7B"/>
      </colorScale>
    </cfRule>
    <cfRule type="colorScale" priority="7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26">
    <cfRule type="colorScale" priority="826">
      <colorScale>
        <cfvo type="min"/>
        <cfvo type="max"/>
        <color rgb="FFFCFCFF"/>
        <color rgb="FF63BE7B"/>
      </colorScale>
    </cfRule>
    <cfRule type="colorScale" priority="8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26">
    <cfRule type="colorScale" priority="804">
      <colorScale>
        <cfvo type="min"/>
        <cfvo type="max"/>
        <color rgb="FFFCFCFF"/>
        <color rgb="FF63BE7B"/>
      </colorScale>
    </cfRule>
    <cfRule type="colorScale" priority="8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26">
    <cfRule type="cellIs" dxfId="1897" priority="753" operator="greaterThan">
      <formula>1</formula>
    </cfRule>
    <cfRule type="colorScale" priority="754">
      <colorScale>
        <cfvo type="min"/>
        <cfvo type="max"/>
        <color rgb="FFFCFCFF"/>
        <color rgb="FF63BE7B"/>
      </colorScale>
    </cfRule>
    <cfRule type="colorScale" priority="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26">
    <cfRule type="colorScale" priority="824">
      <colorScale>
        <cfvo type="min"/>
        <cfvo type="max"/>
        <color rgb="FFFCFCFF"/>
        <color rgb="FF63BE7B"/>
      </colorScale>
    </cfRule>
    <cfRule type="colorScale" priority="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26">
    <cfRule type="colorScale" priority="802">
      <colorScale>
        <cfvo type="min"/>
        <cfvo type="max"/>
        <color rgb="FFFCFCFF"/>
        <color rgb="FF63BE7B"/>
      </colorScale>
    </cfRule>
    <cfRule type="colorScale" priority="8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26">
    <cfRule type="cellIs" dxfId="1896" priority="750" operator="greaterThan">
      <formula>1</formula>
    </cfRule>
    <cfRule type="colorScale" priority="751">
      <colorScale>
        <cfvo type="min"/>
        <cfvo type="max"/>
        <color rgb="FFFCFCFF"/>
        <color rgb="FF63BE7B"/>
      </colorScale>
    </cfRule>
    <cfRule type="colorScale" priority="7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26">
    <cfRule type="colorScale" priority="822">
      <colorScale>
        <cfvo type="min"/>
        <cfvo type="max"/>
        <color rgb="FFFCFCFF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26">
    <cfRule type="colorScale" priority="800">
      <colorScale>
        <cfvo type="min"/>
        <cfvo type="max"/>
        <color rgb="FFFCFCFF"/>
        <color rgb="FF63BE7B"/>
      </colorScale>
    </cfRule>
    <cfRule type="colorScale" priority="8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26">
    <cfRule type="cellIs" dxfId="1895" priority="747" operator="greaterThan">
      <formula>1</formula>
    </cfRule>
    <cfRule type="colorScale" priority="748">
      <colorScale>
        <cfvo type="min"/>
        <cfvo type="max"/>
        <color rgb="FFFCFCFF"/>
        <color rgb="FF63BE7B"/>
      </colorScale>
    </cfRule>
    <cfRule type="colorScale" priority="7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26">
    <cfRule type="colorScale" priority="820">
      <colorScale>
        <cfvo type="min"/>
        <cfvo type="max"/>
        <color rgb="FFFCFCFF"/>
        <color rgb="FF63BE7B"/>
      </colorScale>
    </cfRule>
    <cfRule type="colorScale" priority="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26">
    <cfRule type="colorScale" priority="798">
      <colorScale>
        <cfvo type="min"/>
        <cfvo type="max"/>
        <color rgb="FFFCFCFF"/>
        <color rgb="FF63BE7B"/>
      </colorScale>
    </cfRule>
    <cfRule type="colorScale" priority="7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26">
    <cfRule type="cellIs" dxfId="1894" priority="744" operator="greaterThan">
      <formula>1</formula>
    </cfRule>
    <cfRule type="colorScale" priority="745">
      <colorScale>
        <cfvo type="min"/>
        <cfvo type="max"/>
        <color rgb="FFFCFCFF"/>
        <color rgb="FF63BE7B"/>
      </colorScale>
    </cfRule>
    <cfRule type="colorScale" priority="7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26:GE26">
    <cfRule type="containsText" dxfId="1893" priority="694" operator="containsText" text=" ">
      <formula>NOT(ISERROR(SEARCH(" ",GA26)))</formula>
    </cfRule>
    <cfRule type="containsText" dxfId="1892" priority="695" operator="containsText" text=" ">
      <formula>NOT(ISERROR(SEARCH(" ",GA26)))</formula>
    </cfRule>
  </conditionalFormatting>
  <conditionalFormatting sqref="GF26">
    <cfRule type="cellIs" dxfId="1891" priority="595" operator="greaterThan">
      <formula>1</formula>
    </cfRule>
    <cfRule type="colorScale" priority="596">
      <colorScale>
        <cfvo type="min"/>
        <cfvo type="max"/>
        <color rgb="FFFCFCFF"/>
        <color rgb="FF63BE7B"/>
      </colorScale>
    </cfRule>
    <cfRule type="colorScale" priority="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26:GI26">
    <cfRule type="colorScale" priority="692">
      <colorScale>
        <cfvo type="min"/>
        <cfvo type="max"/>
        <color rgb="FFFCFCFF"/>
        <color rgb="FF63BE7B"/>
      </colorScale>
    </cfRule>
    <cfRule type="colorScale" priority="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26">
    <cfRule type="cellIs" dxfId="1890" priority="689" operator="greaterThan">
      <formula>1</formula>
    </cfRule>
  </conditionalFormatting>
  <conditionalFormatting sqref="GJ26">
    <cfRule type="colorScale" priority="690">
      <colorScale>
        <cfvo type="min"/>
        <cfvo type="max"/>
        <color rgb="FFFCFCFF"/>
        <color rgb="FF63BE7B"/>
      </colorScale>
    </cfRule>
    <cfRule type="colorScale" priority="6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26">
    <cfRule type="colorScale" priority="684">
      <colorScale>
        <cfvo type="min"/>
        <cfvo type="max"/>
        <color rgb="FFFCFCFF"/>
        <color rgb="FF63BE7B"/>
      </colorScale>
    </cfRule>
    <cfRule type="colorScale" priority="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26">
    <cfRule type="cellIs" dxfId="1889" priority="681" operator="greaterThan">
      <formula>1</formula>
    </cfRule>
    <cfRule type="colorScale" priority="682">
      <colorScale>
        <cfvo type="min"/>
        <cfvo type="max"/>
        <color rgb="FFFCFCFF"/>
        <color rgb="FF63BE7B"/>
      </colorScale>
    </cfRule>
    <cfRule type="colorScale" priority="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26">
    <cfRule type="colorScale" priority="628">
      <colorScale>
        <cfvo type="min"/>
        <cfvo type="max"/>
        <color rgb="FFFCFCFF"/>
        <color rgb="FF63BE7B"/>
      </colorScale>
    </cfRule>
    <cfRule type="colorScale" priority="6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26">
    <cfRule type="colorScale" priority="626">
      <colorScale>
        <cfvo type="min"/>
        <cfvo type="max"/>
        <color rgb="FFFCFCFF"/>
        <color rgb="FF63BE7B"/>
      </colorScale>
    </cfRule>
    <cfRule type="colorScale" priority="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26">
    <cfRule type="cellIs" dxfId="1888" priority="678" operator="greaterThan">
      <formula>1</formula>
    </cfRule>
    <cfRule type="colorScale" priority="679">
      <colorScale>
        <cfvo type="min"/>
        <cfvo type="max"/>
        <color rgb="FFFCFCFF"/>
        <color rgb="FF63BE7B"/>
      </colorScale>
    </cfRule>
    <cfRule type="colorScale" priority="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26">
    <cfRule type="colorScale" priority="624">
      <colorScale>
        <cfvo type="min"/>
        <cfvo type="max"/>
        <color rgb="FFFCFCFF"/>
        <color rgb="FF63BE7B"/>
      </colorScale>
    </cfRule>
    <cfRule type="colorScale" priority="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26">
    <cfRule type="colorScale" priority="622">
      <colorScale>
        <cfvo type="min"/>
        <cfvo type="max"/>
        <color rgb="FFFCFCFF"/>
        <color rgb="FF63BE7B"/>
      </colorScale>
    </cfRule>
    <cfRule type="colorScale" priority="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26">
    <cfRule type="cellIs" dxfId="1887" priority="675" operator="greaterThan">
      <formula>1</formula>
    </cfRule>
    <cfRule type="colorScale" priority="676">
      <colorScale>
        <cfvo type="min"/>
        <cfvo type="max"/>
        <color rgb="FFFCFCFF"/>
        <color rgb="FF63BE7B"/>
      </colorScale>
    </cfRule>
    <cfRule type="colorScale" priority="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26">
    <cfRule type="colorScale" priority="620">
      <colorScale>
        <cfvo type="min"/>
        <cfvo type="max"/>
        <color rgb="FFFCFCFF"/>
        <color rgb="FF63BE7B"/>
      </colorScale>
    </cfRule>
    <cfRule type="colorScale" priority="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26">
    <cfRule type="colorScale" priority="618">
      <colorScale>
        <cfvo type="min"/>
        <cfvo type="max"/>
        <color rgb="FFFCFCFF"/>
        <color rgb="FF63BE7B"/>
      </colorScale>
    </cfRule>
    <cfRule type="colorScale" priority="6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26">
    <cfRule type="cellIs" dxfId="1886" priority="672" operator="greaterThan">
      <formula>1</formula>
    </cfRule>
    <cfRule type="colorScale" priority="673">
      <colorScale>
        <cfvo type="min"/>
        <cfvo type="max"/>
        <color rgb="FFFCFCFF"/>
        <color rgb="FF63BE7B"/>
      </colorScale>
    </cfRule>
    <cfRule type="colorScale" priority="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26">
    <cfRule type="colorScale" priority="616">
      <colorScale>
        <cfvo type="min"/>
        <cfvo type="max"/>
        <color rgb="FFFCFCFF"/>
        <color rgb="FF63BE7B"/>
      </colorScale>
    </cfRule>
    <cfRule type="colorScale" priority="6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26">
    <cfRule type="colorScale" priority="614">
      <colorScale>
        <cfvo type="min"/>
        <cfvo type="max"/>
        <color rgb="FFFCFCFF"/>
        <color rgb="FF63BE7B"/>
      </colorScale>
    </cfRule>
    <cfRule type="colorScale" priority="6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26">
    <cfRule type="cellIs" dxfId="1885" priority="669" operator="greaterThan">
      <formula>1</formula>
    </cfRule>
    <cfRule type="colorScale" priority="670">
      <colorScale>
        <cfvo type="min"/>
        <cfvo type="max"/>
        <color rgb="FFFCFCFF"/>
        <color rgb="FF63BE7B"/>
      </colorScale>
    </cfRule>
    <cfRule type="colorScale" priority="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26">
    <cfRule type="colorScale" priority="612">
      <colorScale>
        <cfvo type="min"/>
        <cfvo type="max"/>
        <color rgb="FFFCFCFF"/>
        <color rgb="FF63BE7B"/>
      </colorScale>
    </cfRule>
    <cfRule type="colorScale" priority="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26">
    <cfRule type="colorScale" priority="610">
      <colorScale>
        <cfvo type="min"/>
        <cfvo type="max"/>
        <color rgb="FFFCFCFF"/>
        <color rgb="FF63BE7B"/>
      </colorScale>
    </cfRule>
    <cfRule type="colorScale" priority="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26">
    <cfRule type="cellIs" dxfId="1884" priority="666" operator="greaterThan">
      <formula>1</formula>
    </cfRule>
    <cfRule type="colorScale" priority="667">
      <colorScale>
        <cfvo type="min"/>
        <cfvo type="max"/>
        <color rgb="FFFCFCFF"/>
        <color rgb="FF63BE7B"/>
      </colorScale>
    </cfRule>
    <cfRule type="colorScale" priority="6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26">
    <cfRule type="colorScale" priority="608">
      <colorScale>
        <cfvo type="min"/>
        <cfvo type="max"/>
        <color rgb="FFFCFCFF"/>
        <color rgb="FF63BE7B"/>
      </colorScale>
    </cfRule>
    <cfRule type="colorScale" priority="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26">
    <cfRule type="colorScale" priority="606">
      <colorScale>
        <cfvo type="min"/>
        <cfvo type="max"/>
        <color rgb="FFFCFCFF"/>
        <color rgb="FF63BE7B"/>
      </colorScale>
    </cfRule>
    <cfRule type="colorScale" priority="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26">
    <cfRule type="cellIs" dxfId="1883" priority="663" operator="greaterThan">
      <formula>1</formula>
    </cfRule>
    <cfRule type="colorScale" priority="664">
      <colorScale>
        <cfvo type="min"/>
        <cfvo type="max"/>
        <color rgb="FFFCFCFF"/>
        <color rgb="FF63BE7B"/>
      </colorScale>
    </cfRule>
    <cfRule type="colorScale" priority="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26">
    <cfRule type="colorScale" priority="604">
      <colorScale>
        <cfvo type="min"/>
        <cfvo type="max"/>
        <color rgb="FFFCFCFF"/>
        <color rgb="FF63BE7B"/>
      </colorScale>
    </cfRule>
    <cfRule type="colorScale" priority="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26">
    <cfRule type="colorScale" priority="602">
      <colorScale>
        <cfvo type="min"/>
        <cfvo type="max"/>
        <color rgb="FFFCFCFF"/>
        <color rgb="FF63BE7B"/>
      </colorScale>
    </cfRule>
    <cfRule type="colorScale" priority="6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26">
    <cfRule type="cellIs" dxfId="1882" priority="660" operator="greaterThan">
      <formula>1</formula>
    </cfRule>
    <cfRule type="colorScale" priority="661">
      <colorScale>
        <cfvo type="min"/>
        <cfvo type="max"/>
        <color rgb="FFFCFCFF"/>
        <color rgb="FF63BE7B"/>
      </colorScale>
    </cfRule>
    <cfRule type="colorScale" priority="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26">
    <cfRule type="colorScale" priority="600">
      <colorScale>
        <cfvo type="min"/>
        <cfvo type="max"/>
        <color rgb="FFFCFCFF"/>
        <color rgb="FF63BE7B"/>
      </colorScale>
    </cfRule>
    <cfRule type="colorScale" priority="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26">
    <cfRule type="colorScale" priority="598">
      <colorScale>
        <cfvo type="min"/>
        <cfvo type="max"/>
        <color rgb="FFFCFCFF"/>
        <color rgb="FF63BE7B"/>
      </colorScale>
    </cfRule>
    <cfRule type="colorScale" priority="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26">
    <cfRule type="cellIs" dxfId="1881" priority="657" operator="greaterThan">
      <formula>1</formula>
    </cfRule>
    <cfRule type="colorScale" priority="658">
      <colorScale>
        <cfvo type="min"/>
        <cfvo type="max"/>
        <color rgb="FFFCFCFF"/>
        <color rgb="FF63BE7B"/>
      </colorScale>
    </cfRule>
    <cfRule type="colorScale" priority="6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26">
    <cfRule type="colorScale" priority="593">
      <colorScale>
        <cfvo type="min"/>
        <cfvo type="max"/>
        <color rgb="FFFCFCFF"/>
        <color rgb="FF63BE7B"/>
      </colorScale>
    </cfRule>
    <cfRule type="colorScale" priority="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26">
    <cfRule type="colorScale" priority="573">
      <colorScale>
        <cfvo type="min"/>
        <cfvo type="max"/>
        <color rgb="FFFCFCFF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26">
    <cfRule type="cellIs" dxfId="1880" priority="686" operator="greaterThan">
      <formula>1</formula>
    </cfRule>
    <cfRule type="colorScale" priority="687">
      <colorScale>
        <cfvo type="min"/>
        <cfvo type="max"/>
        <color rgb="FFFCFCFF"/>
        <color rgb="FF63BE7B"/>
      </colorScale>
    </cfRule>
    <cfRule type="colorScale" priority="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26">
    <cfRule type="colorScale" priority="591">
      <colorScale>
        <cfvo type="min"/>
        <cfvo type="max"/>
        <color rgb="FFFCFCFF"/>
        <color rgb="FF63BE7B"/>
      </colorScale>
    </cfRule>
    <cfRule type="colorScale" priority="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26">
    <cfRule type="colorScale" priority="571">
      <colorScale>
        <cfvo type="min"/>
        <cfvo type="max"/>
        <color rgb="FFFCFCFF"/>
        <color rgb="FF63BE7B"/>
      </colorScale>
    </cfRule>
    <cfRule type="colorScale" priority="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P26">
    <cfRule type="cellIs" dxfId="1879" priority="654" operator="greaterThan">
      <formula>1</formula>
    </cfRule>
    <cfRule type="colorScale" priority="655">
      <colorScale>
        <cfvo type="min"/>
        <cfvo type="max"/>
        <color rgb="FFFCFCFF"/>
        <color rgb="FF63BE7B"/>
      </colorScale>
    </cfRule>
    <cfRule type="colorScale" priority="6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26">
    <cfRule type="colorScale" priority="589">
      <colorScale>
        <cfvo type="min"/>
        <cfvo type="max"/>
        <color rgb="FFFCFCFF"/>
        <color rgb="FF63BE7B"/>
      </colorScale>
    </cfRule>
    <cfRule type="colorScale" priority="5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R26">
    <cfRule type="colorScale" priority="569">
      <colorScale>
        <cfvo type="min"/>
        <cfvo type="max"/>
        <color rgb="FFFCFCFF"/>
        <color rgb="FF63BE7B"/>
      </colorScale>
    </cfRule>
    <cfRule type="colorScale" priority="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S26">
    <cfRule type="cellIs" dxfId="1878" priority="651" operator="greaterThan">
      <formula>1</formula>
    </cfRule>
    <cfRule type="colorScale" priority="652">
      <colorScale>
        <cfvo type="min"/>
        <cfvo type="max"/>
        <color rgb="FFFCFCFF"/>
        <color rgb="FF63BE7B"/>
      </colorScale>
    </cfRule>
    <cfRule type="colorScale" priority="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T26">
    <cfRule type="colorScale" priority="587">
      <colorScale>
        <cfvo type="min"/>
        <cfvo type="max"/>
        <color rgb="FFFCFCFF"/>
        <color rgb="FF63BE7B"/>
      </colorScale>
    </cfRule>
    <cfRule type="colorScale" priority="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U26">
    <cfRule type="colorScale" priority="567">
      <colorScale>
        <cfvo type="min"/>
        <cfvo type="max"/>
        <color rgb="FFFCFCFF"/>
        <color rgb="FF63BE7B"/>
      </colorScale>
    </cfRule>
    <cfRule type="colorScale" priority="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26">
    <cfRule type="cellIs" dxfId="1877" priority="648" operator="greaterThan">
      <formula>1</formula>
    </cfRule>
    <cfRule type="colorScale" priority="649">
      <colorScale>
        <cfvo type="min"/>
        <cfvo type="max"/>
        <color rgb="FFFCFCFF"/>
        <color rgb="FF63BE7B"/>
      </colorScale>
    </cfRule>
    <cfRule type="colorScale" priority="6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26">
    <cfRule type="colorScale" priority="585">
      <colorScale>
        <cfvo type="min"/>
        <cfvo type="max"/>
        <color rgb="FFFCFCFF"/>
        <color rgb="FF63BE7B"/>
      </colorScale>
    </cfRule>
    <cfRule type="colorScale" priority="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26">
    <cfRule type="colorScale" priority="565">
      <colorScale>
        <cfvo type="min"/>
        <cfvo type="max"/>
        <color rgb="FFFCFCFF"/>
        <color rgb="FF63BE7B"/>
      </colorScale>
    </cfRule>
    <cfRule type="colorScale" priority="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26">
    <cfRule type="cellIs" dxfId="1876" priority="645" operator="greaterThan">
      <formula>1</formula>
    </cfRule>
    <cfRule type="colorScale" priority="646">
      <colorScale>
        <cfvo type="min"/>
        <cfvo type="max"/>
        <color rgb="FFFCFCFF"/>
        <color rgb="FF63BE7B"/>
      </colorScale>
    </cfRule>
    <cfRule type="colorScale" priority="6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26">
    <cfRule type="colorScale" priority="583">
      <colorScale>
        <cfvo type="min"/>
        <cfvo type="max"/>
        <color rgb="FFFCFCFF"/>
        <color rgb="FF63BE7B"/>
      </colorScale>
    </cfRule>
    <cfRule type="colorScale" priority="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26">
    <cfRule type="colorScale" priority="563">
      <colorScale>
        <cfvo type="min"/>
        <cfvo type="max"/>
        <color rgb="FFFCFCFF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26">
    <cfRule type="cellIs" dxfId="1875" priority="642" operator="greaterThan">
      <formula>1</formula>
    </cfRule>
    <cfRule type="colorScale" priority="643">
      <colorScale>
        <cfvo type="min"/>
        <cfvo type="max"/>
        <color rgb="FFFCFCFF"/>
        <color rgb="FF63BE7B"/>
      </colorScale>
    </cfRule>
    <cfRule type="colorScale" priority="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26">
    <cfRule type="colorScale" priority="581">
      <colorScale>
        <cfvo type="min"/>
        <cfvo type="max"/>
        <color rgb="FFFCFCFF"/>
        <color rgb="FF63BE7B"/>
      </colorScale>
    </cfRule>
    <cfRule type="colorScale" priority="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26">
    <cfRule type="colorScale" priority="561">
      <colorScale>
        <cfvo type="min"/>
        <cfvo type="max"/>
        <color rgb="FFFCFCFF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26">
    <cfRule type="cellIs" dxfId="1874" priority="639" operator="greaterThan">
      <formula>1</formula>
    </cfRule>
    <cfRule type="colorScale" priority="640">
      <colorScale>
        <cfvo type="min"/>
        <cfvo type="max"/>
        <color rgb="FFFCFCFF"/>
        <color rgb="FF63BE7B"/>
      </colorScale>
    </cfRule>
    <cfRule type="colorScale" priority="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26">
    <cfRule type="colorScale" priority="579">
      <colorScale>
        <cfvo type="min"/>
        <cfvo type="max"/>
        <color rgb="FFFCFCFF"/>
        <color rgb="FF63BE7B"/>
      </colorScale>
    </cfRule>
    <cfRule type="colorScale" priority="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26">
    <cfRule type="colorScale" priority="559">
      <colorScale>
        <cfvo type="min"/>
        <cfvo type="max"/>
        <color rgb="FFFCFCFF"/>
        <color rgb="FF63BE7B"/>
      </colorScale>
    </cfRule>
    <cfRule type="colorScale" priority="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26">
    <cfRule type="cellIs" dxfId="1873" priority="636" operator="greaterThan">
      <formula>1</formula>
    </cfRule>
    <cfRule type="colorScale" priority="637">
      <colorScale>
        <cfvo type="min"/>
        <cfvo type="max"/>
        <color rgb="FFFCFCFF"/>
        <color rgb="FF63BE7B"/>
      </colorScale>
    </cfRule>
    <cfRule type="colorScale" priority="6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26">
    <cfRule type="colorScale" priority="577">
      <colorScale>
        <cfvo type="min"/>
        <cfvo type="max"/>
        <color rgb="FFFCFCFF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26">
    <cfRule type="colorScale" priority="557">
      <colorScale>
        <cfvo type="min"/>
        <cfvo type="max"/>
        <color rgb="FFFCFCFF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26">
    <cfRule type="cellIs" dxfId="1872" priority="633" operator="greaterThan">
      <formula>1</formula>
    </cfRule>
    <cfRule type="colorScale" priority="634">
      <colorScale>
        <cfvo type="min"/>
        <cfvo type="max"/>
        <color rgb="FFFCFCFF"/>
        <color rgb="FF63BE7B"/>
      </colorScale>
    </cfRule>
    <cfRule type="colorScale" priority="6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26">
    <cfRule type="colorScale" priority="575">
      <colorScale>
        <cfvo type="min"/>
        <cfvo type="max"/>
        <color rgb="FFFCFCFF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26">
    <cfRule type="colorScale" priority="555">
      <colorScale>
        <cfvo type="min"/>
        <cfvo type="max"/>
        <color rgb="FFFCFCFF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26">
    <cfRule type="cellIs" dxfId="1871" priority="630" operator="greaterThan">
      <formula>1</formula>
    </cfRule>
    <cfRule type="colorScale" priority="631">
      <colorScale>
        <cfvo type="min"/>
        <cfvo type="max"/>
        <color rgb="FFFCFCFF"/>
        <color rgb="FF63BE7B"/>
      </colorScale>
    </cfRule>
    <cfRule type="colorScale" priority="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26">
    <cfRule type="containsText" dxfId="1870" priority="696" operator="containsText" text=" ">
      <formula>NOT(ISERROR(SEARCH(" ",IO26)))</formula>
    </cfRule>
    <cfRule type="containsText" dxfId="1869" priority="697" operator="containsText" text=" ">
      <formula>NOT(ISERROR(SEARCH(" ",IO26)))</formula>
    </cfRule>
  </conditionalFormatting>
  <conditionalFormatting sqref="IS26:JL26">
    <cfRule type="cellIs" dxfId="1868" priority="698" operator="greaterThan">
      <formula>0.31</formula>
    </cfRule>
    <cfRule type="cellIs" dxfId="1867" priority="699" operator="greaterThan">
      <formula>0.31</formula>
    </cfRule>
    <cfRule type="cellIs" dxfId="1866" priority="700" operator="greaterThan">
      <formula>0.31</formula>
    </cfRule>
    <cfRule type="cellIs" dxfId="1865" priority="701" operator="greaterThan">
      <formula>0.31</formula>
    </cfRule>
    <cfRule type="cellIs" dxfId="1864" priority="702" operator="greaterThan">
      <formula>0.3</formula>
    </cfRule>
    <cfRule type="cellIs" dxfId="1863" priority="703" operator="greaterThan">
      <formula>1</formula>
    </cfRule>
    <cfRule type="cellIs" dxfId="1862" priority="704" operator="equal">
      <formula>0</formula>
    </cfRule>
  </conditionalFormatting>
  <conditionalFormatting sqref="B27">
    <cfRule type="containsText" dxfId="1861" priority="2203" operator="containsText" text=" ">
      <formula>NOT(ISERROR(SEARCH(" ",B27)))</formula>
    </cfRule>
    <cfRule type="containsText" dxfId="1860" priority="2204" operator="containsText" text=" ">
      <formula>NOT(ISERROR(SEARCH(" ",B27)))</formula>
    </cfRule>
  </conditionalFormatting>
  <conditionalFormatting sqref="E27">
    <cfRule type="containsText" dxfId="1859" priority="151" operator="containsText" text=" ">
      <formula>NOT(ISERROR(SEARCH(" ",E27)))</formula>
    </cfRule>
    <cfRule type="containsText" dxfId="1858" priority="152" operator="containsText" text=" ">
      <formula>NOT(ISERROR(SEARCH(" ",E27)))</formula>
    </cfRule>
  </conditionalFormatting>
  <conditionalFormatting sqref="F27">
    <cfRule type="containsText" dxfId="1857" priority="165" operator="containsText" text=" ">
      <formula>NOT(ISERROR(SEARCH(" ",F27)))</formula>
    </cfRule>
    <cfRule type="containsText" dxfId="1856" priority="166" operator="containsText" text=" ">
      <formula>NOT(ISERROR(SEARCH(" ",F27)))</formula>
    </cfRule>
  </conditionalFormatting>
  <conditionalFormatting sqref="U27">
    <cfRule type="containsText" dxfId="1855" priority="917" operator="containsText" text=" ">
      <formula>NOT(ISERROR(SEARCH(" ",U27)))</formula>
    </cfRule>
    <cfRule type="containsText" dxfId="1854" priority="918" operator="containsText" text=" ">
      <formula>NOT(ISERROR(SEARCH(" ",U27)))</formula>
    </cfRule>
  </conditionalFormatting>
  <conditionalFormatting sqref="BJ27">
    <cfRule type="containsText" dxfId="1853" priority="137" operator="containsText" text=" ">
      <formula>NOT(ISERROR(SEARCH(" ",BJ27)))</formula>
    </cfRule>
    <cfRule type="containsText" dxfId="1852" priority="138" operator="containsText" text=" ">
      <formula>NOT(ISERROR(SEARCH(" ",BJ27)))</formula>
    </cfRule>
  </conditionalFormatting>
  <conditionalFormatting sqref="A29">
    <cfRule type="containsText" dxfId="1851" priority="191" operator="containsText" text=" ">
      <formula>NOT(ISERROR(SEARCH(" ",A29)))</formula>
    </cfRule>
    <cfRule type="containsText" dxfId="1850" priority="192" operator="containsText" text=" ">
      <formula>NOT(ISERROR(SEARCH(" ",A29)))</formula>
    </cfRule>
  </conditionalFormatting>
  <conditionalFormatting sqref="B29">
    <cfRule type="cellIs" dxfId="1849" priority="488" operator="equal">
      <formula>" "</formula>
    </cfRule>
  </conditionalFormatting>
  <conditionalFormatting sqref="E29">
    <cfRule type="containsText" dxfId="1848" priority="145" operator="containsText" text=" ">
      <formula>NOT(ISERROR(SEARCH(" ",E29)))</formula>
    </cfRule>
    <cfRule type="containsText" dxfId="1847" priority="146" operator="containsText" text=" ">
      <formula>NOT(ISERROR(SEARCH(" ",E29)))</formula>
    </cfRule>
  </conditionalFormatting>
  <conditionalFormatting sqref="F29">
    <cfRule type="containsText" dxfId="1846" priority="157" operator="containsText" text=" ">
      <formula>NOT(ISERROR(SEARCH(" ",F29)))</formula>
    </cfRule>
    <cfRule type="containsText" dxfId="1845" priority="158" operator="containsText" text=" ">
      <formula>NOT(ISERROR(SEARCH(" ",F29)))</formula>
    </cfRule>
  </conditionalFormatting>
  <conditionalFormatting sqref="G29">
    <cfRule type="containsText" dxfId="1844" priority="523" operator="containsText" text=" ">
      <formula>NOT(ISERROR(SEARCH(" ",G29)))</formula>
    </cfRule>
    <cfRule type="containsText" dxfId="1843" priority="524" operator="containsText" text=" ">
      <formula>NOT(ISERROR(SEARCH(" ",G29)))</formula>
    </cfRule>
  </conditionalFormatting>
  <conditionalFormatting sqref="N29">
    <cfRule type="containsText" dxfId="1842" priority="541" operator="containsText" text=" ">
      <formula>NOT(ISERROR(SEARCH(" ",N29)))</formula>
    </cfRule>
    <cfRule type="containsText" dxfId="1841" priority="542" operator="containsText" text=" ">
      <formula>NOT(ISERROR(SEARCH(" ",N29)))</formula>
    </cfRule>
  </conditionalFormatting>
  <conditionalFormatting sqref="R29">
    <cfRule type="colorScale" priority="491">
      <colorScale>
        <cfvo type="min"/>
        <cfvo type="max"/>
        <color rgb="FFFCFCFF"/>
        <color rgb="FF63BE7B"/>
      </colorScale>
    </cfRule>
    <cfRule type="colorScale" priority="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29">
    <cfRule type="cellIs" dxfId="1840" priority="529" operator="greaterThan">
      <formula>1</formula>
    </cfRule>
    <cfRule type="containsText" dxfId="1839" priority="530" operator="containsText" text=" ">
      <formula>NOT(ISERROR(SEARCH(" ",Y29)))</formula>
    </cfRule>
    <cfRule type="containsText" dxfId="1838" priority="531" operator="containsText" text=" ">
      <formula>NOT(ISERROR(SEARCH(" ",Y29)))</formula>
    </cfRule>
  </conditionalFormatting>
  <conditionalFormatting sqref="Z29:AC29">
    <cfRule type="cellIs" dxfId="1837" priority="507" operator="equal">
      <formula>0</formula>
    </cfRule>
    <cfRule type="cellIs" dxfId="1836" priority="512" operator="greaterThan">
      <formula>1</formula>
    </cfRule>
    <cfRule type="containsText" dxfId="1835" priority="513" operator="containsText" text=" ">
      <formula>NOT(ISERROR(SEARCH(" ",Z29)))</formula>
    </cfRule>
    <cfRule type="containsText" dxfId="1834" priority="514" operator="containsText" text=" ">
      <formula>NOT(ISERROR(SEARCH(" ",Z29)))</formula>
    </cfRule>
  </conditionalFormatting>
  <conditionalFormatting sqref="AD29">
    <cfRule type="cellIs" dxfId="1833" priority="78" operator="equal">
      <formula>0</formula>
    </cfRule>
    <cfRule type="cellIs" dxfId="1832" priority="79" operator="equal">
      <formula>0</formula>
    </cfRule>
    <cfRule type="cellIs" dxfId="1831" priority="80" operator="greaterThan">
      <formula>1</formula>
    </cfRule>
    <cfRule type="containsText" dxfId="1830" priority="81" operator="containsText" text=" ">
      <formula>NOT(ISERROR(SEARCH(" ",AD29)))</formula>
    </cfRule>
    <cfRule type="containsText" dxfId="1829" priority="82" operator="containsText" text=" ">
      <formula>NOT(ISERROR(SEARCH(" ",AD29)))</formula>
    </cfRule>
  </conditionalFormatting>
  <conditionalFormatting sqref="AE29">
    <cfRule type="cellIs" dxfId="1828" priority="33" operator="equal">
      <formula>0</formula>
    </cfRule>
    <cfRule type="cellIs" dxfId="1827" priority="34" operator="equal">
      <formula>0</formula>
    </cfRule>
    <cfRule type="cellIs" dxfId="1826" priority="35" operator="greaterThan">
      <formula>1</formula>
    </cfRule>
    <cfRule type="containsText" dxfId="1825" priority="36" operator="containsText" text=" ">
      <formula>NOT(ISERROR(SEARCH(" ",AE29)))</formula>
    </cfRule>
    <cfRule type="containsText" dxfId="1824" priority="37" operator="containsText" text=" ">
      <formula>NOT(ISERROR(SEARCH(" ",AE29)))</formula>
    </cfRule>
  </conditionalFormatting>
  <conditionalFormatting sqref="AF29">
    <cfRule type="cellIs" dxfId="1823" priority="18" operator="equal">
      <formula>0</formula>
    </cfRule>
    <cfRule type="cellIs" dxfId="1822" priority="19" operator="equal">
      <formula>0</formula>
    </cfRule>
    <cfRule type="cellIs" dxfId="1821" priority="20" operator="greaterThan">
      <formula>1</formula>
    </cfRule>
    <cfRule type="containsText" dxfId="1820" priority="21" operator="containsText" text=" ">
      <formula>NOT(ISERROR(SEARCH(" ",AF29)))</formula>
    </cfRule>
    <cfRule type="containsText" dxfId="1819" priority="22" operator="containsText" text=" ">
      <formula>NOT(ISERROR(SEARCH(" ",AF29)))</formula>
    </cfRule>
  </conditionalFormatting>
  <conditionalFormatting sqref="AG29:AI29">
    <cfRule type="containsText" dxfId="1818" priority="525" operator="containsText" text=" ">
      <formula>NOT(ISERROR(SEARCH(" ",AG29)))</formula>
    </cfRule>
    <cfRule type="containsText" dxfId="1817" priority="526" operator="containsText" text=" ">
      <formula>NOT(ISERROR(SEARCH(" ",AG29)))</formula>
    </cfRule>
  </conditionalFormatting>
  <conditionalFormatting sqref="AO29">
    <cfRule type="cellIs" dxfId="1816" priority="532" operator="greaterThan">
      <formula>1</formula>
    </cfRule>
    <cfRule type="containsText" dxfId="1815" priority="533" operator="containsText" text=" ">
      <formula>NOT(ISERROR(SEARCH(" ",AO29)))</formula>
    </cfRule>
    <cfRule type="containsText" dxfId="1814" priority="534" operator="containsText" text=" ">
      <formula>NOT(ISERROR(SEARCH(" ",AO29)))</formula>
    </cfRule>
  </conditionalFormatting>
  <conditionalFormatting sqref="AT29">
    <cfRule type="containsText" dxfId="1813" priority="547" operator="containsText" text=" ">
      <formula>NOT(ISERROR(SEARCH(" ",AT29)))</formula>
    </cfRule>
    <cfRule type="containsText" dxfId="1812" priority="548" operator="containsText" text=" ">
      <formula>NOT(ISERROR(SEARCH(" ",AT29)))</formula>
    </cfRule>
  </conditionalFormatting>
  <conditionalFormatting sqref="AV29">
    <cfRule type="containsText" dxfId="1811" priority="521" operator="containsText" text=" ">
      <formula>NOT(ISERROR(SEARCH(" ",AV29)))</formula>
    </cfRule>
    <cfRule type="containsText" dxfId="1810" priority="522" operator="containsText" text=" ">
      <formula>NOT(ISERROR(SEARCH(" ",AV29)))</formula>
    </cfRule>
  </conditionalFormatting>
  <conditionalFormatting sqref="AX29:AY29">
    <cfRule type="containsText" dxfId="1809" priority="527" operator="containsText" text=" ">
      <formula>NOT(ISERROR(SEARCH(" ",AX29)))</formula>
    </cfRule>
    <cfRule type="containsText" dxfId="1808" priority="528" operator="containsText" text=" ">
      <formula>NOT(ISERROR(SEARCH(" ",AX29)))</formula>
    </cfRule>
  </conditionalFormatting>
  <conditionalFormatting sqref="BA29">
    <cfRule type="containsText" dxfId="1807" priority="343" operator="containsText" text=" ">
      <formula>NOT(ISERROR(SEARCH(" ",BA29)))</formula>
    </cfRule>
    <cfRule type="containsText" dxfId="1806" priority="344" operator="containsText" text=" ">
      <formula>NOT(ISERROR(SEARCH(" ",BA29)))</formula>
    </cfRule>
  </conditionalFormatting>
  <conditionalFormatting sqref="BC29:BE29">
    <cfRule type="containsText" dxfId="1805" priority="539" operator="containsText" text=" ">
      <formula>NOT(ISERROR(SEARCH(" ",BC29)))</formula>
    </cfRule>
    <cfRule type="containsText" dxfId="1804" priority="540" operator="containsText" text=" ">
      <formula>NOT(ISERROR(SEARCH(" ",BC29)))</formula>
    </cfRule>
  </conditionalFormatting>
  <conditionalFormatting sqref="BH29">
    <cfRule type="containsText" dxfId="1803" priority="185" operator="containsText" text=" ">
      <formula>NOT(ISERROR(SEARCH(" ",BH29)))</formula>
    </cfRule>
    <cfRule type="containsText" dxfId="1802" priority="186" operator="containsText" text=" ">
      <formula>NOT(ISERROR(SEARCH(" ",BH29)))</formula>
    </cfRule>
  </conditionalFormatting>
  <conditionalFormatting sqref="BI29">
    <cfRule type="containsText" dxfId="1801" priority="177" operator="containsText" text=" ">
      <formula>NOT(ISERROR(SEARCH(" ",BI29)))</formula>
    </cfRule>
    <cfRule type="containsText" dxfId="1800" priority="178" operator="containsText" text=" ">
      <formula>NOT(ISERROR(SEARCH(" ",BI29)))</formula>
    </cfRule>
  </conditionalFormatting>
  <conditionalFormatting sqref="BJ29">
    <cfRule type="containsText" dxfId="1799" priority="131" operator="containsText" text=" ">
      <formula>NOT(ISERROR(SEARCH(" ",BJ29)))</formula>
    </cfRule>
    <cfRule type="containsText" dxfId="1798" priority="132" operator="containsText" text=" ">
      <formula>NOT(ISERROR(SEARCH(" ",BJ29)))</formula>
    </cfRule>
  </conditionalFormatting>
  <conditionalFormatting sqref="BK29:BM29">
    <cfRule type="containsText" dxfId="1797" priority="517" operator="containsText" text=" ">
      <formula>NOT(ISERROR(SEARCH(" ",BK29)))</formula>
    </cfRule>
    <cfRule type="containsText" dxfId="1796" priority="518" operator="containsText" text=" ">
      <formula>NOT(ISERROR(SEARCH(" ",BK29)))</formula>
    </cfRule>
  </conditionalFormatting>
  <conditionalFormatting sqref="BP29">
    <cfRule type="cellIs" dxfId="1795" priority="549" operator="equal">
      <formula>"是"</formula>
    </cfRule>
    <cfRule type="cellIs" dxfId="1794" priority="550" operator="equal">
      <formula>"否"</formula>
    </cfRule>
  </conditionalFormatting>
  <conditionalFormatting sqref="BX29:CD29">
    <cfRule type="containsText" dxfId="1793" priority="486" operator="containsText" text=" ">
      <formula>NOT(ISERROR(SEARCH(" ",BX29)))</formula>
    </cfRule>
    <cfRule type="containsText" dxfId="1792" priority="487" operator="containsText" text=" ">
      <formula>NOT(ISERROR(SEARCH(" ",BX29)))</formula>
    </cfRule>
  </conditionalFormatting>
  <conditionalFormatting sqref="CH29">
    <cfRule type="cellIs" dxfId="1791" priority="489" operator="equal">
      <formula>0</formula>
    </cfRule>
  </conditionalFormatting>
  <conditionalFormatting sqref="CS29">
    <cfRule type="containsText" dxfId="1790" priority="510" operator="containsText" text=" ">
      <formula>NOT(ISERROR(SEARCH(" ",CS29)))</formula>
    </cfRule>
    <cfRule type="containsText" dxfId="1789" priority="511" operator="containsText" text=" ">
      <formula>NOT(ISERROR(SEARCH(" ",CS29)))</formula>
    </cfRule>
  </conditionalFormatting>
  <conditionalFormatting sqref="CU29">
    <cfRule type="containsText" dxfId="1788" priority="508" operator="containsText" text=" ">
      <formula>NOT(ISERROR(SEARCH(" ",CU29)))</formula>
    </cfRule>
    <cfRule type="containsText" dxfId="1787" priority="509" operator="containsText" text=" ">
      <formula>NOT(ISERROR(SEARCH(" ",CU29)))</formula>
    </cfRule>
  </conditionalFormatting>
  <conditionalFormatting sqref="CX29">
    <cfRule type="colorScale" priority="5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29">
    <cfRule type="cellIs" dxfId="1786" priority="504" operator="greaterThan">
      <formula>1</formula>
    </cfRule>
    <cfRule type="containsText" dxfId="1785" priority="505" operator="containsText" text=" ">
      <formula>NOT(ISERROR(SEARCH(" ",CZ29)))</formula>
    </cfRule>
    <cfRule type="containsText" dxfId="1784" priority="506" operator="containsText" text=" ">
      <formula>NOT(ISERROR(SEARCH(" ",CZ29)))</formula>
    </cfRule>
  </conditionalFormatting>
  <conditionalFormatting sqref="DC29">
    <cfRule type="cellIs" dxfId="1783" priority="499" operator="greaterThan">
      <formula>1</formula>
    </cfRule>
    <cfRule type="containsText" dxfId="1782" priority="500" operator="containsText" text=" ">
      <formula>NOT(ISERROR(SEARCH(" ",DC29)))</formula>
    </cfRule>
    <cfRule type="containsText" dxfId="1781" priority="501" operator="containsText" text=" ">
      <formula>NOT(ISERROR(SEARCH(" ",DC29)))</formula>
    </cfRule>
  </conditionalFormatting>
  <conditionalFormatting sqref="DF29">
    <cfRule type="colorScale" priority="495">
      <colorScale>
        <cfvo type="min"/>
        <cfvo type="max"/>
        <color rgb="FFFCFCFF"/>
        <color rgb="FF63BE7B"/>
      </colorScale>
    </cfRule>
    <cfRule type="colorScale" priority="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29">
    <cfRule type="colorScale" priority="493">
      <colorScale>
        <cfvo type="min"/>
        <cfvo type="max"/>
        <color rgb="FFFCFCFF"/>
        <color rgb="FF63BE7B"/>
      </colorScale>
    </cfRule>
    <cfRule type="colorScale" priority="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29">
    <cfRule type="cellIs" dxfId="1780" priority="347" operator="greaterThan">
      <formula>1</formula>
    </cfRule>
    <cfRule type="colorScale" priority="348">
      <colorScale>
        <cfvo type="min"/>
        <cfvo type="max"/>
        <color rgb="FFFCFCFF"/>
        <color rgb="FF63BE7B"/>
      </colorScale>
    </cfRule>
    <cfRule type="colorScale" priority="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29:DT29">
    <cfRule type="colorScale" priority="484">
      <colorScale>
        <cfvo type="min"/>
        <cfvo type="max"/>
        <color rgb="FFFCFCFF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29">
    <cfRule type="cellIs" dxfId="1779" priority="479" operator="greaterThan">
      <formula>1</formula>
    </cfRule>
  </conditionalFormatting>
  <conditionalFormatting sqref="DU29">
    <cfRule type="colorScale" priority="482">
      <colorScale>
        <cfvo type="min"/>
        <cfvo type="max"/>
        <color rgb="FFFCFCFF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29">
    <cfRule type="colorScale" priority="456">
      <colorScale>
        <cfvo type="min"/>
        <cfvo type="max"/>
        <color rgb="FFFCFCFF"/>
        <color rgb="FF63BE7B"/>
      </colorScale>
    </cfRule>
    <cfRule type="colorScale" priority="4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29">
    <cfRule type="cellIs" dxfId="1778" priority="433" operator="greaterThan">
      <formula>1</formula>
    </cfRule>
    <cfRule type="colorScale" priority="434">
      <colorScale>
        <cfvo type="min"/>
        <cfvo type="max"/>
        <color rgb="FFFCFCFF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29">
    <cfRule type="colorScale" priority="380">
      <colorScale>
        <cfvo type="min"/>
        <cfvo type="max"/>
        <color rgb="FFFCFCFF"/>
        <color rgb="FF63BE7B"/>
      </colorScale>
    </cfRule>
    <cfRule type="colorScale" priority="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9">
    <cfRule type="colorScale" priority="378">
      <colorScale>
        <cfvo type="min"/>
        <cfvo type="max"/>
        <color rgb="FFFCFCFF"/>
        <color rgb="FF63BE7B"/>
      </colorScale>
    </cfRule>
    <cfRule type="colorScale" priority="3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29">
    <cfRule type="cellIs" dxfId="1777" priority="430" operator="greaterThan">
      <formula>1</formula>
    </cfRule>
    <cfRule type="colorScale" priority="431">
      <colorScale>
        <cfvo type="min"/>
        <cfvo type="max"/>
        <color rgb="FFFCFCFF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29">
    <cfRule type="colorScale" priority="376">
      <colorScale>
        <cfvo type="min"/>
        <cfvo type="max"/>
        <color rgb="FFFCFCFF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29">
    <cfRule type="colorScale" priority="374">
      <colorScale>
        <cfvo type="min"/>
        <cfvo type="max"/>
        <color rgb="FFFCFCFF"/>
        <color rgb="FF63BE7B"/>
      </colorScale>
    </cfRule>
    <cfRule type="colorScale" priority="3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29">
    <cfRule type="cellIs" dxfId="1776" priority="427" operator="greaterThan">
      <formula>1</formula>
    </cfRule>
    <cfRule type="colorScale" priority="428">
      <colorScale>
        <cfvo type="min"/>
        <cfvo type="max"/>
        <color rgb="FFFCFCFF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29">
    <cfRule type="colorScale" priority="372">
      <colorScale>
        <cfvo type="min"/>
        <cfvo type="max"/>
        <color rgb="FFFCFCFF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29">
    <cfRule type="colorScale" priority="370">
      <colorScale>
        <cfvo type="min"/>
        <cfvo type="max"/>
        <color rgb="FFFCFCFF"/>
        <color rgb="FF63BE7B"/>
      </colorScale>
    </cfRule>
    <cfRule type="colorScale" priority="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29">
    <cfRule type="cellIs" dxfId="1775" priority="424" operator="greaterThan">
      <formula>1</formula>
    </cfRule>
    <cfRule type="colorScale" priority="425">
      <colorScale>
        <cfvo type="min"/>
        <cfvo type="max"/>
        <color rgb="FFFCFCFF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29">
    <cfRule type="colorScale" priority="368">
      <colorScale>
        <cfvo type="min"/>
        <cfvo type="max"/>
        <color rgb="FFFCFCFF"/>
        <color rgb="FF63BE7B"/>
      </colorScale>
    </cfRule>
    <cfRule type="colorScale" priority="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9">
    <cfRule type="colorScale" priority="366">
      <colorScale>
        <cfvo type="min"/>
        <cfvo type="max"/>
        <color rgb="FFFCFCFF"/>
        <color rgb="FF63BE7B"/>
      </colorScale>
    </cfRule>
    <cfRule type="colorScale" priority="3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29">
    <cfRule type="cellIs" dxfId="1774" priority="421" operator="greaterThan">
      <formula>1</formula>
    </cfRule>
    <cfRule type="colorScale" priority="422">
      <colorScale>
        <cfvo type="min"/>
        <cfvo type="max"/>
        <color rgb="FFFCFCFF"/>
        <color rgb="FF63BE7B"/>
      </colorScale>
    </cfRule>
    <cfRule type="colorScale" priority="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29">
    <cfRule type="colorScale" priority="364">
      <colorScale>
        <cfvo type="min"/>
        <cfvo type="max"/>
        <color rgb="FFFCFCFF"/>
        <color rgb="FF63BE7B"/>
      </colorScale>
    </cfRule>
    <cfRule type="colorScale" priority="3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29">
    <cfRule type="colorScale" priority="362">
      <colorScale>
        <cfvo type="min"/>
        <cfvo type="max"/>
        <color rgb="FFFCFCFF"/>
        <color rgb="FF63BE7B"/>
      </colorScale>
    </cfRule>
    <cfRule type="colorScale" priority="3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29">
    <cfRule type="cellIs" dxfId="1773" priority="418" operator="greaterThan">
      <formula>1</formula>
    </cfRule>
    <cfRule type="colorScale" priority="419">
      <colorScale>
        <cfvo type="min"/>
        <cfvo type="max"/>
        <color rgb="FFFCFCFF"/>
        <color rgb="FF63BE7B"/>
      </colorScale>
    </cfRule>
    <cfRule type="colorScale" priority="4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29">
    <cfRule type="colorScale" priority="360">
      <colorScale>
        <cfvo type="min"/>
        <cfvo type="max"/>
        <color rgb="FFFCFCFF"/>
        <color rgb="FF63BE7B"/>
      </colorScale>
    </cfRule>
    <cfRule type="colorScale" priority="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29">
    <cfRule type="colorScale" priority="358">
      <colorScale>
        <cfvo type="min"/>
        <cfvo type="max"/>
        <color rgb="FFFCFCFF"/>
        <color rgb="FF63BE7B"/>
      </colorScale>
    </cfRule>
    <cfRule type="colorScale" priority="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29">
    <cfRule type="cellIs" dxfId="1772" priority="415" operator="greaterThan">
      <formula>1</formula>
    </cfRule>
    <cfRule type="colorScale" priority="416">
      <colorScale>
        <cfvo type="min"/>
        <cfvo type="max"/>
        <color rgb="FFFCFCFF"/>
        <color rgb="FF63BE7B"/>
      </colorScale>
    </cfRule>
    <cfRule type="colorScale" priority="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29">
    <cfRule type="colorScale" priority="356">
      <colorScale>
        <cfvo type="min"/>
        <cfvo type="max"/>
        <color rgb="FFFCFCFF"/>
        <color rgb="FF63BE7B"/>
      </colorScale>
    </cfRule>
    <cfRule type="colorScale" priority="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9">
    <cfRule type="colorScale" priority="354">
      <colorScale>
        <cfvo type="min"/>
        <cfvo type="max"/>
        <color rgb="FFFCFCFF"/>
        <color rgb="FF63BE7B"/>
      </colorScale>
    </cfRule>
    <cfRule type="colorScale" priority="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29">
    <cfRule type="cellIs" dxfId="1771" priority="412" operator="greaterThan">
      <formula>1</formula>
    </cfRule>
    <cfRule type="colorScale" priority="413">
      <colorScale>
        <cfvo type="min"/>
        <cfvo type="max"/>
        <color rgb="FFFCFCFF"/>
        <color rgb="FF63BE7B"/>
      </colorScale>
    </cfRule>
    <cfRule type="colorScale" priority="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29">
    <cfRule type="colorScale" priority="352">
      <colorScale>
        <cfvo type="min"/>
        <cfvo type="max"/>
        <color rgb="FFFCFCFF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9">
    <cfRule type="colorScale" priority="350">
      <colorScale>
        <cfvo type="min"/>
        <cfvo type="max"/>
        <color rgb="FFFCFCFF"/>
        <color rgb="FF63BE7B"/>
      </colorScale>
    </cfRule>
    <cfRule type="colorScale" priority="3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29">
    <cfRule type="cellIs" dxfId="1770" priority="409" operator="greaterThan">
      <formula>1</formula>
    </cfRule>
    <cfRule type="colorScale" priority="410">
      <colorScale>
        <cfvo type="min"/>
        <cfvo type="max"/>
        <color rgb="FFFCFCFF"/>
        <color rgb="FF63BE7B"/>
      </colorScale>
    </cfRule>
    <cfRule type="colorScale" priority="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29">
    <cfRule type="colorScale" priority="480">
      <colorScale>
        <cfvo type="min"/>
        <cfvo type="max"/>
        <color rgb="FFFCFCFF"/>
        <color rgb="FF63BE7B"/>
      </colorScale>
    </cfRule>
    <cfRule type="colorScale" priority="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29">
    <cfRule type="colorScale" priority="454">
      <colorScale>
        <cfvo type="min"/>
        <cfvo type="max"/>
        <color rgb="FFFCFCFF"/>
        <color rgb="FF63BE7B"/>
      </colorScale>
    </cfRule>
    <cfRule type="colorScale" priority="4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29">
    <cfRule type="cellIs" dxfId="1769" priority="476" operator="greaterThan">
      <formula>1</formula>
    </cfRule>
    <cfRule type="colorScale" priority="477">
      <colorScale>
        <cfvo type="min"/>
        <cfvo type="max"/>
        <color rgb="FFFCFCFF"/>
        <color rgb="FF63BE7B"/>
      </colorScale>
    </cfRule>
    <cfRule type="colorScale" priority="4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29">
    <cfRule type="colorScale" priority="474">
      <colorScale>
        <cfvo type="min"/>
        <cfvo type="max"/>
        <color rgb="FFFCFCFF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29">
    <cfRule type="colorScale" priority="452">
      <colorScale>
        <cfvo type="min"/>
        <cfvo type="max"/>
        <color rgb="FFFCFCFF"/>
        <color rgb="FF63BE7B"/>
      </colorScale>
    </cfRule>
    <cfRule type="colorScale" priority="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29">
    <cfRule type="cellIs" dxfId="1768" priority="406" operator="greaterThan">
      <formula>1</formula>
    </cfRule>
    <cfRule type="colorScale" priority="407">
      <colorScale>
        <cfvo type="min"/>
        <cfvo type="max"/>
        <color rgb="FFFCFCFF"/>
        <color rgb="FF63BE7B"/>
      </colorScale>
    </cfRule>
    <cfRule type="colorScale" priority="4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29">
    <cfRule type="colorScale" priority="472">
      <colorScale>
        <cfvo type="min"/>
        <cfvo type="max"/>
        <color rgb="FFFCFCFF"/>
        <color rgb="FF63BE7B"/>
      </colorScale>
    </cfRule>
    <cfRule type="colorScale" priority="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29">
    <cfRule type="colorScale" priority="450">
      <colorScale>
        <cfvo type="min"/>
        <cfvo type="max"/>
        <color rgb="FFFCFCFF"/>
        <color rgb="FF63BE7B"/>
      </colorScale>
    </cfRule>
    <cfRule type="colorScale" priority="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29">
    <cfRule type="cellIs" dxfId="1767" priority="403" operator="greaterThan">
      <formula>1</formula>
    </cfRule>
    <cfRule type="colorScale" priority="404">
      <colorScale>
        <cfvo type="min"/>
        <cfvo type="max"/>
        <color rgb="FFFCFCFF"/>
        <color rgb="FF63BE7B"/>
      </colorScale>
    </cfRule>
    <cfRule type="colorScale" priority="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29">
    <cfRule type="colorScale" priority="470">
      <colorScale>
        <cfvo type="min"/>
        <cfvo type="max"/>
        <color rgb="FFFCFCFF"/>
        <color rgb="FF63BE7B"/>
      </colorScale>
    </cfRule>
    <cfRule type="colorScale" priority="4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29">
    <cfRule type="colorScale" priority="448">
      <colorScale>
        <cfvo type="min"/>
        <cfvo type="max"/>
        <color rgb="FFFCFCFF"/>
        <color rgb="FF63BE7B"/>
      </colorScale>
    </cfRule>
    <cfRule type="colorScale" priority="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29">
    <cfRule type="cellIs" dxfId="1766" priority="400" operator="greaterThan">
      <formula>1</formula>
    </cfRule>
    <cfRule type="colorScale" priority="401">
      <colorScale>
        <cfvo type="min"/>
        <cfvo type="max"/>
        <color rgb="FFFCFCFF"/>
        <color rgb="FF63BE7B"/>
      </colorScale>
    </cfRule>
    <cfRule type="colorScale" priority="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29">
    <cfRule type="colorScale" priority="468">
      <colorScale>
        <cfvo type="min"/>
        <cfvo type="max"/>
        <color rgb="FFFCFCFF"/>
        <color rgb="FF63BE7B"/>
      </colorScale>
    </cfRule>
    <cfRule type="colorScale" priority="4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9">
    <cfRule type="colorScale" priority="446">
      <colorScale>
        <cfvo type="min"/>
        <cfvo type="max"/>
        <color rgb="FFFCFCFF"/>
        <color rgb="FF63BE7B"/>
      </colorScale>
    </cfRule>
    <cfRule type="colorScale" priority="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29">
    <cfRule type="cellIs" dxfId="1765" priority="397" operator="greaterThan">
      <formula>1</formula>
    </cfRule>
    <cfRule type="colorScale" priority="398">
      <colorScale>
        <cfvo type="min"/>
        <cfvo type="max"/>
        <color rgb="FFFCFCFF"/>
        <color rgb="FF63BE7B"/>
      </colorScale>
    </cfRule>
    <cfRule type="colorScale" priority="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29">
    <cfRule type="colorScale" priority="466">
      <colorScale>
        <cfvo type="min"/>
        <cfvo type="max"/>
        <color rgb="FFFCFCFF"/>
        <color rgb="FF63BE7B"/>
      </colorScale>
    </cfRule>
    <cfRule type="colorScale" priority="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9">
    <cfRule type="colorScale" priority="444">
      <colorScale>
        <cfvo type="min"/>
        <cfvo type="max"/>
        <color rgb="FFFCFCFF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29">
    <cfRule type="cellIs" dxfId="1764" priority="394" operator="greaterThan">
      <formula>1</formula>
    </cfRule>
    <cfRule type="colorScale" priority="395">
      <colorScale>
        <cfvo type="min"/>
        <cfvo type="max"/>
        <color rgb="FFFCFCFF"/>
        <color rgb="FF63BE7B"/>
      </colorScale>
    </cfRule>
    <cfRule type="colorScale" priority="3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29">
    <cfRule type="colorScale" priority="464">
      <colorScale>
        <cfvo type="min"/>
        <cfvo type="max"/>
        <color rgb="FFFCFCFF"/>
        <color rgb="FF63BE7B"/>
      </colorScale>
    </cfRule>
    <cfRule type="colorScale" priority="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29">
    <cfRule type="colorScale" priority="442">
      <colorScale>
        <cfvo type="min"/>
        <cfvo type="max"/>
        <color rgb="FFFCFCFF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29">
    <cfRule type="cellIs" dxfId="1763" priority="391" operator="greaterThan">
      <formula>1</formula>
    </cfRule>
    <cfRule type="colorScale" priority="392">
      <colorScale>
        <cfvo type="min"/>
        <cfvo type="max"/>
        <color rgb="FFFCFCFF"/>
        <color rgb="FF63BE7B"/>
      </colorScale>
    </cfRule>
    <cfRule type="colorScale" priority="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29">
    <cfRule type="colorScale" priority="462">
      <colorScale>
        <cfvo type="min"/>
        <cfvo type="max"/>
        <color rgb="FFFCFCFF"/>
        <color rgb="FF63BE7B"/>
      </colorScale>
    </cfRule>
    <cfRule type="colorScale" priority="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29">
    <cfRule type="colorScale" priority="440">
      <colorScale>
        <cfvo type="min"/>
        <cfvo type="max"/>
        <color rgb="FFFCFCFF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29">
    <cfRule type="cellIs" dxfId="1762" priority="388" operator="greaterThan">
      <formula>1</formula>
    </cfRule>
    <cfRule type="colorScale" priority="389">
      <colorScale>
        <cfvo type="min"/>
        <cfvo type="max"/>
        <color rgb="FFFCFCFF"/>
        <color rgb="FF63BE7B"/>
      </colorScale>
    </cfRule>
    <cfRule type="colorScale" priority="3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29">
    <cfRule type="colorScale" priority="460">
      <colorScale>
        <cfvo type="min"/>
        <cfvo type="max"/>
        <color rgb="FFFCFCFF"/>
        <color rgb="FF63BE7B"/>
      </colorScale>
    </cfRule>
    <cfRule type="colorScale" priority="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29">
    <cfRule type="colorScale" priority="438">
      <colorScale>
        <cfvo type="min"/>
        <cfvo type="max"/>
        <color rgb="FFFCFCFF"/>
        <color rgb="FF63BE7B"/>
      </colorScale>
    </cfRule>
    <cfRule type="colorScale" priority="4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29">
    <cfRule type="cellIs" dxfId="1761" priority="385" operator="greaterThan">
      <formula>1</formula>
    </cfRule>
    <cfRule type="colorScale" priority="386">
      <colorScale>
        <cfvo type="min"/>
        <cfvo type="max"/>
        <color rgb="FFFCFCFF"/>
        <color rgb="FF63BE7B"/>
      </colorScale>
    </cfRule>
    <cfRule type="colorScale" priority="3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29">
    <cfRule type="colorScale" priority="458">
      <colorScale>
        <cfvo type="min"/>
        <cfvo type="max"/>
        <color rgb="FFFCFCFF"/>
        <color rgb="FF63BE7B"/>
      </colorScale>
    </cfRule>
    <cfRule type="colorScale" priority="4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29">
    <cfRule type="colorScale" priority="436">
      <colorScale>
        <cfvo type="min"/>
        <cfvo type="max"/>
        <color rgb="FFFCFCFF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29">
    <cfRule type="cellIs" dxfId="1760" priority="382" operator="greaterThan">
      <formula>1</formula>
    </cfRule>
    <cfRule type="colorScale" priority="383">
      <colorScale>
        <cfvo type="min"/>
        <cfvo type="max"/>
        <color rgb="FFFCFCFF"/>
        <color rgb="FF63BE7B"/>
      </colorScale>
    </cfRule>
    <cfRule type="colorScale" priority="3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29:GE29">
    <cfRule type="containsText" dxfId="1759" priority="332" operator="containsText" text=" ">
      <formula>NOT(ISERROR(SEARCH(" ",GA29)))</formula>
    </cfRule>
    <cfRule type="containsText" dxfId="1758" priority="333" operator="containsText" text=" ">
      <formula>NOT(ISERROR(SEARCH(" ",GA29)))</formula>
    </cfRule>
  </conditionalFormatting>
  <conditionalFormatting sqref="GF29">
    <cfRule type="cellIs" dxfId="1757" priority="233" operator="greaterThan">
      <formula>1</formula>
    </cfRule>
    <cfRule type="colorScale" priority="234">
      <colorScale>
        <cfvo type="min"/>
        <cfvo type="max"/>
        <color rgb="FFFCFCFF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29:GI29">
    <cfRule type="colorScale" priority="330">
      <colorScale>
        <cfvo type="min"/>
        <cfvo type="max"/>
        <color rgb="FFFCFCFF"/>
        <color rgb="FF63BE7B"/>
      </colorScale>
    </cfRule>
    <cfRule type="colorScale" priority="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29">
    <cfRule type="cellIs" dxfId="1756" priority="327" operator="greaterThan">
      <formula>1</formula>
    </cfRule>
  </conditionalFormatting>
  <conditionalFormatting sqref="GJ29">
    <cfRule type="colorScale" priority="328">
      <colorScale>
        <cfvo type="min"/>
        <cfvo type="max"/>
        <color rgb="FFFCFCFF"/>
        <color rgb="FF63BE7B"/>
      </colorScale>
    </cfRule>
    <cfRule type="colorScale" priority="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29">
    <cfRule type="colorScale" priority="322">
      <colorScale>
        <cfvo type="min"/>
        <cfvo type="max"/>
        <color rgb="FFFCFCFF"/>
        <color rgb="FF63BE7B"/>
      </colorScale>
    </cfRule>
    <cfRule type="colorScale" priority="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29">
    <cfRule type="cellIs" dxfId="1755" priority="319" operator="greaterThan">
      <formula>1</formula>
    </cfRule>
    <cfRule type="colorScale" priority="320">
      <colorScale>
        <cfvo type="min"/>
        <cfvo type="max"/>
        <color rgb="FFFCFCFF"/>
        <color rgb="FF63BE7B"/>
      </colorScale>
    </cfRule>
    <cfRule type="colorScale" priority="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29">
    <cfRule type="colorScale" priority="266">
      <colorScale>
        <cfvo type="min"/>
        <cfvo type="max"/>
        <color rgb="FFFCFCFF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29">
    <cfRule type="colorScale" priority="264">
      <colorScale>
        <cfvo type="min"/>
        <cfvo type="max"/>
        <color rgb="FFFCFCFF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29">
    <cfRule type="cellIs" dxfId="1754" priority="316" operator="greaterThan">
      <formula>1</formula>
    </cfRule>
    <cfRule type="colorScale" priority="317">
      <colorScale>
        <cfvo type="min"/>
        <cfvo type="max"/>
        <color rgb="FFFCFCFF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29">
    <cfRule type="colorScale" priority="262">
      <colorScale>
        <cfvo type="min"/>
        <cfvo type="max"/>
        <color rgb="FFFCFCFF"/>
        <color rgb="FF63BE7B"/>
      </colorScale>
    </cfRule>
    <cfRule type="colorScale" priority="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29">
    <cfRule type="colorScale" priority="260">
      <colorScale>
        <cfvo type="min"/>
        <cfvo type="max"/>
        <color rgb="FFFCFCFF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29">
    <cfRule type="cellIs" dxfId="1753" priority="313" operator="greaterThan">
      <formula>1</formula>
    </cfRule>
    <cfRule type="colorScale" priority="314">
      <colorScale>
        <cfvo type="min"/>
        <cfvo type="max"/>
        <color rgb="FFFCFCFF"/>
        <color rgb="FF63BE7B"/>
      </colorScale>
    </cfRule>
    <cfRule type="colorScale" priority="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29">
    <cfRule type="colorScale" priority="258">
      <colorScale>
        <cfvo type="min"/>
        <cfvo type="max"/>
        <color rgb="FFFCFCFF"/>
        <color rgb="FF63BE7B"/>
      </colorScale>
    </cfRule>
    <cfRule type="colorScale" priority="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29">
    <cfRule type="colorScale" priority="256">
      <colorScale>
        <cfvo type="min"/>
        <cfvo type="max"/>
        <color rgb="FFFCFCFF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29">
    <cfRule type="cellIs" dxfId="1752" priority="310" operator="greaterThan">
      <formula>1</formula>
    </cfRule>
    <cfRule type="colorScale" priority="311">
      <colorScale>
        <cfvo type="min"/>
        <cfvo type="max"/>
        <color rgb="FFFCFCFF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29">
    <cfRule type="colorScale" priority="254">
      <colorScale>
        <cfvo type="min"/>
        <cfvo type="max"/>
        <color rgb="FFFCFCFF"/>
        <color rgb="FF63BE7B"/>
      </colorScale>
    </cfRule>
    <cfRule type="colorScale" priority="2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29">
    <cfRule type="colorScale" priority="252">
      <colorScale>
        <cfvo type="min"/>
        <cfvo type="max"/>
        <color rgb="FFFCFCFF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29">
    <cfRule type="cellIs" dxfId="1751" priority="307" operator="greaterThan">
      <formula>1</formula>
    </cfRule>
    <cfRule type="colorScale" priority="308">
      <colorScale>
        <cfvo type="min"/>
        <cfvo type="max"/>
        <color rgb="FFFCFCFF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29">
    <cfRule type="colorScale" priority="250">
      <colorScale>
        <cfvo type="min"/>
        <cfvo type="max"/>
        <color rgb="FFFCFCFF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29">
    <cfRule type="colorScale" priority="248">
      <colorScale>
        <cfvo type="min"/>
        <cfvo type="max"/>
        <color rgb="FFFCFCFF"/>
        <color rgb="FF63BE7B"/>
      </colorScale>
    </cfRule>
    <cfRule type="colorScale" priority="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29">
    <cfRule type="cellIs" dxfId="1750" priority="304" operator="greaterThan">
      <formula>1</formula>
    </cfRule>
    <cfRule type="colorScale" priority="305">
      <colorScale>
        <cfvo type="min"/>
        <cfvo type="max"/>
        <color rgb="FFFCFCFF"/>
        <color rgb="FF63BE7B"/>
      </colorScale>
    </cfRule>
    <cfRule type="colorScale" priority="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29">
    <cfRule type="colorScale" priority="246">
      <colorScale>
        <cfvo type="min"/>
        <cfvo type="max"/>
        <color rgb="FFFCFCFF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29">
    <cfRule type="colorScale" priority="244">
      <colorScale>
        <cfvo type="min"/>
        <cfvo type="max"/>
        <color rgb="FFFCFCFF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29">
    <cfRule type="cellIs" dxfId="1749" priority="301" operator="greaterThan">
      <formula>1</formula>
    </cfRule>
    <cfRule type="colorScale" priority="302">
      <colorScale>
        <cfvo type="min"/>
        <cfvo type="max"/>
        <color rgb="FFFCFCFF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29">
    <cfRule type="colorScale" priority="242">
      <colorScale>
        <cfvo type="min"/>
        <cfvo type="max"/>
        <color rgb="FFFCFCFF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29">
    <cfRule type="colorScale" priority="240">
      <colorScale>
        <cfvo type="min"/>
        <cfvo type="max"/>
        <color rgb="FFFCFCFF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29">
    <cfRule type="cellIs" dxfId="1748" priority="298" operator="greaterThan">
      <formula>1</formula>
    </cfRule>
    <cfRule type="colorScale" priority="299">
      <colorScale>
        <cfvo type="min"/>
        <cfvo type="max"/>
        <color rgb="FFFCFCFF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29">
    <cfRule type="colorScale" priority="238">
      <colorScale>
        <cfvo type="min"/>
        <cfvo type="max"/>
        <color rgb="FFFCFCFF"/>
        <color rgb="FF63BE7B"/>
      </colorScale>
    </cfRule>
    <cfRule type="colorScale" priority="2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29">
    <cfRule type="colorScale" priority="236">
      <colorScale>
        <cfvo type="min"/>
        <cfvo type="max"/>
        <color rgb="FFFCFCFF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29">
    <cfRule type="cellIs" dxfId="1747" priority="295" operator="greaterThan">
      <formula>1</formula>
    </cfRule>
    <cfRule type="colorScale" priority="296">
      <colorScale>
        <cfvo type="min"/>
        <cfvo type="max"/>
        <color rgb="FFFCFCFF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29">
    <cfRule type="colorScale" priority="231">
      <colorScale>
        <cfvo type="min"/>
        <cfvo type="max"/>
        <color rgb="FFFCFCFF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29">
    <cfRule type="colorScale" priority="211">
      <colorScale>
        <cfvo type="min"/>
        <cfvo type="max"/>
        <color rgb="FFFCFCFF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29">
    <cfRule type="cellIs" dxfId="1746" priority="324" operator="greaterThan">
      <formula>1</formula>
    </cfRule>
    <cfRule type="colorScale" priority="325">
      <colorScale>
        <cfvo type="min"/>
        <cfvo type="max"/>
        <color rgb="FFFCFCFF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29">
    <cfRule type="colorScale" priority="229">
      <colorScale>
        <cfvo type="min"/>
        <cfvo type="max"/>
        <color rgb="FFFCFCFF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29">
    <cfRule type="colorScale" priority="209">
      <colorScale>
        <cfvo type="min"/>
        <cfvo type="max"/>
        <color rgb="FFFCFCFF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P29">
    <cfRule type="cellIs" dxfId="1745" priority="292" operator="greaterThan">
      <formula>1</formula>
    </cfRule>
    <cfRule type="colorScale" priority="293">
      <colorScale>
        <cfvo type="min"/>
        <cfvo type="max"/>
        <color rgb="FFFCFCFF"/>
        <color rgb="FF63BE7B"/>
      </colorScale>
    </cfRule>
    <cfRule type="colorScale" priority="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29">
    <cfRule type="colorScale" priority="227">
      <colorScale>
        <cfvo type="min"/>
        <cfvo type="max"/>
        <color rgb="FFFCFCFF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R29">
    <cfRule type="colorScale" priority="207">
      <colorScale>
        <cfvo type="min"/>
        <cfvo type="max"/>
        <color rgb="FFFCFCFF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S29">
    <cfRule type="cellIs" dxfId="1744" priority="289" operator="greaterThan">
      <formula>1</formula>
    </cfRule>
    <cfRule type="colorScale" priority="290">
      <colorScale>
        <cfvo type="min"/>
        <cfvo type="max"/>
        <color rgb="FFFCFCFF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T29">
    <cfRule type="colorScale" priority="225">
      <colorScale>
        <cfvo type="min"/>
        <cfvo type="max"/>
        <color rgb="FFFCFCFF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U29">
    <cfRule type="colorScale" priority="205">
      <colorScale>
        <cfvo type="min"/>
        <cfvo type="max"/>
        <color rgb="FFFCFCFF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29">
    <cfRule type="cellIs" dxfId="1743" priority="286" operator="greaterThan">
      <formula>1</formula>
    </cfRule>
    <cfRule type="colorScale" priority="287">
      <colorScale>
        <cfvo type="min"/>
        <cfvo type="max"/>
        <color rgb="FFFCFCFF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29">
    <cfRule type="colorScale" priority="223">
      <colorScale>
        <cfvo type="min"/>
        <cfvo type="max"/>
        <color rgb="FFFCFCFF"/>
        <color rgb="FF63BE7B"/>
      </colorScale>
    </cfRule>
    <cfRule type="colorScale" priority="2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29">
    <cfRule type="colorScale" priority="203">
      <colorScale>
        <cfvo type="min"/>
        <cfvo type="max"/>
        <color rgb="FFFCFCFF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29">
    <cfRule type="cellIs" dxfId="1742" priority="283" operator="greaterThan">
      <formula>1</formula>
    </cfRule>
    <cfRule type="colorScale" priority="284">
      <colorScale>
        <cfvo type="min"/>
        <cfvo type="max"/>
        <color rgb="FFFCFCFF"/>
        <color rgb="FF63BE7B"/>
      </colorScale>
    </cfRule>
    <cfRule type="colorScale" priority="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29">
    <cfRule type="colorScale" priority="221">
      <colorScale>
        <cfvo type="min"/>
        <cfvo type="max"/>
        <color rgb="FFFCFCFF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29">
    <cfRule type="colorScale" priority="201">
      <colorScale>
        <cfvo type="min"/>
        <cfvo type="max"/>
        <color rgb="FFFCFCFF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29">
    <cfRule type="cellIs" dxfId="1741" priority="280" operator="greaterThan">
      <formula>1</formula>
    </cfRule>
    <cfRule type="colorScale" priority="281">
      <colorScale>
        <cfvo type="min"/>
        <cfvo type="max"/>
        <color rgb="FFFCFCFF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29">
    <cfRule type="colorScale" priority="219">
      <colorScale>
        <cfvo type="min"/>
        <cfvo type="max"/>
        <color rgb="FFFCFCFF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29">
    <cfRule type="colorScale" priority="199">
      <colorScale>
        <cfvo type="min"/>
        <cfvo type="max"/>
        <color rgb="FFFCFCFF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29">
    <cfRule type="cellIs" dxfId="1740" priority="277" operator="greaterThan">
      <formula>1</formula>
    </cfRule>
    <cfRule type="colorScale" priority="278">
      <colorScale>
        <cfvo type="min"/>
        <cfvo type="max"/>
        <color rgb="FFFCFCFF"/>
        <color rgb="FF63BE7B"/>
      </colorScale>
    </cfRule>
    <cfRule type="colorScale" priority="2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29">
    <cfRule type="colorScale" priority="217">
      <colorScale>
        <cfvo type="min"/>
        <cfvo type="max"/>
        <color rgb="FFFCFCFF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29">
    <cfRule type="colorScale" priority="197">
      <colorScale>
        <cfvo type="min"/>
        <cfvo type="max"/>
        <color rgb="FFFCFCFF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29">
    <cfRule type="cellIs" dxfId="1739" priority="274" operator="greaterThan">
      <formula>1</formula>
    </cfRule>
    <cfRule type="colorScale" priority="275">
      <colorScale>
        <cfvo type="min"/>
        <cfvo type="max"/>
        <color rgb="FFFCFCFF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29">
    <cfRule type="colorScale" priority="215">
      <colorScale>
        <cfvo type="min"/>
        <cfvo type="max"/>
        <color rgb="FFFCFCFF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29">
    <cfRule type="colorScale" priority="195">
      <colorScale>
        <cfvo type="min"/>
        <cfvo type="max"/>
        <color rgb="FFFCFCFF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29">
    <cfRule type="cellIs" dxfId="1738" priority="271" operator="greaterThan">
      <formula>1</formula>
    </cfRule>
    <cfRule type="colorScale" priority="272">
      <colorScale>
        <cfvo type="min"/>
        <cfvo type="max"/>
        <color rgb="FFFCFCFF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29">
    <cfRule type="colorScale" priority="213">
      <colorScale>
        <cfvo type="min"/>
        <cfvo type="max"/>
        <color rgb="FFFCFCFF"/>
        <color rgb="FF63BE7B"/>
      </colorScale>
    </cfRule>
    <cfRule type="colorScale" priority="2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29">
    <cfRule type="colorScale" priority="193">
      <colorScale>
        <cfvo type="min"/>
        <cfvo type="max"/>
        <color rgb="FFFCFCFF"/>
        <color rgb="FF63BE7B"/>
      </colorScale>
    </cfRule>
    <cfRule type="colorScale" priority="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29">
    <cfRule type="cellIs" dxfId="1737" priority="268" operator="greaterThan">
      <formula>1</formula>
    </cfRule>
    <cfRule type="colorScale" priority="269">
      <colorScale>
        <cfvo type="min"/>
        <cfvo type="max"/>
        <color rgb="FFFCFCFF"/>
        <color rgb="FF63BE7B"/>
      </colorScale>
    </cfRule>
    <cfRule type="colorScale" priority="2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29">
    <cfRule type="containsText" dxfId="1736" priority="334" operator="containsText" text=" ">
      <formula>NOT(ISERROR(SEARCH(" ",IO29)))</formula>
    </cfRule>
    <cfRule type="containsText" dxfId="1735" priority="335" operator="containsText" text=" ">
      <formula>NOT(ISERROR(SEARCH(" ",IO29)))</formula>
    </cfRule>
  </conditionalFormatting>
  <conditionalFormatting sqref="IS29:JL29">
    <cfRule type="cellIs" dxfId="1734" priority="336" operator="greaterThan">
      <formula>0.31</formula>
    </cfRule>
    <cfRule type="cellIs" dxfId="1733" priority="337" operator="greaterThan">
      <formula>0.31</formula>
    </cfRule>
    <cfRule type="cellIs" dxfId="1732" priority="338" operator="greaterThan">
      <formula>0.31</formula>
    </cfRule>
    <cfRule type="cellIs" dxfId="1731" priority="339" operator="greaterThan">
      <formula>0.31</formula>
    </cfRule>
    <cfRule type="cellIs" dxfId="1730" priority="340" operator="greaterThan">
      <formula>0.3</formula>
    </cfRule>
    <cfRule type="cellIs" dxfId="1729" priority="341" operator="greaterThan">
      <formula>1</formula>
    </cfRule>
    <cfRule type="cellIs" dxfId="1728" priority="342" operator="equal">
      <formula>0</formula>
    </cfRule>
  </conditionalFormatting>
  <conditionalFormatting sqref="E30">
    <cfRule type="containsText" dxfId="1727" priority="143" operator="containsText" text=" ">
      <formula>NOT(ISERROR(SEARCH(" ",E30)))</formula>
    </cfRule>
    <cfRule type="containsText" dxfId="1726" priority="144" operator="containsText" text=" ">
      <formula>NOT(ISERROR(SEARCH(" ",E30)))</formula>
    </cfRule>
  </conditionalFormatting>
  <conditionalFormatting sqref="F30">
    <cfRule type="containsText" dxfId="1725" priority="155" operator="containsText" text=" ">
      <formula>NOT(ISERROR(SEARCH(" ",F30)))</formula>
    </cfRule>
    <cfRule type="containsText" dxfId="1724" priority="156" operator="containsText" text=" ">
      <formula>NOT(ISERROR(SEARCH(" ",F30)))</formula>
    </cfRule>
  </conditionalFormatting>
  <conditionalFormatting sqref="F31">
    <cfRule type="containsText" dxfId="1723" priority="153" operator="containsText" text=" ">
      <formula>NOT(ISERROR(SEARCH(" ",F31)))</formula>
    </cfRule>
    <cfRule type="containsText" dxfId="1722" priority="154" operator="containsText" text=" ">
      <formula>NOT(ISERROR(SEARCH(" ",F31)))</formula>
    </cfRule>
  </conditionalFormatting>
  <conditionalFormatting sqref="BH32">
    <cfRule type="containsText" dxfId="1721" priority="1517" operator="containsText" text=" ">
      <formula>NOT(ISERROR(SEARCH(" ",BH32)))</formula>
    </cfRule>
    <cfRule type="containsText" dxfId="1720" priority="1518" operator="containsText" text=" ">
      <formula>NOT(ISERROR(SEARCH(" ",BH32)))</formula>
    </cfRule>
  </conditionalFormatting>
  <conditionalFormatting sqref="BH35">
    <cfRule type="containsText" dxfId="1719" priority="1493" operator="containsText" text=" ">
      <formula>NOT(ISERROR(SEARCH(" ",BH35)))</formula>
    </cfRule>
    <cfRule type="containsText" dxfId="1718" priority="1494" operator="containsText" text=" ">
      <formula>NOT(ISERROR(SEARCH(" ",BH35)))</formula>
    </cfRule>
  </conditionalFormatting>
  <conditionalFormatting sqref="BI35">
    <cfRule type="containsText" dxfId="1717" priority="2393" operator="containsText" text=" ">
      <formula>NOT(ISERROR(SEARCH(" ",BI35)))</formula>
    </cfRule>
    <cfRule type="containsText" dxfId="1716" priority="2394" operator="containsText" text=" ">
      <formula>NOT(ISERROR(SEARCH(" ",BI35)))</formula>
    </cfRule>
  </conditionalFormatting>
  <conditionalFormatting sqref="CB38">
    <cfRule type="containsText" dxfId="1715" priority="1455" operator="containsText" text=" ">
      <formula>NOT(ISERROR(SEARCH(" ",CB38)))</formula>
    </cfRule>
    <cfRule type="containsText" dxfId="1714" priority="1456" operator="containsText" text=" ">
      <formula>NOT(ISERROR(SEARCH(" ",CB38)))</formula>
    </cfRule>
  </conditionalFormatting>
  <conditionalFormatting sqref="CB39">
    <cfRule type="containsText" dxfId="1713" priority="1453" operator="containsText" text=" ">
      <formula>NOT(ISERROR(SEARCH(" ",CB39)))</formula>
    </cfRule>
    <cfRule type="containsText" dxfId="1712" priority="1454" operator="containsText" text=" ">
      <formula>NOT(ISERROR(SEARCH(" ",CB39)))</formula>
    </cfRule>
  </conditionalFormatting>
  <conditionalFormatting sqref="BZ40">
    <cfRule type="containsText" dxfId="1711" priority="1451" operator="containsText" text=" ">
      <formula>NOT(ISERROR(SEARCH(" ",BZ40)))</formula>
    </cfRule>
    <cfRule type="containsText" dxfId="1710" priority="1452" operator="containsText" text=" ">
      <formula>NOT(ISERROR(SEARCH(" ",BZ40)))</formula>
    </cfRule>
  </conditionalFormatting>
  <conditionalFormatting sqref="BH41">
    <cfRule type="containsText" dxfId="1709" priority="1487" operator="containsText" text=" ">
      <formula>NOT(ISERROR(SEARCH(" ",BH41)))</formula>
    </cfRule>
    <cfRule type="containsText" dxfId="1708" priority="1488" operator="containsText" text=" ">
      <formula>NOT(ISERROR(SEARCH(" ",BH41)))</formula>
    </cfRule>
  </conditionalFormatting>
  <conditionalFormatting sqref="BI41">
    <cfRule type="containsText" dxfId="1707" priority="2387" operator="containsText" text=" ">
      <formula>NOT(ISERROR(SEARCH(" ",BI41)))</formula>
    </cfRule>
    <cfRule type="containsText" dxfId="1706" priority="2388" operator="containsText" text=" ">
      <formula>NOT(ISERROR(SEARCH(" ",BI41)))</formula>
    </cfRule>
  </conditionalFormatting>
  <conditionalFormatting sqref="BJ41:BM41">
    <cfRule type="containsText" dxfId="1705" priority="2319" operator="containsText" text=" ">
      <formula>NOT(ISERROR(SEARCH(" ",BJ41)))</formula>
    </cfRule>
    <cfRule type="containsText" dxfId="1704" priority="2320" operator="containsText" text=" ">
      <formula>NOT(ISERROR(SEARCH(" ",BJ41)))</formula>
    </cfRule>
  </conditionalFormatting>
  <conditionalFormatting sqref="B43">
    <cfRule type="containsText" dxfId="1703" priority="2255" operator="containsText" text=" ">
      <formula>NOT(ISERROR(SEARCH(" ",B43)))</formula>
    </cfRule>
    <cfRule type="containsText" dxfId="1702" priority="2256" operator="containsText" text=" ">
      <formula>NOT(ISERROR(SEARCH(" ",B43)))</formula>
    </cfRule>
  </conditionalFormatting>
  <conditionalFormatting sqref="BH43">
    <cfRule type="containsText" dxfId="1701" priority="1489" operator="containsText" text=" ">
      <formula>NOT(ISERROR(SEARCH(" ",BH43)))</formula>
    </cfRule>
    <cfRule type="containsText" dxfId="1700" priority="1490" operator="containsText" text=" ">
      <formula>NOT(ISERROR(SEARCH(" ",BH43)))</formula>
    </cfRule>
  </conditionalFormatting>
  <conditionalFormatting sqref="B44">
    <cfRule type="containsText" dxfId="1699" priority="2253" operator="containsText" text=" ">
      <formula>NOT(ISERROR(SEARCH(" ",B44)))</formula>
    </cfRule>
    <cfRule type="containsText" dxfId="1698" priority="2254" operator="containsText" text=" ">
      <formula>NOT(ISERROR(SEARCH(" ",B44)))</formula>
    </cfRule>
  </conditionalFormatting>
  <conditionalFormatting sqref="B45">
    <cfRule type="containsText" dxfId="1697" priority="2257" operator="containsText" text=" ">
      <formula>NOT(ISERROR(SEARCH(" ",B45)))</formula>
    </cfRule>
    <cfRule type="containsText" dxfId="1696" priority="2258" operator="containsText" text=" ">
      <formula>NOT(ISERROR(SEARCH(" ",B45)))</formula>
    </cfRule>
  </conditionalFormatting>
  <conditionalFormatting sqref="B46">
    <cfRule type="containsText" dxfId="1695" priority="2265" operator="containsText" text=" ">
      <formula>NOT(ISERROR(SEARCH(" ",B46)))</formula>
    </cfRule>
    <cfRule type="containsText" dxfId="1694" priority="2266" operator="containsText" text=" ">
      <formula>NOT(ISERROR(SEARCH(" ",B46)))</formula>
    </cfRule>
  </conditionalFormatting>
  <conditionalFormatting sqref="BH46">
    <cfRule type="containsText" dxfId="1693" priority="1495" operator="containsText" text=" ">
      <formula>NOT(ISERROR(SEARCH(" ",BH46)))</formula>
    </cfRule>
    <cfRule type="containsText" dxfId="1692" priority="1496" operator="containsText" text=" ">
      <formula>NOT(ISERROR(SEARCH(" ",BH46)))</formula>
    </cfRule>
  </conditionalFormatting>
  <conditionalFormatting sqref="BI46">
    <cfRule type="containsText" dxfId="1691" priority="2395" operator="containsText" text=" ">
      <formula>NOT(ISERROR(SEARCH(" ",BI46)))</formula>
    </cfRule>
    <cfRule type="containsText" dxfId="1690" priority="2396" operator="containsText" text=" ">
      <formula>NOT(ISERROR(SEARCH(" ",BI46)))</formula>
    </cfRule>
  </conditionalFormatting>
  <conditionalFormatting sqref="B47">
    <cfRule type="containsText" dxfId="1689" priority="2259" operator="containsText" text=" ">
      <formula>NOT(ISERROR(SEARCH(" ",B47)))</formula>
    </cfRule>
    <cfRule type="containsText" dxfId="1688" priority="2260" operator="containsText" text=" ">
      <formula>NOT(ISERROR(SEARCH(" ",B47)))</formula>
    </cfRule>
  </conditionalFormatting>
  <conditionalFormatting sqref="BH47">
    <cfRule type="containsText" dxfId="1687" priority="1481" operator="containsText" text=" ">
      <formula>NOT(ISERROR(SEARCH(" ",BH47)))</formula>
    </cfRule>
    <cfRule type="containsText" dxfId="1686" priority="1482" operator="containsText" text=" ">
      <formula>NOT(ISERROR(SEARCH(" ",BH47)))</formula>
    </cfRule>
  </conditionalFormatting>
  <conditionalFormatting sqref="BI47">
    <cfRule type="containsText" dxfId="1685" priority="2415" operator="containsText" text=" ">
      <formula>NOT(ISERROR(SEARCH(" ",BI47)))</formula>
    </cfRule>
    <cfRule type="containsText" dxfId="1684" priority="2416" operator="containsText" text=" ">
      <formula>NOT(ISERROR(SEARCH(" ",BI47)))</formula>
    </cfRule>
  </conditionalFormatting>
  <conditionalFormatting sqref="DR47">
    <cfRule type="colorScale" priority="2090">
      <colorScale>
        <cfvo type="min"/>
        <cfvo type="max"/>
        <color rgb="FFFCFCFF"/>
        <color rgb="FF63BE7B"/>
      </colorScale>
    </cfRule>
    <cfRule type="colorScale" priority="2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47">
    <cfRule type="colorScale" priority="1336">
      <colorScale>
        <cfvo type="min"/>
        <cfvo type="max"/>
        <color rgb="FFFCFCFF"/>
        <color rgb="FF63BE7B"/>
      </colorScale>
    </cfRule>
    <cfRule type="colorScale" priority="13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8">
    <cfRule type="containsText" dxfId="1683" priority="2261" operator="containsText" text=" ">
      <formula>NOT(ISERROR(SEARCH(" ",B48)))</formula>
    </cfRule>
    <cfRule type="containsText" dxfId="1682" priority="2262" operator="containsText" text=" ">
      <formula>NOT(ISERROR(SEARCH(" ",B48)))</formula>
    </cfRule>
  </conditionalFormatting>
  <conditionalFormatting sqref="BH48">
    <cfRule type="containsText" dxfId="1681" priority="1497" operator="containsText" text=" ">
      <formula>NOT(ISERROR(SEARCH(" ",BH48)))</formula>
    </cfRule>
    <cfRule type="containsText" dxfId="1680" priority="1498" operator="containsText" text=" ">
      <formula>NOT(ISERROR(SEARCH(" ",BH48)))</formula>
    </cfRule>
  </conditionalFormatting>
  <conditionalFormatting sqref="BI48">
    <cfRule type="containsText" dxfId="1679" priority="2397" operator="containsText" text=" ">
      <formula>NOT(ISERROR(SEARCH(" ",BI48)))</formula>
    </cfRule>
    <cfRule type="containsText" dxfId="1678" priority="2398" operator="containsText" text=" ">
      <formula>NOT(ISERROR(SEARCH(" ",BI48)))</formula>
    </cfRule>
  </conditionalFormatting>
  <conditionalFormatting sqref="N49">
    <cfRule type="containsText" dxfId="1677" priority="2351" operator="containsText" text=" ">
      <formula>NOT(ISERROR(SEARCH(" ",N49)))</formula>
    </cfRule>
    <cfRule type="containsText" dxfId="1676" priority="2352" operator="containsText" text=" ">
      <formula>NOT(ISERROR(SEARCH(" ",N49)))</formula>
    </cfRule>
  </conditionalFormatting>
  <conditionalFormatting sqref="AO49">
    <cfRule type="cellIs" dxfId="1675" priority="2344" operator="greaterThan">
      <formula>1</formula>
    </cfRule>
    <cfRule type="containsText" dxfId="1674" priority="2345" operator="containsText" text=" ">
      <formula>NOT(ISERROR(SEARCH(" ",AO49)))</formula>
    </cfRule>
    <cfRule type="containsText" dxfId="1673" priority="2346" operator="containsText" text=" ">
      <formula>NOT(ISERROR(SEARCH(" ",AO49)))</formula>
    </cfRule>
  </conditionalFormatting>
  <conditionalFormatting sqref="AQ49:AS49">
    <cfRule type="containsText" dxfId="1672" priority="2363" operator="containsText" text=" ">
      <formula>NOT(ISERROR(SEARCH(" ",AQ49)))</formula>
    </cfRule>
    <cfRule type="containsText" dxfId="1671" priority="2364" operator="containsText" text=" ">
      <formula>NOT(ISERROR(SEARCH(" ",AQ49)))</formula>
    </cfRule>
  </conditionalFormatting>
  <conditionalFormatting sqref="AW49">
    <cfRule type="containsText" dxfId="1670" priority="2347" operator="containsText" text=" ">
      <formula>NOT(ISERROR(SEARCH(" ",AW49)))</formula>
    </cfRule>
    <cfRule type="containsText" dxfId="1669" priority="2348" operator="containsText" text=" ">
      <formula>NOT(ISERROR(SEARCH(" ",AW49)))</formula>
    </cfRule>
  </conditionalFormatting>
  <conditionalFormatting sqref="AX49">
    <cfRule type="containsText" dxfId="1668" priority="2339" operator="containsText" text=" ">
      <formula>NOT(ISERROR(SEARCH(" ",AX49)))</formula>
    </cfRule>
    <cfRule type="containsText" dxfId="1667" priority="2340" operator="containsText" text=" ">
      <formula>NOT(ISERROR(SEARCH(" ",AX49)))</formula>
    </cfRule>
  </conditionalFormatting>
  <conditionalFormatting sqref="BC49">
    <cfRule type="containsText" dxfId="1666" priority="2349" operator="containsText" text=" ">
      <formula>NOT(ISERROR(SEARCH(" ",BC49)))</formula>
    </cfRule>
    <cfRule type="containsText" dxfId="1665" priority="2350" operator="containsText" text=" ">
      <formula>NOT(ISERROR(SEARCH(" ",BC49)))</formula>
    </cfRule>
  </conditionalFormatting>
  <conditionalFormatting sqref="BH49">
    <cfRule type="containsText" dxfId="1664" priority="1483" operator="containsText" text=" ">
      <formula>NOT(ISERROR(SEARCH(" ",BH49)))</formula>
    </cfRule>
    <cfRule type="containsText" dxfId="1663" priority="1484" operator="containsText" text=" ">
      <formula>NOT(ISERROR(SEARCH(" ",BH49)))</formula>
    </cfRule>
  </conditionalFormatting>
  <conditionalFormatting sqref="BP49">
    <cfRule type="cellIs" dxfId="1662" priority="2361" operator="equal">
      <formula>"是"</formula>
    </cfRule>
    <cfRule type="cellIs" dxfId="1661" priority="2362" operator="equal">
      <formula>"否"</formula>
    </cfRule>
  </conditionalFormatting>
  <conditionalFormatting sqref="B50">
    <cfRule type="containsText" dxfId="1660" priority="2249" operator="containsText" text=" ">
      <formula>NOT(ISERROR(SEARCH(" ",B50)))</formula>
    </cfRule>
    <cfRule type="containsText" dxfId="1659" priority="2250" operator="containsText" text=" ">
      <formula>NOT(ISERROR(SEARCH(" ",B50)))</formula>
    </cfRule>
  </conditionalFormatting>
  <conditionalFormatting sqref="E50">
    <cfRule type="containsText" dxfId="1658" priority="2227" operator="containsText" text=" ">
      <formula>NOT(ISERROR(SEARCH(" ",E50)))</formula>
    </cfRule>
    <cfRule type="containsText" dxfId="1657" priority="2228" operator="containsText" text=" ">
      <formula>NOT(ISERROR(SEARCH(" ",E50)))</formula>
    </cfRule>
  </conditionalFormatting>
  <conditionalFormatting sqref="B51">
    <cfRule type="containsText" dxfId="1656" priority="2243" operator="containsText" text=" ">
      <formula>NOT(ISERROR(SEARCH(" ",B51)))</formula>
    </cfRule>
    <cfRule type="containsText" dxfId="1655" priority="2244" operator="containsText" text=" ">
      <formula>NOT(ISERROR(SEARCH(" ",B51)))</formula>
    </cfRule>
  </conditionalFormatting>
  <conditionalFormatting sqref="E51">
    <cfRule type="containsText" dxfId="1654" priority="2223" operator="containsText" text=" ">
      <formula>NOT(ISERROR(SEARCH(" ",E51)))</formula>
    </cfRule>
    <cfRule type="containsText" dxfId="1653" priority="2224" operator="containsText" text=" ">
      <formula>NOT(ISERROR(SEARCH(" ",E51)))</formula>
    </cfRule>
  </conditionalFormatting>
  <conditionalFormatting sqref="BH51">
    <cfRule type="containsText" dxfId="1652" priority="1511" operator="containsText" text=" ">
      <formula>NOT(ISERROR(SEARCH(" ",BH51)))</formula>
    </cfRule>
    <cfRule type="containsText" dxfId="1651" priority="1512" operator="containsText" text=" ">
      <formula>NOT(ISERROR(SEARCH(" ",BH51)))</formula>
    </cfRule>
  </conditionalFormatting>
  <conditionalFormatting sqref="BI51:BM51">
    <cfRule type="containsText" dxfId="1650" priority="2411" operator="containsText" text=" ">
      <formula>NOT(ISERROR(SEARCH(" ",BI51)))</formula>
    </cfRule>
    <cfRule type="containsText" dxfId="1649" priority="2412" operator="containsText" text=" ">
      <formula>NOT(ISERROR(SEARCH(" ",BI51)))</formula>
    </cfRule>
  </conditionalFormatting>
  <conditionalFormatting sqref="B52">
    <cfRule type="containsText" dxfId="1648" priority="2247" operator="containsText" text=" ">
      <formula>NOT(ISERROR(SEARCH(" ",B52)))</formula>
    </cfRule>
    <cfRule type="containsText" dxfId="1647" priority="2248" operator="containsText" text=" ">
      <formula>NOT(ISERROR(SEARCH(" ",B52)))</formula>
    </cfRule>
  </conditionalFormatting>
  <conditionalFormatting sqref="E52">
    <cfRule type="containsText" dxfId="1646" priority="2225" operator="containsText" text=" ">
      <formula>NOT(ISERROR(SEARCH(" ",E52)))</formula>
    </cfRule>
    <cfRule type="containsText" dxfId="1645" priority="2226" operator="containsText" text=" ">
      <formula>NOT(ISERROR(SEARCH(" ",E52)))</formula>
    </cfRule>
  </conditionalFormatting>
  <conditionalFormatting sqref="BH52">
    <cfRule type="containsText" dxfId="1644" priority="1515" operator="containsText" text=" ">
      <formula>NOT(ISERROR(SEARCH(" ",BH52)))</formula>
    </cfRule>
    <cfRule type="containsText" dxfId="1643" priority="1516" operator="containsText" text=" ">
      <formula>NOT(ISERROR(SEARCH(" ",BH52)))</formula>
    </cfRule>
  </conditionalFormatting>
  <conditionalFormatting sqref="BI52">
    <cfRule type="containsText" dxfId="1642" priority="129" operator="containsText" text=" ">
      <formula>NOT(ISERROR(SEARCH(" ",BI52)))</formula>
    </cfRule>
    <cfRule type="containsText" dxfId="1641" priority="130" operator="containsText" text=" ">
      <formula>NOT(ISERROR(SEARCH(" ",BI52)))</formula>
    </cfRule>
  </conditionalFormatting>
  <conditionalFormatting sqref="BJ52:BM52">
    <cfRule type="containsText" dxfId="1640" priority="2419" operator="containsText" text=" ">
      <formula>NOT(ISERROR(SEARCH(" ",BJ52)))</formula>
    </cfRule>
    <cfRule type="containsText" dxfId="1639" priority="2420" operator="containsText" text=" ">
      <formula>NOT(ISERROR(SEARCH(" ",BJ52)))</formula>
    </cfRule>
  </conditionalFormatting>
  <conditionalFormatting sqref="B53">
    <cfRule type="containsText" dxfId="1638" priority="2245" operator="containsText" text=" ">
      <formula>NOT(ISERROR(SEARCH(" ",B53)))</formula>
    </cfRule>
    <cfRule type="containsText" dxfId="1637" priority="2246" operator="containsText" text=" ">
      <formula>NOT(ISERROR(SEARCH(" ",B53)))</formula>
    </cfRule>
  </conditionalFormatting>
  <conditionalFormatting sqref="C53:D53">
    <cfRule type="containsText" dxfId="1636" priority="2726" operator="containsText" text=" ">
      <formula>NOT(ISERROR(SEARCH(" ",C53)))</formula>
    </cfRule>
    <cfRule type="containsText" dxfId="1635" priority="2727" operator="containsText" text=" ">
      <formula>NOT(ISERROR(SEARCH(" ",C53)))</formula>
    </cfRule>
  </conditionalFormatting>
  <conditionalFormatting sqref="E53">
    <cfRule type="containsText" dxfId="1634" priority="2300" operator="containsText" text=" ">
      <formula>NOT(ISERROR(SEARCH(" ",E53)))</formula>
    </cfRule>
    <cfRule type="containsText" dxfId="1633" priority="2301" operator="containsText" text=" ">
      <formula>NOT(ISERROR(SEARCH(" ",E53)))</formula>
    </cfRule>
  </conditionalFormatting>
  <conditionalFormatting sqref="BH53">
    <cfRule type="containsText" dxfId="1632" priority="1503" operator="containsText" text=" ">
      <formula>NOT(ISERROR(SEARCH(" ",BH53)))</formula>
    </cfRule>
    <cfRule type="containsText" dxfId="1631" priority="1504" operator="containsText" text=" ">
      <formula>NOT(ISERROR(SEARCH(" ",BH53)))</formula>
    </cfRule>
  </conditionalFormatting>
  <conditionalFormatting sqref="BI53:BM53">
    <cfRule type="containsText" dxfId="1630" priority="2403" operator="containsText" text=" ">
      <formula>NOT(ISERROR(SEARCH(" ",BI53)))</formula>
    </cfRule>
    <cfRule type="containsText" dxfId="1629" priority="2404" operator="containsText" text=" ">
      <formula>NOT(ISERROR(SEARCH(" ",BI53)))</formula>
    </cfRule>
  </conditionalFormatting>
  <conditionalFormatting sqref="D54">
    <cfRule type="containsText" dxfId="1628" priority="1430" operator="containsText" text=" ">
      <formula>NOT(ISERROR(SEARCH(" ",D54)))</formula>
    </cfRule>
    <cfRule type="containsText" dxfId="1627" priority="1431" operator="containsText" text=" ">
      <formula>NOT(ISERROR(SEARCH(" ",D54)))</formula>
    </cfRule>
  </conditionalFormatting>
  <conditionalFormatting sqref="E54">
    <cfRule type="containsText" dxfId="1626" priority="1391" operator="containsText" text=" ">
      <formula>NOT(ISERROR(SEARCH(" ",E54)))</formula>
    </cfRule>
    <cfRule type="containsText" dxfId="1625" priority="1392" operator="containsText" text=" ">
      <formula>NOT(ISERROR(SEARCH(" ",E54)))</formula>
    </cfRule>
  </conditionalFormatting>
  <conditionalFormatting sqref="F54">
    <cfRule type="containsText" dxfId="1624" priority="161" operator="containsText" text=" ">
      <formula>NOT(ISERROR(SEARCH(" ",F54)))</formula>
    </cfRule>
    <cfRule type="containsText" dxfId="1623" priority="162" operator="containsText" text=" ">
      <formula>NOT(ISERROR(SEARCH(" ",F54)))</formula>
    </cfRule>
  </conditionalFormatting>
  <conditionalFormatting sqref="G54">
    <cfRule type="containsText" dxfId="1622" priority="1404" operator="containsText" text=" ">
      <formula>NOT(ISERROR(SEARCH(" ",G54)))</formula>
    </cfRule>
    <cfRule type="containsText" dxfId="1621" priority="1405" operator="containsText" text=" ">
      <formula>NOT(ISERROR(SEARCH(" ",G54)))</formula>
    </cfRule>
  </conditionalFormatting>
  <conditionalFormatting sqref="N54">
    <cfRule type="containsText" dxfId="1620" priority="1422" operator="containsText" text=" ">
      <formula>NOT(ISERROR(SEARCH(" ",N54)))</formula>
    </cfRule>
    <cfRule type="containsText" dxfId="1619" priority="1423" operator="containsText" text=" ">
      <formula>NOT(ISERROR(SEARCH(" ",N54)))</formula>
    </cfRule>
  </conditionalFormatting>
  <conditionalFormatting sqref="R54">
    <cfRule type="colorScale" priority="1394">
      <colorScale>
        <cfvo type="min"/>
        <cfvo type="max"/>
        <color rgb="FFFCFCFF"/>
        <color rgb="FF63BE7B"/>
      </colorScale>
    </cfRule>
    <cfRule type="colorScale" priority="1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54">
    <cfRule type="cellIs" dxfId="1618" priority="1410" operator="greaterThan">
      <formula>1</formula>
    </cfRule>
    <cfRule type="containsText" dxfId="1617" priority="1411" operator="containsText" text=" ">
      <formula>NOT(ISERROR(SEARCH(" ",Y54)))</formula>
    </cfRule>
    <cfRule type="containsText" dxfId="1616" priority="1412" operator="containsText" text=" ">
      <formula>NOT(ISERROR(SEARCH(" ",Y54)))</formula>
    </cfRule>
  </conditionalFormatting>
  <conditionalFormatting sqref="Z54:AC54">
    <cfRule type="cellIs" dxfId="1615" priority="1396" operator="equal">
      <formula>0</formula>
    </cfRule>
    <cfRule type="cellIs" dxfId="1614" priority="1397" operator="greaterThan">
      <formula>1</formula>
    </cfRule>
    <cfRule type="containsText" dxfId="1613" priority="1398" operator="containsText" text=" ">
      <formula>NOT(ISERROR(SEARCH(" ",Z54)))</formula>
    </cfRule>
    <cfRule type="containsText" dxfId="1612" priority="1399" operator="containsText" text=" ">
      <formula>NOT(ISERROR(SEARCH(" ",Z54)))</formula>
    </cfRule>
  </conditionalFormatting>
  <conditionalFormatting sqref="AO54">
    <cfRule type="cellIs" dxfId="1611" priority="1413" operator="greaterThan">
      <formula>1</formula>
    </cfRule>
    <cfRule type="containsText" dxfId="1610" priority="1414" operator="containsText" text=" ">
      <formula>NOT(ISERROR(SEARCH(" ",AO54)))</formula>
    </cfRule>
    <cfRule type="containsText" dxfId="1609" priority="1415" operator="containsText" text=" ">
      <formula>NOT(ISERROR(SEARCH(" ",AO54)))</formula>
    </cfRule>
  </conditionalFormatting>
  <conditionalFormatting sqref="AT54">
    <cfRule type="containsText" dxfId="1608" priority="1428" operator="containsText" text=" ">
      <formula>NOT(ISERROR(SEARCH(" ",AT54)))</formula>
    </cfRule>
    <cfRule type="containsText" dxfId="1607" priority="1429" operator="containsText" text=" ">
      <formula>NOT(ISERROR(SEARCH(" ",AT54)))</formula>
    </cfRule>
  </conditionalFormatting>
  <conditionalFormatting sqref="AX54:AY54">
    <cfRule type="containsText" dxfId="1606" priority="1408" operator="containsText" text=" ">
      <formula>NOT(ISERROR(SEARCH(" ",AX54)))</formula>
    </cfRule>
    <cfRule type="containsText" dxfId="1605" priority="1409" operator="containsText" text=" ">
      <formula>NOT(ISERROR(SEARCH(" ",AX54)))</formula>
    </cfRule>
  </conditionalFormatting>
  <conditionalFormatting sqref="AZ54:BA54">
    <cfRule type="containsText" dxfId="1604" priority="1416" operator="containsText" text=" ">
      <formula>NOT(ISERROR(SEARCH(" ",AZ54)))</formula>
    </cfRule>
    <cfRule type="containsText" dxfId="1603" priority="1417" operator="containsText" text=" ">
      <formula>NOT(ISERROR(SEARCH(" ",AZ54)))</formula>
    </cfRule>
  </conditionalFormatting>
  <conditionalFormatting sqref="BB54">
    <cfRule type="containsText" dxfId="1602" priority="1426" operator="containsText" text=" ">
      <formula>NOT(ISERROR(SEARCH(" ",BB54)))</formula>
    </cfRule>
    <cfRule type="containsText" dxfId="1601" priority="1427" operator="containsText" text=" ">
      <formula>NOT(ISERROR(SEARCH(" ",BB54)))</formula>
    </cfRule>
  </conditionalFormatting>
  <conditionalFormatting sqref="BC54:BE54">
    <cfRule type="containsText" dxfId="1600" priority="1420" operator="containsText" text=" ">
      <formula>NOT(ISERROR(SEARCH(" ",BC54)))</formula>
    </cfRule>
    <cfRule type="containsText" dxfId="1599" priority="1421" operator="containsText" text=" ">
      <formula>NOT(ISERROR(SEARCH(" ",BC54)))</formula>
    </cfRule>
  </conditionalFormatting>
  <conditionalFormatting sqref="BH54">
    <cfRule type="containsText" dxfId="1598" priority="1389" operator="containsText" text=" ">
      <formula>NOT(ISERROR(SEARCH(" ",BH54)))</formula>
    </cfRule>
    <cfRule type="containsText" dxfId="1597" priority="1390" operator="containsText" text=" ">
      <formula>NOT(ISERROR(SEARCH(" ",BH54)))</formula>
    </cfRule>
  </conditionalFormatting>
  <conditionalFormatting sqref="BI54:BM54">
    <cfRule type="containsText" dxfId="1596" priority="1400" operator="containsText" text=" ">
      <formula>NOT(ISERROR(SEARCH(" ",BI54)))</formula>
    </cfRule>
    <cfRule type="containsText" dxfId="1595" priority="1401" operator="containsText" text=" ">
      <formula>NOT(ISERROR(SEARCH(" ",BI54)))</formula>
    </cfRule>
  </conditionalFormatting>
  <conditionalFormatting sqref="D55">
    <cfRule type="containsText" dxfId="1594" priority="2736" operator="containsText" text=" ">
      <formula>NOT(ISERROR(SEARCH(" ",D55)))</formula>
    </cfRule>
    <cfRule type="containsText" dxfId="1593" priority="2737" operator="containsText" text=" ">
      <formula>NOT(ISERROR(SEARCH(" ",D55)))</formula>
    </cfRule>
  </conditionalFormatting>
  <conditionalFormatting sqref="E55">
    <cfRule type="containsText" dxfId="1592" priority="2640" operator="containsText" text=" ">
      <formula>NOT(ISERROR(SEARCH(" ",E55)))</formula>
    </cfRule>
    <cfRule type="containsText" dxfId="1591" priority="2641" operator="containsText" text=" ">
      <formula>NOT(ISERROR(SEARCH(" ",E55)))</formula>
    </cfRule>
  </conditionalFormatting>
  <conditionalFormatting sqref="D56">
    <cfRule type="containsText" dxfId="1590" priority="2734" operator="containsText" text=" ">
      <formula>NOT(ISERROR(SEARCH(" ",D56)))</formula>
    </cfRule>
    <cfRule type="containsText" dxfId="1589" priority="2735" operator="containsText" text=" ">
      <formula>NOT(ISERROR(SEARCH(" ",D56)))</formula>
    </cfRule>
  </conditionalFormatting>
  <conditionalFormatting sqref="E56">
    <cfRule type="containsText" dxfId="1588" priority="2638" operator="containsText" text=" ">
      <formula>NOT(ISERROR(SEARCH(" ",E56)))</formula>
    </cfRule>
    <cfRule type="containsText" dxfId="1587" priority="2639" operator="containsText" text=" ">
      <formula>NOT(ISERROR(SEARCH(" ",E56)))</formula>
    </cfRule>
  </conditionalFormatting>
  <conditionalFormatting sqref="BH56">
    <cfRule type="containsText" dxfId="1586" priority="1507" operator="containsText" text=" ">
      <formula>NOT(ISERROR(SEARCH(" ",BH56)))</formula>
    </cfRule>
    <cfRule type="containsText" dxfId="1585" priority="1508" operator="containsText" text=" ">
      <formula>NOT(ISERROR(SEARCH(" ",BH56)))</formula>
    </cfRule>
  </conditionalFormatting>
  <conditionalFormatting sqref="BI56:BM56">
    <cfRule type="containsText" dxfId="1584" priority="2407" operator="containsText" text=" ">
      <formula>NOT(ISERROR(SEARCH(" ",BI56)))</formula>
    </cfRule>
    <cfRule type="containsText" dxfId="1583" priority="2408" operator="containsText" text=" ">
      <formula>NOT(ISERROR(SEARCH(" ",BI56)))</formula>
    </cfRule>
  </conditionalFormatting>
  <conditionalFormatting sqref="C57">
    <cfRule type="containsText" dxfId="1582" priority="2718" operator="containsText" text=" ">
      <formula>NOT(ISERROR(SEARCH(" ",C57)))</formula>
    </cfRule>
    <cfRule type="containsText" dxfId="1581" priority="2719" operator="containsText" text=" ">
      <formula>NOT(ISERROR(SEARCH(" ",C57)))</formula>
    </cfRule>
  </conditionalFormatting>
  <conditionalFormatting sqref="D57">
    <cfRule type="containsText" dxfId="1580" priority="2716" operator="containsText" text=" ">
      <formula>NOT(ISERROR(SEARCH(" ",D57)))</formula>
    </cfRule>
    <cfRule type="containsText" dxfId="1579" priority="2717" operator="containsText" text=" ">
      <formula>NOT(ISERROR(SEARCH(" ",D57)))</formula>
    </cfRule>
  </conditionalFormatting>
  <conditionalFormatting sqref="E57">
    <cfRule type="containsText" dxfId="1578" priority="2632" operator="containsText" text=" ">
      <formula>NOT(ISERROR(SEARCH(" ",E57)))</formula>
    </cfRule>
    <cfRule type="containsText" dxfId="1577" priority="2633" operator="containsText" text=" ">
      <formula>NOT(ISERROR(SEARCH(" ",E57)))</formula>
    </cfRule>
  </conditionalFormatting>
  <conditionalFormatting sqref="BH57">
    <cfRule type="containsText" dxfId="1576" priority="1499" operator="containsText" text=" ">
      <formula>NOT(ISERROR(SEARCH(" ",BH57)))</formula>
    </cfRule>
    <cfRule type="containsText" dxfId="1575" priority="1500" operator="containsText" text=" ">
      <formula>NOT(ISERROR(SEARCH(" ",BH57)))</formula>
    </cfRule>
  </conditionalFormatting>
  <conditionalFormatting sqref="BI57:BM57">
    <cfRule type="containsText" dxfId="1574" priority="2399" operator="containsText" text=" ">
      <formula>NOT(ISERROR(SEARCH(" ",BI57)))</formula>
    </cfRule>
    <cfRule type="containsText" dxfId="1573" priority="2400" operator="containsText" text=" ">
      <formula>NOT(ISERROR(SEARCH(" ",BI57)))</formula>
    </cfRule>
  </conditionalFormatting>
  <conditionalFormatting sqref="AS58">
    <cfRule type="containsText" dxfId="1572" priority="2497" operator="containsText" text=" ">
      <formula>NOT(ISERROR(SEARCH(" ",AS58)))</formula>
    </cfRule>
    <cfRule type="containsText" dxfId="1571" priority="2498" operator="containsText" text=" ">
      <formula>NOT(ISERROR(SEARCH(" ",AS58)))</formula>
    </cfRule>
  </conditionalFormatting>
  <conditionalFormatting sqref="BI58:BM58">
    <cfRule type="containsText" dxfId="1570" priority="2385" operator="containsText" text=" ">
      <formula>NOT(ISERROR(SEARCH(" ",BI58)))</formula>
    </cfRule>
    <cfRule type="containsText" dxfId="1569" priority="2386" operator="containsText" text=" ">
      <formula>NOT(ISERROR(SEARCH(" ",BI58)))</formula>
    </cfRule>
  </conditionalFormatting>
  <conditionalFormatting sqref="AS59">
    <cfRule type="containsText" dxfId="1568" priority="2503" operator="containsText" text=" ">
      <formula>NOT(ISERROR(SEARCH(" ",AS59)))</formula>
    </cfRule>
    <cfRule type="containsText" dxfId="1567" priority="2504" operator="containsText" text=" ">
      <formula>NOT(ISERROR(SEARCH(" ",AS59)))</formula>
    </cfRule>
  </conditionalFormatting>
  <conditionalFormatting sqref="BI59:BM59">
    <cfRule type="containsText" dxfId="1566" priority="2383" operator="containsText" text=" ">
      <formula>NOT(ISERROR(SEARCH(" ",BI59)))</formula>
    </cfRule>
    <cfRule type="containsText" dxfId="1565" priority="2384" operator="containsText" text=" ">
      <formula>NOT(ISERROR(SEARCH(" ",BI59)))</formula>
    </cfRule>
  </conditionalFormatting>
  <conditionalFormatting sqref="AS60">
    <cfRule type="containsText" dxfId="1564" priority="2501" operator="containsText" text=" ">
      <formula>NOT(ISERROR(SEARCH(" ",AS60)))</formula>
    </cfRule>
    <cfRule type="containsText" dxfId="1563" priority="2502" operator="containsText" text=" ">
      <formula>NOT(ISERROR(SEARCH(" ",AS60)))</formula>
    </cfRule>
  </conditionalFormatting>
  <conditionalFormatting sqref="BG60">
    <cfRule type="containsText" dxfId="1562" priority="1473" operator="containsText" text=" ">
      <formula>NOT(ISERROR(SEARCH(" ",BG60)))</formula>
    </cfRule>
    <cfRule type="containsText" dxfId="1561" priority="1474" operator="containsText" text=" ">
      <formula>NOT(ISERROR(SEARCH(" ",BG60)))</formula>
    </cfRule>
  </conditionalFormatting>
  <conditionalFormatting sqref="BI60:BM60">
    <cfRule type="containsText" dxfId="1560" priority="2381" operator="containsText" text=" ">
      <formula>NOT(ISERROR(SEARCH(" ",BI60)))</formula>
    </cfRule>
    <cfRule type="containsText" dxfId="1559" priority="2382" operator="containsText" text=" ">
      <formula>NOT(ISERROR(SEARCH(" ",BI60)))</formula>
    </cfRule>
  </conditionalFormatting>
  <conditionalFormatting sqref="AS61">
    <cfRule type="containsText" dxfId="1558" priority="2499" operator="containsText" text=" ">
      <formula>NOT(ISERROR(SEARCH(" ",AS61)))</formula>
    </cfRule>
    <cfRule type="containsText" dxfId="1557" priority="2500" operator="containsText" text=" ">
      <formula>NOT(ISERROR(SEARCH(" ",AS61)))</formula>
    </cfRule>
  </conditionalFormatting>
  <conditionalFormatting sqref="BG61">
    <cfRule type="containsText" dxfId="1556" priority="1479" operator="containsText" text=" ">
      <formula>NOT(ISERROR(SEARCH(" ",BG61)))</formula>
    </cfRule>
    <cfRule type="containsText" dxfId="1555" priority="1480" operator="containsText" text=" ">
      <formula>NOT(ISERROR(SEARCH(" ",BG61)))</formula>
    </cfRule>
  </conditionalFormatting>
  <conditionalFormatting sqref="BI61:BM61">
    <cfRule type="containsText" dxfId="1554" priority="2379" operator="containsText" text=" ">
      <formula>NOT(ISERROR(SEARCH(" ",BI61)))</formula>
    </cfRule>
    <cfRule type="containsText" dxfId="1553" priority="2380" operator="containsText" text=" ">
      <formula>NOT(ISERROR(SEARCH(" ",BI61)))</formula>
    </cfRule>
  </conditionalFormatting>
  <conditionalFormatting sqref="AS62">
    <cfRule type="containsText" dxfId="1552" priority="1780" operator="containsText" text=" ">
      <formula>NOT(ISERROR(SEARCH(" ",AS62)))</formula>
    </cfRule>
    <cfRule type="containsText" dxfId="1551" priority="1781" operator="containsText" text=" ">
      <formula>NOT(ISERROR(SEARCH(" ",AS62)))</formula>
    </cfRule>
  </conditionalFormatting>
  <conditionalFormatting sqref="BG62">
    <cfRule type="containsText" dxfId="1550" priority="1475" operator="containsText" text=" ">
      <formula>NOT(ISERROR(SEARCH(" ",BG62)))</formula>
    </cfRule>
    <cfRule type="containsText" dxfId="1549" priority="1476" operator="containsText" text=" ">
      <formula>NOT(ISERROR(SEARCH(" ",BG62)))</formula>
    </cfRule>
  </conditionalFormatting>
  <conditionalFormatting sqref="BI62:BM62">
    <cfRule type="containsText" dxfId="1548" priority="1756" operator="containsText" text=" ">
      <formula>NOT(ISERROR(SEARCH(" ",BI62)))</formula>
    </cfRule>
    <cfRule type="containsText" dxfId="1547" priority="1757" operator="containsText" text=" ">
      <formula>NOT(ISERROR(SEARCH(" ",BI62)))</formula>
    </cfRule>
  </conditionalFormatting>
  <conditionalFormatting sqref="AS63">
    <cfRule type="containsText" dxfId="1546" priority="1778" operator="containsText" text=" ">
      <formula>NOT(ISERROR(SEARCH(" ",AS63)))</formula>
    </cfRule>
    <cfRule type="containsText" dxfId="1545" priority="1779" operator="containsText" text=" ">
      <formula>NOT(ISERROR(SEARCH(" ",AS63)))</formula>
    </cfRule>
  </conditionalFormatting>
  <conditionalFormatting sqref="BG63">
    <cfRule type="containsText" dxfId="1544" priority="1477" operator="containsText" text=" ">
      <formula>NOT(ISERROR(SEARCH(" ",BG63)))</formula>
    </cfRule>
    <cfRule type="containsText" dxfId="1543" priority="1478" operator="containsText" text=" ">
      <formula>NOT(ISERROR(SEARCH(" ",BG63)))</formula>
    </cfRule>
  </conditionalFormatting>
  <conditionalFormatting sqref="BI63:BM63">
    <cfRule type="containsText" dxfId="1542" priority="1754" operator="containsText" text=" ">
      <formula>NOT(ISERROR(SEARCH(" ",BI63)))</formula>
    </cfRule>
    <cfRule type="containsText" dxfId="1541" priority="1755" operator="containsText" text=" ">
      <formula>NOT(ISERROR(SEARCH(" ",BI63)))</formula>
    </cfRule>
  </conditionalFormatting>
  <conditionalFormatting sqref="AS64">
    <cfRule type="containsText" dxfId="1540" priority="1776" operator="containsText" text=" ">
      <formula>NOT(ISERROR(SEARCH(" ",AS64)))</formula>
    </cfRule>
    <cfRule type="containsText" dxfId="1539" priority="1777" operator="containsText" text=" ">
      <formula>NOT(ISERROR(SEARCH(" ",AS64)))</formula>
    </cfRule>
  </conditionalFormatting>
  <conditionalFormatting sqref="BG64">
    <cfRule type="containsText" dxfId="1538" priority="1571" operator="containsText" text=" ">
      <formula>NOT(ISERROR(SEARCH(" ",BG64)))</formula>
    </cfRule>
    <cfRule type="containsText" dxfId="1537" priority="1572" operator="containsText" text=" ">
      <formula>NOT(ISERROR(SEARCH(" ",BG64)))</formula>
    </cfRule>
  </conditionalFormatting>
  <conditionalFormatting sqref="BI64:BM64">
    <cfRule type="containsText" dxfId="1536" priority="1752" operator="containsText" text=" ">
      <formula>NOT(ISERROR(SEARCH(" ",BI64)))</formula>
    </cfRule>
    <cfRule type="containsText" dxfId="1535" priority="1753" operator="containsText" text=" ">
      <formula>NOT(ISERROR(SEARCH(" ",BI64)))</formula>
    </cfRule>
  </conditionalFormatting>
  <conditionalFormatting sqref="B13:B14">
    <cfRule type="containsText" dxfId="1534" priority="2732" operator="containsText" text=" ">
      <formula>NOT(ISERROR(SEARCH(" ",B13)))</formula>
    </cfRule>
    <cfRule type="containsText" dxfId="1533" priority="2733" operator="containsText" text=" ">
      <formula>NOT(ISERROR(SEARCH(" ",B13)))</formula>
    </cfRule>
  </conditionalFormatting>
  <conditionalFormatting sqref="B36:B40">
    <cfRule type="cellIs" dxfId="1532" priority="2239" operator="equal">
      <formula>" "</formula>
    </cfRule>
    <cfRule type="containsText" dxfId="1531" priority="2240" operator="containsText" text=" ">
      <formula>NOT(ISERROR(SEARCH(" ",B36)))</formula>
    </cfRule>
    <cfRule type="containsText" dxfId="1530" priority="2241" operator="containsText" text=" ">
      <formula>NOT(ISERROR(SEARCH(" ",B36)))</formula>
    </cfRule>
  </conditionalFormatting>
  <conditionalFormatting sqref="B62:B64">
    <cfRule type="cellIs" dxfId="1529" priority="1722" operator="equal">
      <formula>" "</formula>
    </cfRule>
  </conditionalFormatting>
  <conditionalFormatting sqref="E58:E61">
    <cfRule type="containsText" dxfId="1528" priority="2549" operator="containsText" text=" ">
      <formula>NOT(ISERROR(SEARCH(" ",E58)))</formula>
    </cfRule>
    <cfRule type="containsText" dxfId="1527" priority="2550" operator="containsText" text=" ">
      <formula>NOT(ISERROR(SEARCH(" ",E58)))</formula>
    </cfRule>
  </conditionalFormatting>
  <conditionalFormatting sqref="E62:E64">
    <cfRule type="containsText" dxfId="1526" priority="1790" operator="containsText" text=" ">
      <formula>NOT(ISERROR(SEARCH(" ",E62)))</formula>
    </cfRule>
    <cfRule type="containsText" dxfId="1525" priority="1791" operator="containsText" text=" ">
      <formula>NOT(ISERROR(SEARCH(" ",E62)))</formula>
    </cfRule>
  </conditionalFormatting>
  <conditionalFormatting sqref="F62:F64">
    <cfRule type="containsText" dxfId="1524" priority="1762" operator="containsText" text=" ">
      <formula>NOT(ISERROR(SEARCH(" ",F62)))</formula>
    </cfRule>
    <cfRule type="containsText" dxfId="1523" priority="1763" operator="containsText" text=" ">
      <formula>NOT(ISERROR(SEARCH(" ",F62)))</formula>
    </cfRule>
  </conditionalFormatting>
  <conditionalFormatting sqref="N62:N64">
    <cfRule type="containsText" dxfId="1522" priority="1802" operator="containsText" text=" ">
      <formula>NOT(ISERROR(SEARCH(" ",N62)))</formula>
    </cfRule>
    <cfRule type="containsText" dxfId="1521" priority="1803" operator="containsText" text=" ">
      <formula>NOT(ISERROR(SEARCH(" ",N62)))</formula>
    </cfRule>
  </conditionalFormatting>
  <conditionalFormatting sqref="R62:R64">
    <cfRule type="colorScale" priority="1726">
      <colorScale>
        <cfvo type="min"/>
        <cfvo type="max"/>
        <color rgb="FFFCFCFF"/>
        <color rgb="FF63BE7B"/>
      </colorScale>
    </cfRule>
    <cfRule type="colorScale" priority="1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:T2">
    <cfRule type="containsText" dxfId="1520" priority="1817" operator="containsText" text=" ">
      <formula>NOT(ISERROR(SEARCH(" ",T1)))</formula>
    </cfRule>
    <cfRule type="containsText" dxfId="1519" priority="1818" operator="containsText" text=" ">
      <formula>NOT(ISERROR(SEARCH(" ",T1)))</formula>
    </cfRule>
  </conditionalFormatting>
  <conditionalFormatting sqref="W1:W2">
    <cfRule type="containsText" dxfId="1518" priority="919" operator="containsText" text=" ">
      <formula>NOT(ISERROR(SEARCH(" ",W1)))</formula>
    </cfRule>
    <cfRule type="containsText" dxfId="1517" priority="920" operator="containsText" text=" ">
      <formula>NOT(ISERROR(SEARCH(" ",W1)))</formula>
    </cfRule>
  </conditionalFormatting>
  <conditionalFormatting sqref="Y62:Y64">
    <cfRule type="cellIs" dxfId="1516" priority="1768" operator="greaterThan">
      <formula>1</formula>
    </cfRule>
    <cfRule type="containsText" dxfId="1515" priority="1769" operator="containsText" text=" ">
      <formula>NOT(ISERROR(SEARCH(" ",Y62)))</formula>
    </cfRule>
    <cfRule type="containsText" dxfId="1514" priority="1770" operator="containsText" text=" ">
      <formula>NOT(ISERROR(SEARCH(" ",Y62)))</formula>
    </cfRule>
  </conditionalFormatting>
  <conditionalFormatting sqref="AD41:AD43">
    <cfRule type="cellIs" dxfId="1513" priority="73" operator="equal">
      <formula>0</formula>
    </cfRule>
    <cfRule type="cellIs" dxfId="1512" priority="74" operator="equal">
      <formula>0</formula>
    </cfRule>
    <cfRule type="cellIs" dxfId="1511" priority="75" operator="greaterThan">
      <formula>1</formula>
    </cfRule>
    <cfRule type="containsText" dxfId="1510" priority="76" operator="containsText" text=" ">
      <formula>NOT(ISERROR(SEARCH(" ",AD41)))</formula>
    </cfRule>
    <cfRule type="containsText" dxfId="1509" priority="77" operator="containsText" text=" ">
      <formula>NOT(ISERROR(SEARCH(" ",AD41)))</formula>
    </cfRule>
  </conditionalFormatting>
  <conditionalFormatting sqref="AD48:AD64">
    <cfRule type="cellIs" dxfId="1508" priority="68" operator="equal">
      <formula>0</formula>
    </cfRule>
    <cfRule type="cellIs" dxfId="1507" priority="69" operator="equal">
      <formula>0</formula>
    </cfRule>
    <cfRule type="cellIs" dxfId="1506" priority="70" operator="greaterThan">
      <formula>1</formula>
    </cfRule>
    <cfRule type="containsText" dxfId="1505" priority="71" operator="containsText" text=" ">
      <formula>NOT(ISERROR(SEARCH(" ",AD48)))</formula>
    </cfRule>
    <cfRule type="containsText" dxfId="1504" priority="72" operator="containsText" text=" ">
      <formula>NOT(ISERROR(SEARCH(" ",AD48)))</formula>
    </cfRule>
  </conditionalFormatting>
  <conditionalFormatting sqref="AE41:AE43">
    <cfRule type="cellIs" dxfId="1503" priority="63" operator="equal">
      <formula>0</formula>
    </cfRule>
    <cfRule type="cellIs" dxfId="1502" priority="64" operator="equal">
      <formula>0</formula>
    </cfRule>
    <cfRule type="cellIs" dxfId="1501" priority="65" operator="greaterThan">
      <formula>1</formula>
    </cfRule>
    <cfRule type="containsText" dxfId="1500" priority="66" operator="containsText" text=" ">
      <formula>NOT(ISERROR(SEARCH(" ",AE41)))</formula>
    </cfRule>
    <cfRule type="containsText" dxfId="1499" priority="67" operator="containsText" text=" ">
      <formula>NOT(ISERROR(SEARCH(" ",AE41)))</formula>
    </cfRule>
  </conditionalFormatting>
  <conditionalFormatting sqref="AE48:AE64">
    <cfRule type="cellIs" dxfId="1498" priority="53" operator="equal">
      <formula>0</formula>
    </cfRule>
    <cfRule type="cellIs" dxfId="1497" priority="54" operator="equal">
      <formula>0</formula>
    </cfRule>
    <cfRule type="cellIs" dxfId="1496" priority="55" operator="greaterThan">
      <formula>1</formula>
    </cfRule>
    <cfRule type="containsText" dxfId="1495" priority="56" operator="containsText" text=" ">
      <formula>NOT(ISERROR(SEARCH(" ",AE48)))</formula>
    </cfRule>
    <cfRule type="containsText" dxfId="1494" priority="57" operator="containsText" text=" ">
      <formula>NOT(ISERROR(SEARCH(" ",AE48)))</formula>
    </cfRule>
  </conditionalFormatting>
  <conditionalFormatting sqref="AF41:AF43">
    <cfRule type="cellIs" dxfId="1493" priority="58" operator="equal">
      <formula>0</formula>
    </cfRule>
    <cfRule type="cellIs" dxfId="1492" priority="59" operator="equal">
      <formula>0</formula>
    </cfRule>
    <cfRule type="cellIs" dxfId="1491" priority="60" operator="greaterThan">
      <formula>1</formula>
    </cfRule>
    <cfRule type="containsText" dxfId="1490" priority="61" operator="containsText" text=" ">
      <formula>NOT(ISERROR(SEARCH(" ",AF41)))</formula>
    </cfRule>
    <cfRule type="containsText" dxfId="1489" priority="62" operator="containsText" text=" ">
      <formula>NOT(ISERROR(SEARCH(" ",AF41)))</formula>
    </cfRule>
  </conditionalFormatting>
  <conditionalFormatting sqref="AF48:AF64">
    <cfRule type="cellIs" dxfId="1488" priority="48" operator="equal">
      <formula>0</formula>
    </cfRule>
    <cfRule type="cellIs" dxfId="1487" priority="49" operator="equal">
      <formula>0</formula>
    </cfRule>
    <cfRule type="cellIs" dxfId="1486" priority="50" operator="greaterThan">
      <formula>1</formula>
    </cfRule>
    <cfRule type="containsText" dxfId="1485" priority="51" operator="containsText" text=" ">
      <formula>NOT(ISERROR(SEARCH(" ",AF48)))</formula>
    </cfRule>
    <cfRule type="containsText" dxfId="1484" priority="52" operator="containsText" text=" ">
      <formula>NOT(ISERROR(SEARCH(" ",AF48)))</formula>
    </cfRule>
  </conditionalFormatting>
  <conditionalFormatting sqref="AG1:AG2">
    <cfRule type="containsText" dxfId="1483" priority="2307" operator="containsText" text=" ">
      <formula>NOT(ISERROR(SEARCH(" ",AG1)))</formula>
    </cfRule>
    <cfRule type="containsText" dxfId="1482" priority="2308" operator="containsText" text=" ">
      <formula>NOT(ISERROR(SEARCH(" ",AG1)))</formula>
    </cfRule>
  </conditionalFormatting>
  <conditionalFormatting sqref="AK1:AK2">
    <cfRule type="containsText" dxfId="1481" priority="173" operator="containsText" text=" ">
      <formula>NOT(ISERROR(SEARCH(" ",AK1)))</formula>
    </cfRule>
    <cfRule type="containsText" dxfId="1480" priority="174" operator="containsText" text=" ">
      <formula>NOT(ISERROR(SEARCH(" ",AK1)))</formula>
    </cfRule>
  </conditionalFormatting>
  <conditionalFormatting sqref="AL1:AL2">
    <cfRule type="containsText" dxfId="1479" priority="169" operator="containsText" text=" ">
      <formula>NOT(ISERROR(SEARCH(" ",AL1)))</formula>
    </cfRule>
    <cfRule type="containsText" dxfId="1478" priority="170" operator="containsText" text=" ">
      <formula>NOT(ISERROR(SEARCH(" ",AL1)))</formula>
    </cfRule>
  </conditionalFormatting>
  <conditionalFormatting sqref="AO1:AO3">
    <cfRule type="containsText" dxfId="1477" priority="2458" operator="containsText" text=" ">
      <formula>NOT(ISERROR(SEARCH(" ",AO1)))</formula>
    </cfRule>
    <cfRule type="containsText" dxfId="1476" priority="2459" operator="containsText" text=" ">
      <formula>NOT(ISERROR(SEARCH(" ",AO1)))</formula>
    </cfRule>
  </conditionalFormatting>
  <conditionalFormatting sqref="AO62:AO64">
    <cfRule type="cellIs" dxfId="1475" priority="1771" operator="greaterThan">
      <formula>1</formula>
    </cfRule>
    <cfRule type="containsText" dxfId="1474" priority="1772" operator="containsText" text=" ">
      <formula>NOT(ISERROR(SEARCH(" ",AO62)))</formula>
    </cfRule>
    <cfRule type="containsText" dxfId="1473" priority="1773" operator="containsText" text=" ">
      <formula>NOT(ISERROR(SEARCH(" ",AO62)))</formula>
    </cfRule>
  </conditionalFormatting>
  <conditionalFormatting sqref="AT62:AT64">
    <cfRule type="containsText" dxfId="1472" priority="1808" operator="containsText" text=" ">
      <formula>NOT(ISERROR(SEARCH(" ",AT62)))</formula>
    </cfRule>
    <cfRule type="containsText" dxfId="1471" priority="1809" operator="containsText" text=" ">
      <formula>NOT(ISERROR(SEARCH(" ",AT62)))</formula>
    </cfRule>
  </conditionalFormatting>
  <conditionalFormatting sqref="AU61:AU62">
    <cfRule type="containsText" dxfId="1470" priority="1579" operator="containsText" text=" ">
      <formula>NOT(ISERROR(SEARCH(" ",AU61)))</formula>
    </cfRule>
    <cfRule type="containsText" dxfId="1469" priority="1580" operator="containsText" text=" ">
      <formula>NOT(ISERROR(SEARCH(" ",AU61)))</formula>
    </cfRule>
  </conditionalFormatting>
  <conditionalFormatting sqref="AU63:AU64">
    <cfRule type="containsText" dxfId="1468" priority="1577" operator="containsText" text=" ">
      <formula>NOT(ISERROR(SEARCH(" ",AU63)))</formula>
    </cfRule>
    <cfRule type="containsText" dxfId="1467" priority="1578" operator="containsText" text=" ">
      <formula>NOT(ISERROR(SEARCH(" ",AU63)))</formula>
    </cfRule>
  </conditionalFormatting>
  <conditionalFormatting sqref="AV65:AV1048576">
    <cfRule type="containsText" dxfId="1466" priority="2427" operator="containsText" text=" ">
      <formula>NOT(ISERROR(SEARCH(" ",AV65)))</formula>
    </cfRule>
    <cfRule type="containsText" dxfId="1465" priority="2428" operator="containsText" text=" ">
      <formula>NOT(ISERROR(SEARCH(" ",AV65)))</formula>
    </cfRule>
  </conditionalFormatting>
  <conditionalFormatting sqref="AW62:AW64">
    <cfRule type="containsText" dxfId="1464" priority="1774" operator="containsText" text=" ">
      <formula>NOT(ISERROR(SEARCH(" ",AW62)))</formula>
    </cfRule>
    <cfRule type="containsText" dxfId="1463" priority="1775" operator="containsText" text=" ">
      <formula>NOT(ISERROR(SEARCH(" ",AW62)))</formula>
    </cfRule>
  </conditionalFormatting>
  <conditionalFormatting sqref="BB62:BB64">
    <cfRule type="containsText" dxfId="1462" priority="1806" operator="containsText" text=" ">
      <formula>NOT(ISERROR(SEARCH(" ",BB62)))</formula>
    </cfRule>
    <cfRule type="containsText" dxfId="1461" priority="1807" operator="containsText" text=" ">
      <formula>NOT(ISERROR(SEARCH(" ",BB62)))</formula>
    </cfRule>
  </conditionalFormatting>
  <conditionalFormatting sqref="BC62:BC64">
    <cfRule type="containsText" dxfId="1460" priority="1786" operator="containsText" text=" ">
      <formula>NOT(ISERROR(SEARCH(" ",BC62)))</formula>
    </cfRule>
    <cfRule type="containsText" dxfId="1459" priority="1787" operator="containsText" text=" ">
      <formula>NOT(ISERROR(SEARCH(" ",BC62)))</formula>
    </cfRule>
  </conditionalFormatting>
  <conditionalFormatting sqref="BH58:BH64">
    <cfRule type="containsText" dxfId="1458" priority="1485" operator="containsText" text=" ">
      <formula>NOT(ISERROR(SEARCH(" ",BH58)))</formula>
    </cfRule>
    <cfRule type="containsText" dxfId="1457" priority="1486" operator="containsText" text=" ">
      <formula>NOT(ISERROR(SEARCH(" ",BH58)))</formula>
    </cfRule>
  </conditionalFormatting>
  <conditionalFormatting sqref="BP58:BP61">
    <cfRule type="cellIs" dxfId="1456" priority="2555" operator="equal">
      <formula>"是"</formula>
    </cfRule>
    <cfRule type="cellIs" dxfId="1455" priority="2556" operator="equal">
      <formula>"否"</formula>
    </cfRule>
  </conditionalFormatting>
  <conditionalFormatting sqref="BP62:BP64">
    <cfRule type="cellIs" dxfId="1454" priority="1796" operator="equal">
      <formula>"是"</formula>
    </cfRule>
    <cfRule type="cellIs" dxfId="1453" priority="1797" operator="equal">
      <formula>"否"</formula>
    </cfRule>
  </conditionalFormatting>
  <conditionalFormatting sqref="BW32:BW40">
    <cfRule type="cellIs" dxfId="1452" priority="2198" operator="greaterThan">
      <formula>1</formula>
    </cfRule>
    <cfRule type="containsText" dxfId="1451" priority="2199" operator="containsText" text=" ">
      <formula>NOT(ISERROR(SEARCH(" ",BW32)))</formula>
    </cfRule>
    <cfRule type="containsText" dxfId="1450" priority="2200" operator="containsText" text=" ">
      <formula>NOT(ISERROR(SEARCH(" ",BW32)))</formula>
    </cfRule>
  </conditionalFormatting>
  <conditionalFormatting sqref="CA32:CA40">
    <cfRule type="containsText" dxfId="1449" priority="141" operator="containsText" text=" ">
      <formula>NOT(ISERROR(SEARCH(" ",CA32)))</formula>
    </cfRule>
    <cfRule type="containsText" dxfId="1448" priority="142" operator="containsText" text=" ">
      <formula>NOT(ISERROR(SEARCH(" ",CA32)))</formula>
    </cfRule>
  </conditionalFormatting>
  <conditionalFormatting sqref="CC32:CC40">
    <cfRule type="containsText" dxfId="1447" priority="139" operator="containsText" text=" ">
      <formula>NOT(ISERROR(SEARCH(" ",CC32)))</formula>
    </cfRule>
    <cfRule type="containsText" dxfId="1446" priority="140" operator="containsText" text=" ">
      <formula>NOT(ISERROR(SEARCH(" ",CC32)))</formula>
    </cfRule>
  </conditionalFormatting>
  <conditionalFormatting sqref="CE32:CE40">
    <cfRule type="containsText" dxfId="1445" priority="2201" operator="containsText" text=" ">
      <formula>NOT(ISERROR(SEARCH(" ",CE32)))</formula>
    </cfRule>
    <cfRule type="containsText" dxfId="1444" priority="2202" operator="containsText" text=" ">
      <formula>NOT(ISERROR(SEARCH(" ",CE32)))</formula>
    </cfRule>
  </conditionalFormatting>
  <conditionalFormatting sqref="CH62:CH64">
    <cfRule type="cellIs" dxfId="1443" priority="1723" operator="equal">
      <formula>0</formula>
    </cfRule>
  </conditionalFormatting>
  <conditionalFormatting sqref="CX62:CX64">
    <cfRule type="colorScale" priority="17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Z62:CZ64">
    <cfRule type="cellIs" dxfId="1442" priority="1739" operator="greaterThan">
      <formula>1</formula>
    </cfRule>
    <cfRule type="containsText" dxfId="1441" priority="1740" operator="containsText" text=" ">
      <formula>NOT(ISERROR(SEARCH(" ",CZ62)))</formula>
    </cfRule>
    <cfRule type="containsText" dxfId="1440" priority="1741" operator="containsText" text=" ">
      <formula>NOT(ISERROR(SEARCH(" ",CZ62)))</formula>
    </cfRule>
  </conditionalFormatting>
  <conditionalFormatting sqref="DA5:DA25">
    <cfRule type="cellIs" dxfId="1439" priority="2276" operator="greaterThan">
      <formula>$DB$3</formula>
    </cfRule>
    <cfRule type="cellIs" dxfId="1438" priority="2277" operator="greaterThan">
      <formula>"&gt;$Z$3"</formula>
    </cfRule>
  </conditionalFormatting>
  <conditionalFormatting sqref="DA26:DA28">
    <cfRule type="cellIs" dxfId="1437" priority="857" operator="greaterThan">
      <formula>$DB$3</formula>
    </cfRule>
    <cfRule type="cellIs" dxfId="1436" priority="858" operator="greaterThan">
      <formula>"&gt;$Z$3"</formula>
    </cfRule>
  </conditionalFormatting>
  <conditionalFormatting sqref="DA29:DA61">
    <cfRule type="cellIs" dxfId="1435" priority="497" operator="greaterThan">
      <formula>$DB$3</formula>
    </cfRule>
    <cfRule type="cellIs" dxfId="1434" priority="498" operator="greaterThan">
      <formula>"&gt;$Z$3"</formula>
    </cfRule>
  </conditionalFormatting>
  <conditionalFormatting sqref="DA62:DA64">
    <cfRule type="cellIs" dxfId="1433" priority="1732" operator="greaterThan">
      <formula>$DB$3</formula>
    </cfRule>
    <cfRule type="cellIs" dxfId="1432" priority="1733" operator="greaterThan">
      <formula>"&gt;$Z$3"</formula>
    </cfRule>
  </conditionalFormatting>
  <conditionalFormatting sqref="DC62:DC64">
    <cfRule type="cellIs" dxfId="1431" priority="1734" operator="greaterThan">
      <formula>1</formula>
    </cfRule>
    <cfRule type="containsText" dxfId="1430" priority="1735" operator="containsText" text=" ">
      <formula>NOT(ISERROR(SEARCH(" ",DC62)))</formula>
    </cfRule>
    <cfRule type="containsText" dxfId="1429" priority="1736" operator="containsText" text=" ">
      <formula>NOT(ISERROR(SEARCH(" ",DC62)))</formula>
    </cfRule>
  </conditionalFormatting>
  <conditionalFormatting sqref="DF62:DF64">
    <cfRule type="colorScale" priority="1730">
      <colorScale>
        <cfvo type="min"/>
        <cfvo type="max"/>
        <color rgb="FFFCFCFF"/>
        <color rgb="FF63BE7B"/>
      </colorScale>
    </cfRule>
    <cfRule type="colorScale" priority="17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2:DI64">
    <cfRule type="colorScale" priority="1728">
      <colorScale>
        <cfvo type="min"/>
        <cfvo type="max"/>
        <color rgb="FFFCFCFF"/>
        <color rgb="FF63BE7B"/>
      </colorScale>
    </cfRule>
    <cfRule type="colorScale" priority="1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62:DQ64">
    <cfRule type="cellIs" dxfId="1428" priority="1581" operator="greaterThan">
      <formula>1</formula>
    </cfRule>
    <cfRule type="colorScale" priority="1582">
      <colorScale>
        <cfvo type="min"/>
        <cfvo type="max"/>
        <color rgb="FFFCFCFF"/>
        <color rgb="FF63BE7B"/>
      </colorScale>
    </cfRule>
    <cfRule type="colorScale" priority="15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49:DR61">
    <cfRule type="colorScale" priority="2092">
      <colorScale>
        <cfvo type="min"/>
        <cfvo type="max"/>
        <color rgb="FFFCFCFF"/>
        <color rgb="FF63BE7B"/>
      </colorScale>
    </cfRule>
    <cfRule type="colorScale" priority="20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2:DR64">
    <cfRule type="colorScale" priority="1710">
      <colorScale>
        <cfvo type="min"/>
        <cfvo type="max"/>
        <color rgb="FFFCFCFF"/>
        <color rgb="FF63BE7B"/>
      </colorScale>
    </cfRule>
    <cfRule type="colorScale" priority="1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62:DT64">
    <cfRule type="cellIs" dxfId="1427" priority="1715" operator="greaterThan">
      <formula>1</formula>
    </cfRule>
  </conditionalFormatting>
  <conditionalFormatting sqref="DU62:DU64">
    <cfRule type="colorScale" priority="1718">
      <colorScale>
        <cfvo type="min"/>
        <cfvo type="max"/>
        <color rgb="FFFCFCFF"/>
        <color rgb="FF63BE7B"/>
      </colorScale>
    </cfRule>
    <cfRule type="colorScale" priority="1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2:DV3">
    <cfRule type="containsText" dxfId="1426" priority="2050" operator="containsText" text=" ">
      <formula>NOT(ISERROR(SEARCH(" ",DV2)))</formula>
    </cfRule>
    <cfRule type="containsText" dxfId="1425" priority="2051" operator="containsText" text=" ">
      <formula>NOT(ISERROR(SEARCH(" ",DV2)))</formula>
    </cfRule>
  </conditionalFormatting>
  <conditionalFormatting sqref="DV62:DV64">
    <cfRule type="colorScale" priority="1690">
      <colorScale>
        <cfvo type="min"/>
        <cfvo type="max"/>
        <color rgb="FFFCFCFF"/>
        <color rgb="FF63BE7B"/>
      </colorScale>
    </cfRule>
    <cfRule type="colorScale" priority="16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65:DV1048576">
    <cfRule type="containsText" dxfId="1424" priority="2048" operator="containsText" text=" ">
      <formula>NOT(ISERROR(SEARCH(" ",DV65)))</formula>
    </cfRule>
    <cfRule type="containsText" dxfId="1423" priority="2049" operator="containsText" text=" ">
      <formula>NOT(ISERROR(SEARCH(" ",DV65)))</formula>
    </cfRule>
  </conditionalFormatting>
  <conditionalFormatting sqref="DW62:DW64">
    <cfRule type="cellIs" dxfId="1422" priority="1667" operator="greaterThan">
      <formula>1</formula>
    </cfRule>
    <cfRule type="colorScale" priority="1668">
      <colorScale>
        <cfvo type="min"/>
        <cfvo type="max"/>
        <color rgb="FFFCFCFF"/>
        <color rgb="FF63BE7B"/>
      </colorScale>
    </cfRule>
    <cfRule type="colorScale" priority="1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62:DX64">
    <cfRule type="colorScale" priority="1614">
      <colorScale>
        <cfvo type="min"/>
        <cfvo type="max"/>
        <color rgb="FFFCFCFF"/>
        <color rgb="FF63BE7B"/>
      </colorScale>
    </cfRule>
    <cfRule type="colorScale" priority="16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:DY3">
    <cfRule type="containsText" dxfId="1421" priority="2043" operator="containsText" text=" ">
      <formula>NOT(ISERROR(SEARCH(" ",DY2)))</formula>
    </cfRule>
    <cfRule type="containsText" dxfId="1420" priority="2044" operator="containsText" text=" ">
      <formula>NOT(ISERROR(SEARCH(" ",DY2)))</formula>
    </cfRule>
  </conditionalFormatting>
  <conditionalFormatting sqref="DY62:DY64">
    <cfRule type="colorScale" priority="1612">
      <colorScale>
        <cfvo type="min"/>
        <cfvo type="max"/>
        <color rgb="FFFCFCFF"/>
        <color rgb="FF63BE7B"/>
      </colorScale>
    </cfRule>
    <cfRule type="colorScale" priority="1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5:DY1048576">
    <cfRule type="containsText" dxfId="1419" priority="2041" operator="containsText" text=" ">
      <formula>NOT(ISERROR(SEARCH(" ",DY65)))</formula>
    </cfRule>
    <cfRule type="containsText" dxfId="1418" priority="2042" operator="containsText" text=" ">
      <formula>NOT(ISERROR(SEARCH(" ",DY65)))</formula>
    </cfRule>
  </conditionalFormatting>
  <conditionalFormatting sqref="DZ62:DZ64">
    <cfRule type="cellIs" dxfId="1417" priority="1664" operator="greaterThan">
      <formula>1</formula>
    </cfRule>
    <cfRule type="colorScale" priority="1665">
      <colorScale>
        <cfvo type="min"/>
        <cfvo type="max"/>
        <color rgb="FFFCFCFF"/>
        <color rgb="FF63BE7B"/>
      </colorScale>
    </cfRule>
    <cfRule type="colorScale" priority="16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62:EA64">
    <cfRule type="colorScale" priority="1610">
      <colorScale>
        <cfvo type="min"/>
        <cfvo type="max"/>
        <color rgb="FFFCFCFF"/>
        <color rgb="FF63BE7B"/>
      </colorScale>
    </cfRule>
    <cfRule type="colorScale" priority="1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2:EB3">
    <cfRule type="containsText" dxfId="1416" priority="2036" operator="containsText" text=" ">
      <formula>NOT(ISERROR(SEARCH(" ",EB2)))</formula>
    </cfRule>
    <cfRule type="containsText" dxfId="1415" priority="2037" operator="containsText" text=" ">
      <formula>NOT(ISERROR(SEARCH(" ",EB2)))</formula>
    </cfRule>
  </conditionalFormatting>
  <conditionalFormatting sqref="EB62:EB64">
    <cfRule type="colorScale" priority="1608">
      <colorScale>
        <cfvo type="min"/>
        <cfvo type="max"/>
        <color rgb="FFFCFCFF"/>
        <color rgb="FF63BE7B"/>
      </colorScale>
    </cfRule>
    <cfRule type="colorScale" priority="1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65:EB1048576">
    <cfRule type="containsText" dxfId="1414" priority="2034" operator="containsText" text=" ">
      <formula>NOT(ISERROR(SEARCH(" ",EB65)))</formula>
    </cfRule>
    <cfRule type="containsText" dxfId="1413" priority="2035" operator="containsText" text=" ">
      <formula>NOT(ISERROR(SEARCH(" ",EB65)))</formula>
    </cfRule>
  </conditionalFormatting>
  <conditionalFormatting sqref="EC62:EC64">
    <cfRule type="cellIs" dxfId="1412" priority="1661" operator="greaterThan">
      <formula>1</formula>
    </cfRule>
    <cfRule type="colorScale" priority="1662">
      <colorScale>
        <cfvo type="min"/>
        <cfvo type="max"/>
        <color rgb="FFFCFCFF"/>
        <color rgb="FF63BE7B"/>
      </colorScale>
    </cfRule>
    <cfRule type="colorScale" priority="1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2:ED64">
    <cfRule type="colorScale" priority="1606">
      <colorScale>
        <cfvo type="min"/>
        <cfvo type="max"/>
        <color rgb="FFFCFCFF"/>
        <color rgb="FF63BE7B"/>
      </colorScale>
    </cfRule>
    <cfRule type="colorScale" priority="1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2:EE3">
    <cfRule type="containsText" dxfId="1411" priority="2029" operator="containsText" text=" ">
      <formula>NOT(ISERROR(SEARCH(" ",EE2)))</formula>
    </cfRule>
    <cfRule type="containsText" dxfId="1410" priority="2030" operator="containsText" text=" ">
      <formula>NOT(ISERROR(SEARCH(" ",EE2)))</formula>
    </cfRule>
  </conditionalFormatting>
  <conditionalFormatting sqref="EE62:EE64">
    <cfRule type="colorScale" priority="1604">
      <colorScale>
        <cfvo type="min"/>
        <cfvo type="max"/>
        <color rgb="FFFCFCFF"/>
        <color rgb="FF63BE7B"/>
      </colorScale>
    </cfRule>
    <cfRule type="colorScale" priority="1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65:EE1048576">
    <cfRule type="containsText" dxfId="1409" priority="2027" operator="containsText" text=" ">
      <formula>NOT(ISERROR(SEARCH(" ",EE65)))</formula>
    </cfRule>
    <cfRule type="containsText" dxfId="1408" priority="2028" operator="containsText" text=" ">
      <formula>NOT(ISERROR(SEARCH(" ",EE65)))</formula>
    </cfRule>
  </conditionalFormatting>
  <conditionalFormatting sqref="EF62:EF64">
    <cfRule type="cellIs" dxfId="1407" priority="1658" operator="greaterThan">
      <formula>1</formula>
    </cfRule>
    <cfRule type="colorScale" priority="1659">
      <colorScale>
        <cfvo type="min"/>
        <cfvo type="max"/>
        <color rgb="FFFCFCFF"/>
        <color rgb="FF63BE7B"/>
      </colorScale>
    </cfRule>
    <cfRule type="colorScale" priority="1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2:EG64">
    <cfRule type="colorScale" priority="1602">
      <colorScale>
        <cfvo type="min"/>
        <cfvo type="max"/>
        <color rgb="FFFCFCFF"/>
        <color rgb="FF63BE7B"/>
      </colorScale>
    </cfRule>
    <cfRule type="colorScale" priority="16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:EH3">
    <cfRule type="containsText" dxfId="1406" priority="2022" operator="containsText" text=" ">
      <formula>NOT(ISERROR(SEARCH(" ",EH2)))</formula>
    </cfRule>
    <cfRule type="containsText" dxfId="1405" priority="2023" operator="containsText" text=" ">
      <formula>NOT(ISERROR(SEARCH(" ",EH2)))</formula>
    </cfRule>
  </conditionalFormatting>
  <conditionalFormatting sqref="EH62:EH64">
    <cfRule type="colorScale" priority="1600">
      <colorScale>
        <cfvo type="min"/>
        <cfvo type="max"/>
        <color rgb="FFFCFCFF"/>
        <color rgb="FF63BE7B"/>
      </colorScale>
    </cfRule>
    <cfRule type="colorScale" priority="1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65:EH1048576">
    <cfRule type="containsText" dxfId="1404" priority="2020" operator="containsText" text=" ">
      <formula>NOT(ISERROR(SEARCH(" ",EH65)))</formula>
    </cfRule>
    <cfRule type="containsText" dxfId="1403" priority="2021" operator="containsText" text=" ">
      <formula>NOT(ISERROR(SEARCH(" ",EH65)))</formula>
    </cfRule>
  </conditionalFormatting>
  <conditionalFormatting sqref="EI62:EI64">
    <cfRule type="cellIs" dxfId="1402" priority="1655" operator="greaterThan">
      <formula>1</formula>
    </cfRule>
    <cfRule type="colorScale" priority="1656">
      <colorScale>
        <cfvo type="min"/>
        <cfvo type="max"/>
        <color rgb="FFFCFCFF"/>
        <color rgb="FF63BE7B"/>
      </colorScale>
    </cfRule>
    <cfRule type="colorScale" priority="16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2:EJ64">
    <cfRule type="colorScale" priority="1598">
      <colorScale>
        <cfvo type="min"/>
        <cfvo type="max"/>
        <color rgb="FFFCFCFF"/>
        <color rgb="FF63BE7B"/>
      </colorScale>
    </cfRule>
    <cfRule type="colorScale" priority="1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2:EK3">
    <cfRule type="containsText" dxfId="1401" priority="2015" operator="containsText" text=" ">
      <formula>NOT(ISERROR(SEARCH(" ",EK2)))</formula>
    </cfRule>
    <cfRule type="containsText" dxfId="1400" priority="2016" operator="containsText" text=" ">
      <formula>NOT(ISERROR(SEARCH(" ",EK2)))</formula>
    </cfRule>
  </conditionalFormatting>
  <conditionalFormatting sqref="EK62:EK64">
    <cfRule type="colorScale" priority="1596">
      <colorScale>
        <cfvo type="min"/>
        <cfvo type="max"/>
        <color rgb="FFFCFCFF"/>
        <color rgb="FF63BE7B"/>
      </colorScale>
    </cfRule>
    <cfRule type="colorScale" priority="1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65:EK1048576">
    <cfRule type="containsText" dxfId="1399" priority="2013" operator="containsText" text=" ">
      <formula>NOT(ISERROR(SEARCH(" ",EK65)))</formula>
    </cfRule>
    <cfRule type="containsText" dxfId="1398" priority="2014" operator="containsText" text=" ">
      <formula>NOT(ISERROR(SEARCH(" ",EK65)))</formula>
    </cfRule>
  </conditionalFormatting>
  <conditionalFormatting sqref="EL62:EL64">
    <cfRule type="cellIs" dxfId="1397" priority="1652" operator="greaterThan">
      <formula>1</formula>
    </cfRule>
    <cfRule type="colorScale" priority="1653">
      <colorScale>
        <cfvo type="min"/>
        <cfvo type="max"/>
        <color rgb="FFFCFCFF"/>
        <color rgb="FF63BE7B"/>
      </colorScale>
    </cfRule>
    <cfRule type="colorScale" priority="16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2:EM64">
    <cfRule type="colorScale" priority="1594">
      <colorScale>
        <cfvo type="min"/>
        <cfvo type="max"/>
        <color rgb="FFFCFCFF"/>
        <color rgb="FF63BE7B"/>
      </colorScale>
    </cfRule>
    <cfRule type="colorScale" priority="1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2:EN3">
    <cfRule type="containsText" dxfId="1396" priority="2008" operator="containsText" text=" ">
      <formula>NOT(ISERROR(SEARCH(" ",EN2)))</formula>
    </cfRule>
    <cfRule type="containsText" dxfId="1395" priority="2009" operator="containsText" text=" ">
      <formula>NOT(ISERROR(SEARCH(" ",EN2)))</formula>
    </cfRule>
  </conditionalFormatting>
  <conditionalFormatting sqref="EN62:EN64">
    <cfRule type="colorScale" priority="1592">
      <colorScale>
        <cfvo type="min"/>
        <cfvo type="max"/>
        <color rgb="FFFCFCFF"/>
        <color rgb="FF63BE7B"/>
      </colorScale>
    </cfRule>
    <cfRule type="colorScale" priority="1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65:EN1048576">
    <cfRule type="containsText" dxfId="1394" priority="2006" operator="containsText" text=" ">
      <formula>NOT(ISERROR(SEARCH(" ",EN65)))</formula>
    </cfRule>
    <cfRule type="containsText" dxfId="1393" priority="2007" operator="containsText" text=" ">
      <formula>NOT(ISERROR(SEARCH(" ",EN65)))</formula>
    </cfRule>
  </conditionalFormatting>
  <conditionalFormatting sqref="EO62:EO64">
    <cfRule type="cellIs" dxfId="1392" priority="1649" operator="greaterThan">
      <formula>1</formula>
    </cfRule>
    <cfRule type="colorScale" priority="1650">
      <colorScale>
        <cfvo type="min"/>
        <cfvo type="max"/>
        <color rgb="FFFCFCFF"/>
        <color rgb="FF63BE7B"/>
      </colorScale>
    </cfRule>
    <cfRule type="colorScale" priority="1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62:EP64">
    <cfRule type="colorScale" priority="1590">
      <colorScale>
        <cfvo type="min"/>
        <cfvo type="max"/>
        <color rgb="FFFCFCFF"/>
        <color rgb="FF63BE7B"/>
      </colorScale>
    </cfRule>
    <cfRule type="colorScale" priority="1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:EQ3">
    <cfRule type="containsText" dxfId="1391" priority="2001" operator="containsText" text=" ">
      <formula>NOT(ISERROR(SEARCH(" ",EQ2)))</formula>
    </cfRule>
    <cfRule type="containsText" dxfId="1390" priority="2002" operator="containsText" text=" ">
      <formula>NOT(ISERROR(SEARCH(" ",EQ2)))</formula>
    </cfRule>
  </conditionalFormatting>
  <conditionalFormatting sqref="EQ62:EQ64">
    <cfRule type="colorScale" priority="1588">
      <colorScale>
        <cfvo type="min"/>
        <cfvo type="max"/>
        <color rgb="FFFCFCFF"/>
        <color rgb="FF63BE7B"/>
      </colorScale>
    </cfRule>
    <cfRule type="colorScale" priority="1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5:EQ1048576">
    <cfRule type="containsText" dxfId="1389" priority="1999" operator="containsText" text=" ">
      <formula>NOT(ISERROR(SEARCH(" ",EQ65)))</formula>
    </cfRule>
    <cfRule type="containsText" dxfId="1388" priority="2000" operator="containsText" text=" ">
      <formula>NOT(ISERROR(SEARCH(" ",EQ65)))</formula>
    </cfRule>
  </conditionalFormatting>
  <conditionalFormatting sqref="ER62:ER64">
    <cfRule type="cellIs" dxfId="1387" priority="1646" operator="greaterThan">
      <formula>1</formula>
    </cfRule>
    <cfRule type="colorScale" priority="1647">
      <colorScale>
        <cfvo type="min"/>
        <cfvo type="max"/>
        <color rgb="FFFCFCFF"/>
        <color rgb="FF63BE7B"/>
      </colorScale>
    </cfRule>
    <cfRule type="colorScale" priority="1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62:ES64">
    <cfRule type="colorScale" priority="1586">
      <colorScale>
        <cfvo type="min"/>
        <cfvo type="max"/>
        <color rgb="FFFCFCFF"/>
        <color rgb="FF63BE7B"/>
      </colorScale>
    </cfRule>
    <cfRule type="colorScale" priority="1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:ET3">
    <cfRule type="containsText" dxfId="1386" priority="1994" operator="containsText" text=" ">
      <formula>NOT(ISERROR(SEARCH(" ",ET2)))</formula>
    </cfRule>
    <cfRule type="containsText" dxfId="1385" priority="1995" operator="containsText" text=" ">
      <formula>NOT(ISERROR(SEARCH(" ",ET2)))</formula>
    </cfRule>
  </conditionalFormatting>
  <conditionalFormatting sqref="ET62:ET64">
    <cfRule type="colorScale" priority="1584">
      <colorScale>
        <cfvo type="min"/>
        <cfvo type="max"/>
        <color rgb="FFFCFCFF"/>
        <color rgb="FF63BE7B"/>
      </colorScale>
    </cfRule>
    <cfRule type="colorScale" priority="1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5:ET1048576">
    <cfRule type="containsText" dxfId="1384" priority="1992" operator="containsText" text=" ">
      <formula>NOT(ISERROR(SEARCH(" ",ET65)))</formula>
    </cfRule>
    <cfRule type="containsText" dxfId="1383" priority="1993" operator="containsText" text=" ">
      <formula>NOT(ISERROR(SEARCH(" ",ET65)))</formula>
    </cfRule>
  </conditionalFormatting>
  <conditionalFormatting sqref="EU62:EU64">
    <cfRule type="cellIs" dxfId="1382" priority="1643" operator="greaterThan">
      <formula>1</formula>
    </cfRule>
    <cfRule type="colorScale" priority="1644">
      <colorScale>
        <cfvo type="min"/>
        <cfvo type="max"/>
        <color rgb="FFFCFCFF"/>
        <color rgb="FF63BE7B"/>
      </colorScale>
    </cfRule>
    <cfRule type="colorScale" priority="16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2:EV64">
    <cfRule type="colorScale" priority="1716">
      <colorScale>
        <cfvo type="min"/>
        <cfvo type="max"/>
        <color rgb="FFFCFCFF"/>
        <color rgb="FF63BE7B"/>
      </colorScale>
    </cfRule>
    <cfRule type="colorScale" priority="17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2:EW3">
    <cfRule type="containsText" dxfId="1381" priority="1987" operator="containsText" text=" ">
      <formula>NOT(ISERROR(SEARCH(" ",EW2)))</formula>
    </cfRule>
    <cfRule type="containsText" dxfId="1380" priority="1988" operator="containsText" text=" ">
      <formula>NOT(ISERROR(SEARCH(" ",EW2)))</formula>
    </cfRule>
  </conditionalFormatting>
  <conditionalFormatting sqref="EW62:EW64">
    <cfRule type="colorScale" priority="1688">
      <colorScale>
        <cfvo type="min"/>
        <cfvo type="max"/>
        <color rgb="FFFCFCFF"/>
        <color rgb="FF63BE7B"/>
      </colorScale>
    </cfRule>
    <cfRule type="colorScale" priority="16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5:EW1048576">
    <cfRule type="containsText" dxfId="1379" priority="1985" operator="containsText" text=" ">
      <formula>NOT(ISERROR(SEARCH(" ",EW65)))</formula>
    </cfRule>
    <cfRule type="containsText" dxfId="1378" priority="1986" operator="containsText" text=" ">
      <formula>NOT(ISERROR(SEARCH(" ",EW65)))</formula>
    </cfRule>
  </conditionalFormatting>
  <conditionalFormatting sqref="EX62:EX64">
    <cfRule type="cellIs" dxfId="1377" priority="1712" operator="greaterThan">
      <formula>1</formula>
    </cfRule>
    <cfRule type="colorScale" priority="1713">
      <colorScale>
        <cfvo type="min"/>
        <cfvo type="max"/>
        <color rgb="FFFCFCFF"/>
        <color rgb="FF63BE7B"/>
      </colorScale>
    </cfRule>
    <cfRule type="colorScale" priority="1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2:EY64">
    <cfRule type="colorScale" priority="1708">
      <colorScale>
        <cfvo type="min"/>
        <cfvo type="max"/>
        <color rgb="FFFCFCFF"/>
        <color rgb="FF63BE7B"/>
      </colorScale>
    </cfRule>
    <cfRule type="colorScale" priority="1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2:EZ3">
    <cfRule type="containsText" dxfId="1376" priority="1980" operator="containsText" text=" ">
      <formula>NOT(ISERROR(SEARCH(" ",EZ2)))</formula>
    </cfRule>
    <cfRule type="containsText" dxfId="1375" priority="1981" operator="containsText" text=" ">
      <formula>NOT(ISERROR(SEARCH(" ",EZ2)))</formula>
    </cfRule>
  </conditionalFormatting>
  <conditionalFormatting sqref="EZ62:EZ64">
    <cfRule type="colorScale" priority="1686">
      <colorScale>
        <cfvo type="min"/>
        <cfvo type="max"/>
        <color rgb="FFFCFCFF"/>
        <color rgb="FF63BE7B"/>
      </colorScale>
    </cfRule>
    <cfRule type="colorScale" priority="1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65:EZ1048576">
    <cfRule type="containsText" dxfId="1374" priority="1978" operator="containsText" text=" ">
      <formula>NOT(ISERROR(SEARCH(" ",EZ65)))</formula>
    </cfRule>
    <cfRule type="containsText" dxfId="1373" priority="1979" operator="containsText" text=" ">
      <formula>NOT(ISERROR(SEARCH(" ",EZ65)))</formula>
    </cfRule>
  </conditionalFormatting>
  <conditionalFormatting sqref="FA62:FA64">
    <cfRule type="cellIs" dxfId="1372" priority="1640" operator="greaterThan">
      <formula>1</formula>
    </cfRule>
    <cfRule type="colorScale" priority="1641">
      <colorScale>
        <cfvo type="min"/>
        <cfvo type="max"/>
        <color rgb="FFFCFCFF"/>
        <color rgb="FF63BE7B"/>
      </colorScale>
    </cfRule>
    <cfRule type="colorScale" priority="16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2:FB64">
    <cfRule type="colorScale" priority="1706">
      <colorScale>
        <cfvo type="min"/>
        <cfvo type="max"/>
        <color rgb="FFFCFCFF"/>
        <color rgb="FF63BE7B"/>
      </colorScale>
    </cfRule>
    <cfRule type="colorScale" priority="17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2:FC3">
    <cfRule type="containsText" dxfId="1371" priority="1973" operator="containsText" text=" ">
      <formula>NOT(ISERROR(SEARCH(" ",FC2)))</formula>
    </cfRule>
    <cfRule type="containsText" dxfId="1370" priority="1974" operator="containsText" text=" ">
      <formula>NOT(ISERROR(SEARCH(" ",FC2)))</formula>
    </cfRule>
  </conditionalFormatting>
  <conditionalFormatting sqref="FC62:FC64">
    <cfRule type="colorScale" priority="1684">
      <colorScale>
        <cfvo type="min"/>
        <cfvo type="max"/>
        <color rgb="FFFCFCFF"/>
        <color rgb="FF63BE7B"/>
      </colorScale>
    </cfRule>
    <cfRule type="colorScale" priority="1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65:FC1048576">
    <cfRule type="containsText" dxfId="1369" priority="1971" operator="containsText" text=" ">
      <formula>NOT(ISERROR(SEARCH(" ",FC65)))</formula>
    </cfRule>
    <cfRule type="containsText" dxfId="1368" priority="1972" operator="containsText" text=" ">
      <formula>NOT(ISERROR(SEARCH(" ",FC65)))</formula>
    </cfRule>
  </conditionalFormatting>
  <conditionalFormatting sqref="FD62:FD64">
    <cfRule type="cellIs" dxfId="1367" priority="1637" operator="greaterThan">
      <formula>1</formula>
    </cfRule>
    <cfRule type="colorScale" priority="1638">
      <colorScale>
        <cfvo type="min"/>
        <cfvo type="max"/>
        <color rgb="FFFCFCFF"/>
        <color rgb="FF63BE7B"/>
      </colorScale>
    </cfRule>
    <cfRule type="colorScale" priority="1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62:FE64">
    <cfRule type="colorScale" priority="1704">
      <colorScale>
        <cfvo type="min"/>
        <cfvo type="max"/>
        <color rgb="FFFCFCFF"/>
        <color rgb="FF63BE7B"/>
      </colorScale>
    </cfRule>
    <cfRule type="colorScale" priority="17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2:FF3">
    <cfRule type="containsText" dxfId="1366" priority="1966" operator="containsText" text=" ">
      <formula>NOT(ISERROR(SEARCH(" ",FF2)))</formula>
    </cfRule>
    <cfRule type="containsText" dxfId="1365" priority="1967" operator="containsText" text=" ">
      <formula>NOT(ISERROR(SEARCH(" ",FF2)))</formula>
    </cfRule>
  </conditionalFormatting>
  <conditionalFormatting sqref="FF62:FF64">
    <cfRule type="colorScale" priority="1682">
      <colorScale>
        <cfvo type="min"/>
        <cfvo type="max"/>
        <color rgb="FFFCFCFF"/>
        <color rgb="FF63BE7B"/>
      </colorScale>
    </cfRule>
    <cfRule type="colorScale" priority="1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65:FF1048576">
    <cfRule type="containsText" dxfId="1364" priority="1964" operator="containsText" text=" ">
      <formula>NOT(ISERROR(SEARCH(" ",FF65)))</formula>
    </cfRule>
    <cfRule type="containsText" dxfId="1363" priority="1965" operator="containsText" text=" ">
      <formula>NOT(ISERROR(SEARCH(" ",FF65)))</formula>
    </cfRule>
  </conditionalFormatting>
  <conditionalFormatting sqref="FG62:FG64">
    <cfRule type="cellIs" dxfId="1362" priority="1634" operator="greaterThan">
      <formula>1</formula>
    </cfRule>
    <cfRule type="colorScale" priority="1635">
      <colorScale>
        <cfvo type="min"/>
        <cfvo type="max"/>
        <color rgb="FFFCFCFF"/>
        <color rgb="FF63BE7B"/>
      </colorScale>
    </cfRule>
    <cfRule type="colorScale" priority="16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2:FH64">
    <cfRule type="colorScale" priority="1702">
      <colorScale>
        <cfvo type="min"/>
        <cfvo type="max"/>
        <color rgb="FFFCFCFF"/>
        <color rgb="FF63BE7B"/>
      </colorScale>
    </cfRule>
    <cfRule type="colorScale" priority="17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:FI3">
    <cfRule type="containsText" dxfId="1361" priority="1959" operator="containsText" text=" ">
      <formula>NOT(ISERROR(SEARCH(" ",FI2)))</formula>
    </cfRule>
    <cfRule type="containsText" dxfId="1360" priority="1960" operator="containsText" text=" ">
      <formula>NOT(ISERROR(SEARCH(" ",FI2)))</formula>
    </cfRule>
  </conditionalFormatting>
  <conditionalFormatting sqref="FI62:FI64">
    <cfRule type="colorScale" priority="1680">
      <colorScale>
        <cfvo type="min"/>
        <cfvo type="max"/>
        <color rgb="FFFCFCFF"/>
        <color rgb="FF63BE7B"/>
      </colorScale>
    </cfRule>
    <cfRule type="colorScale" priority="1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5:FI1048576">
    <cfRule type="containsText" dxfId="1359" priority="1957" operator="containsText" text=" ">
      <formula>NOT(ISERROR(SEARCH(" ",FI65)))</formula>
    </cfRule>
    <cfRule type="containsText" dxfId="1358" priority="1958" operator="containsText" text=" ">
      <formula>NOT(ISERROR(SEARCH(" ",FI65)))</formula>
    </cfRule>
  </conditionalFormatting>
  <conditionalFormatting sqref="FJ62:FJ64">
    <cfRule type="cellIs" dxfId="1357" priority="1631" operator="greaterThan">
      <formula>1</formula>
    </cfRule>
    <cfRule type="colorScale" priority="1632">
      <colorScale>
        <cfvo type="min"/>
        <cfvo type="max"/>
        <color rgb="FFFCFCFF"/>
        <color rgb="FF63BE7B"/>
      </colorScale>
    </cfRule>
    <cfRule type="colorScale" priority="16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2:FK64">
    <cfRule type="colorScale" priority="1700">
      <colorScale>
        <cfvo type="min"/>
        <cfvo type="max"/>
        <color rgb="FFFCFCFF"/>
        <color rgb="FF63BE7B"/>
      </colorScale>
    </cfRule>
    <cfRule type="colorScale" priority="17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:FL3">
    <cfRule type="containsText" dxfId="1356" priority="1952" operator="containsText" text=" ">
      <formula>NOT(ISERROR(SEARCH(" ",FL2)))</formula>
    </cfRule>
    <cfRule type="containsText" dxfId="1355" priority="1953" operator="containsText" text=" ">
      <formula>NOT(ISERROR(SEARCH(" ",FL2)))</formula>
    </cfRule>
  </conditionalFormatting>
  <conditionalFormatting sqref="FL62:FL64">
    <cfRule type="colorScale" priority="1678">
      <colorScale>
        <cfvo type="min"/>
        <cfvo type="max"/>
        <color rgb="FFFCFCFF"/>
        <color rgb="FF63BE7B"/>
      </colorScale>
    </cfRule>
    <cfRule type="colorScale" priority="1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5:FL1048576">
    <cfRule type="containsText" dxfId="1354" priority="1950" operator="containsText" text=" ">
      <formula>NOT(ISERROR(SEARCH(" ",FL65)))</formula>
    </cfRule>
    <cfRule type="containsText" dxfId="1353" priority="1951" operator="containsText" text=" ">
      <formula>NOT(ISERROR(SEARCH(" ",FL65)))</formula>
    </cfRule>
  </conditionalFormatting>
  <conditionalFormatting sqref="FM62:FM64">
    <cfRule type="cellIs" dxfId="1352" priority="1628" operator="greaterThan">
      <formula>1</formula>
    </cfRule>
    <cfRule type="colorScale" priority="1629">
      <colorScale>
        <cfvo type="min"/>
        <cfvo type="max"/>
        <color rgb="FFFCFCFF"/>
        <color rgb="FF63BE7B"/>
      </colorScale>
    </cfRule>
    <cfRule type="colorScale" priority="1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2:FN64">
    <cfRule type="colorScale" priority="1698">
      <colorScale>
        <cfvo type="min"/>
        <cfvo type="max"/>
        <color rgb="FFFCFCFF"/>
        <color rgb="FF63BE7B"/>
      </colorScale>
    </cfRule>
    <cfRule type="colorScale" priority="16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2:FO3">
    <cfRule type="containsText" dxfId="1351" priority="1945" operator="containsText" text=" ">
      <formula>NOT(ISERROR(SEARCH(" ",FO2)))</formula>
    </cfRule>
    <cfRule type="containsText" dxfId="1350" priority="1946" operator="containsText" text=" ">
      <formula>NOT(ISERROR(SEARCH(" ",FO2)))</formula>
    </cfRule>
  </conditionalFormatting>
  <conditionalFormatting sqref="FO62:FO64">
    <cfRule type="colorScale" priority="1676">
      <colorScale>
        <cfvo type="min"/>
        <cfvo type="max"/>
        <color rgb="FFFCFCFF"/>
        <color rgb="FF63BE7B"/>
      </colorScale>
    </cfRule>
    <cfRule type="colorScale" priority="1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5:FO1048576">
    <cfRule type="containsText" dxfId="1349" priority="1943" operator="containsText" text=" ">
      <formula>NOT(ISERROR(SEARCH(" ",FO65)))</formula>
    </cfRule>
    <cfRule type="containsText" dxfId="1348" priority="1944" operator="containsText" text=" ">
      <formula>NOT(ISERROR(SEARCH(" ",FO65)))</formula>
    </cfRule>
  </conditionalFormatting>
  <conditionalFormatting sqref="FP62:FP64">
    <cfRule type="cellIs" dxfId="1347" priority="1625" operator="greaterThan">
      <formula>1</formula>
    </cfRule>
    <cfRule type="colorScale" priority="1626">
      <colorScale>
        <cfvo type="min"/>
        <cfvo type="max"/>
        <color rgb="FFFCFCFF"/>
        <color rgb="FF63BE7B"/>
      </colorScale>
    </cfRule>
    <cfRule type="colorScale" priority="1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2:FQ64">
    <cfRule type="colorScale" priority="1696">
      <colorScale>
        <cfvo type="min"/>
        <cfvo type="max"/>
        <color rgb="FFFCFCFF"/>
        <color rgb="FF63BE7B"/>
      </colorScale>
    </cfRule>
    <cfRule type="colorScale" priority="1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2:FR3">
    <cfRule type="containsText" dxfId="1346" priority="1938" operator="containsText" text=" ">
      <formula>NOT(ISERROR(SEARCH(" ",FR2)))</formula>
    </cfRule>
    <cfRule type="containsText" dxfId="1345" priority="1939" operator="containsText" text=" ">
      <formula>NOT(ISERROR(SEARCH(" ",FR2)))</formula>
    </cfRule>
  </conditionalFormatting>
  <conditionalFormatting sqref="FR62:FR64">
    <cfRule type="colorScale" priority="1674">
      <colorScale>
        <cfvo type="min"/>
        <cfvo type="max"/>
        <color rgb="FFFCFCFF"/>
        <color rgb="FF63BE7B"/>
      </colorScale>
    </cfRule>
    <cfRule type="colorScale" priority="16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5:FR1048576">
    <cfRule type="containsText" dxfId="1344" priority="1936" operator="containsText" text=" ">
      <formula>NOT(ISERROR(SEARCH(" ",FR65)))</formula>
    </cfRule>
    <cfRule type="containsText" dxfId="1343" priority="1937" operator="containsText" text=" ">
      <formula>NOT(ISERROR(SEARCH(" ",FR65)))</formula>
    </cfRule>
  </conditionalFormatting>
  <conditionalFormatting sqref="FS62:FS64">
    <cfRule type="cellIs" dxfId="1342" priority="1622" operator="greaterThan">
      <formula>1</formula>
    </cfRule>
    <cfRule type="colorScale" priority="1623">
      <colorScale>
        <cfvo type="min"/>
        <cfvo type="max"/>
        <color rgb="FFFCFCFF"/>
        <color rgb="FF63BE7B"/>
      </colorScale>
    </cfRule>
    <cfRule type="colorScale" priority="1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2:FT64">
    <cfRule type="colorScale" priority="1694">
      <colorScale>
        <cfvo type="min"/>
        <cfvo type="max"/>
        <color rgb="FFFCFCFF"/>
        <color rgb="FF63BE7B"/>
      </colorScale>
    </cfRule>
    <cfRule type="colorScale" priority="1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2:FU3">
    <cfRule type="containsText" dxfId="1341" priority="1931" operator="containsText" text=" ">
      <formula>NOT(ISERROR(SEARCH(" ",FU2)))</formula>
    </cfRule>
    <cfRule type="containsText" dxfId="1340" priority="1932" operator="containsText" text=" ">
      <formula>NOT(ISERROR(SEARCH(" ",FU2)))</formula>
    </cfRule>
  </conditionalFormatting>
  <conditionalFormatting sqref="FU62:FU64">
    <cfRule type="colorScale" priority="1672">
      <colorScale>
        <cfvo type="min"/>
        <cfvo type="max"/>
        <color rgb="FFFCFCFF"/>
        <color rgb="FF63BE7B"/>
      </colorScale>
    </cfRule>
    <cfRule type="colorScale" priority="16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5:FU1048576">
    <cfRule type="containsText" dxfId="1339" priority="1929" operator="containsText" text=" ">
      <formula>NOT(ISERROR(SEARCH(" ",FU65)))</formula>
    </cfRule>
    <cfRule type="containsText" dxfId="1338" priority="1930" operator="containsText" text=" ">
      <formula>NOT(ISERROR(SEARCH(" ",FU65)))</formula>
    </cfRule>
  </conditionalFormatting>
  <conditionalFormatting sqref="FV62:FV64">
    <cfRule type="cellIs" dxfId="1337" priority="1619" operator="greaterThan">
      <formula>1</formula>
    </cfRule>
    <cfRule type="colorScale" priority="1620">
      <colorScale>
        <cfvo type="min"/>
        <cfvo type="max"/>
        <color rgb="FFFCFCFF"/>
        <color rgb="FF63BE7B"/>
      </colorScale>
    </cfRule>
    <cfRule type="colorScale" priority="1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2:FW64">
    <cfRule type="colorScale" priority="1692">
      <colorScale>
        <cfvo type="min"/>
        <cfvo type="max"/>
        <color rgb="FFFCFCFF"/>
        <color rgb="FF63BE7B"/>
      </colorScale>
    </cfRule>
    <cfRule type="colorScale" priority="1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2:FX3">
    <cfRule type="containsText" dxfId="1336" priority="1924" operator="containsText" text=" ">
      <formula>NOT(ISERROR(SEARCH(" ",FX2)))</formula>
    </cfRule>
    <cfRule type="containsText" dxfId="1335" priority="1925" operator="containsText" text=" ">
      <formula>NOT(ISERROR(SEARCH(" ",FX2)))</formula>
    </cfRule>
  </conditionalFormatting>
  <conditionalFormatting sqref="FX62:FX64">
    <cfRule type="colorScale" priority="1670">
      <colorScale>
        <cfvo type="min"/>
        <cfvo type="max"/>
        <color rgb="FFFCFCFF"/>
        <color rgb="FF63BE7B"/>
      </colorScale>
    </cfRule>
    <cfRule type="colorScale" priority="1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5:FX1048576">
    <cfRule type="containsText" dxfId="1334" priority="1922" operator="containsText" text=" ">
      <formula>NOT(ISERROR(SEARCH(" ",FX65)))</formula>
    </cfRule>
    <cfRule type="containsText" dxfId="1333" priority="1923" operator="containsText" text=" ">
      <formula>NOT(ISERROR(SEARCH(" ",FX65)))</formula>
    </cfRule>
  </conditionalFormatting>
  <conditionalFormatting sqref="FY62:FY64">
    <cfRule type="cellIs" dxfId="1332" priority="1616" operator="greaterThan">
      <formula>1</formula>
    </cfRule>
    <cfRule type="colorScale" priority="1617">
      <colorScale>
        <cfvo type="min"/>
        <cfvo type="max"/>
        <color rgb="FFFCFCFF"/>
        <color rgb="FF63BE7B"/>
      </colorScale>
    </cfRule>
    <cfRule type="colorScale" priority="1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2:GF64">
    <cfRule type="cellIs" dxfId="1331" priority="963" operator="greaterThan">
      <formula>1</formula>
    </cfRule>
    <cfRule type="colorScale" priority="964">
      <colorScale>
        <cfvo type="min"/>
        <cfvo type="max"/>
        <color rgb="FFFCFCFF"/>
        <color rgb="FF63BE7B"/>
      </colorScale>
    </cfRule>
    <cfRule type="colorScale" priority="9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49:GG61">
    <cfRule type="colorScale" priority="1338">
      <colorScale>
        <cfvo type="min"/>
        <cfvo type="max"/>
        <color rgb="FFFCFCFF"/>
        <color rgb="FF63BE7B"/>
      </colorScale>
    </cfRule>
    <cfRule type="colorScale" priority="1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2:GG64">
    <cfRule type="colorScale" priority="1092">
      <colorScale>
        <cfvo type="min"/>
        <cfvo type="max"/>
        <color rgb="FFFCFCFF"/>
        <color rgb="FF63BE7B"/>
      </colorScale>
    </cfRule>
    <cfRule type="colorScale" priority="10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2:GI64">
    <cfRule type="cellIs" dxfId="1330" priority="1097" operator="greaterThan">
      <formula>1</formula>
    </cfRule>
  </conditionalFormatting>
  <conditionalFormatting sqref="GJ62:GJ64">
    <cfRule type="colorScale" priority="1100">
      <colorScale>
        <cfvo type="min"/>
        <cfvo type="max"/>
        <color rgb="FFFCFCFF"/>
        <color rgb="FF63BE7B"/>
      </colorScale>
    </cfRule>
    <cfRule type="colorScale" priority="1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2:GK3">
    <cfRule type="containsText" dxfId="1329" priority="1316" operator="containsText" text=" ">
      <formula>NOT(ISERROR(SEARCH(" ",GK2)))</formula>
    </cfRule>
    <cfRule type="containsText" dxfId="1328" priority="1317" operator="containsText" text=" ">
      <formula>NOT(ISERROR(SEARCH(" ",GK2)))</formula>
    </cfRule>
  </conditionalFormatting>
  <conditionalFormatting sqref="GK62:GK64">
    <cfRule type="colorScale" priority="1072">
      <colorScale>
        <cfvo type="min"/>
        <cfvo type="max"/>
        <color rgb="FFFCFCFF"/>
        <color rgb="FF63BE7B"/>
      </colorScale>
    </cfRule>
    <cfRule type="colorScale" priority="10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5:GK1048576">
    <cfRule type="containsText" dxfId="1327" priority="1314" operator="containsText" text=" ">
      <formula>NOT(ISERROR(SEARCH(" ",GK65)))</formula>
    </cfRule>
    <cfRule type="containsText" dxfId="1326" priority="1315" operator="containsText" text=" ">
      <formula>NOT(ISERROR(SEARCH(" ",GK65)))</formula>
    </cfRule>
  </conditionalFormatting>
  <conditionalFormatting sqref="GL62:GL64">
    <cfRule type="cellIs" dxfId="1325" priority="1049" operator="greaterThan">
      <formula>1</formula>
    </cfRule>
    <cfRule type="colorScale" priority="1050">
      <colorScale>
        <cfvo type="min"/>
        <cfvo type="max"/>
        <color rgb="FFFCFCFF"/>
        <color rgb="FF63BE7B"/>
      </colorScale>
    </cfRule>
    <cfRule type="colorScale" priority="1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2:GM64">
    <cfRule type="colorScale" priority="996">
      <colorScale>
        <cfvo type="min"/>
        <cfvo type="max"/>
        <color rgb="FFFCFCFF"/>
        <color rgb="FF63BE7B"/>
      </colorScale>
    </cfRule>
    <cfRule type="colorScale" priority="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2:GN3">
    <cfRule type="containsText" dxfId="1324" priority="1309" operator="containsText" text=" ">
      <formula>NOT(ISERROR(SEARCH(" ",GN2)))</formula>
    </cfRule>
    <cfRule type="containsText" dxfId="1323" priority="1310" operator="containsText" text=" ">
      <formula>NOT(ISERROR(SEARCH(" ",GN2)))</formula>
    </cfRule>
  </conditionalFormatting>
  <conditionalFormatting sqref="GN62:GN64">
    <cfRule type="colorScale" priority="994">
      <colorScale>
        <cfvo type="min"/>
        <cfvo type="max"/>
        <color rgb="FFFCFCFF"/>
        <color rgb="FF63BE7B"/>
      </colorScale>
    </cfRule>
    <cfRule type="colorScale" priority="9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5:GN1048576">
    <cfRule type="containsText" dxfId="1322" priority="1307" operator="containsText" text=" ">
      <formula>NOT(ISERROR(SEARCH(" ",GN65)))</formula>
    </cfRule>
    <cfRule type="containsText" dxfId="1321" priority="1308" operator="containsText" text=" ">
      <formula>NOT(ISERROR(SEARCH(" ",GN65)))</formula>
    </cfRule>
  </conditionalFormatting>
  <conditionalFormatting sqref="GO62:GO64">
    <cfRule type="cellIs" dxfId="1320" priority="1046" operator="greaterThan">
      <formula>1</formula>
    </cfRule>
    <cfRule type="colorScale" priority="1047">
      <colorScale>
        <cfvo type="min"/>
        <cfvo type="max"/>
        <color rgb="FFFCFCFF"/>
        <color rgb="FF63BE7B"/>
      </colorScale>
    </cfRule>
    <cfRule type="colorScale" priority="10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2:GP64">
    <cfRule type="colorScale" priority="992">
      <colorScale>
        <cfvo type="min"/>
        <cfvo type="max"/>
        <color rgb="FFFCFCFF"/>
        <color rgb="FF63BE7B"/>
      </colorScale>
    </cfRule>
    <cfRule type="colorScale" priority="9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2:GQ3">
    <cfRule type="containsText" dxfId="1319" priority="1304" operator="containsText" text=" ">
      <formula>NOT(ISERROR(SEARCH(" ",GQ2)))</formula>
    </cfRule>
    <cfRule type="containsText" dxfId="1318" priority="1305" operator="containsText" text=" ">
      <formula>NOT(ISERROR(SEARCH(" ",GQ2)))</formula>
    </cfRule>
  </conditionalFormatting>
  <conditionalFormatting sqref="GQ62:GQ64">
    <cfRule type="colorScale" priority="990">
      <colorScale>
        <cfvo type="min"/>
        <cfvo type="max"/>
        <color rgb="FFFCFCFF"/>
        <color rgb="FF63BE7B"/>
      </colorScale>
    </cfRule>
    <cfRule type="colorScale" priority="9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5:GQ1048576">
    <cfRule type="containsText" dxfId="1317" priority="1302" operator="containsText" text=" ">
      <formula>NOT(ISERROR(SEARCH(" ",GQ65)))</formula>
    </cfRule>
    <cfRule type="containsText" dxfId="1316" priority="1303" operator="containsText" text=" ">
      <formula>NOT(ISERROR(SEARCH(" ",GQ65)))</formula>
    </cfRule>
  </conditionalFormatting>
  <conditionalFormatting sqref="GR62:GR64">
    <cfRule type="cellIs" dxfId="1315" priority="1043" operator="greaterThan">
      <formula>1</formula>
    </cfRule>
    <cfRule type="colorScale" priority="1044">
      <colorScale>
        <cfvo type="min"/>
        <cfvo type="max"/>
        <color rgb="FFFCFCFF"/>
        <color rgb="FF63BE7B"/>
      </colorScale>
    </cfRule>
    <cfRule type="colorScale" priority="10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2:GS64">
    <cfRule type="colorScale" priority="988">
      <colorScale>
        <cfvo type="min"/>
        <cfvo type="max"/>
        <color rgb="FFFCFCFF"/>
        <color rgb="FF63BE7B"/>
      </colorScale>
    </cfRule>
    <cfRule type="colorScale" priority="9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2:GT3">
    <cfRule type="containsText" dxfId="1314" priority="1299" operator="containsText" text=" ">
      <formula>NOT(ISERROR(SEARCH(" ",GT2)))</formula>
    </cfRule>
    <cfRule type="containsText" dxfId="1313" priority="1300" operator="containsText" text=" ">
      <formula>NOT(ISERROR(SEARCH(" ",GT2)))</formula>
    </cfRule>
  </conditionalFormatting>
  <conditionalFormatting sqref="GT62:GT64">
    <cfRule type="colorScale" priority="986">
      <colorScale>
        <cfvo type="min"/>
        <cfvo type="max"/>
        <color rgb="FFFCFCFF"/>
        <color rgb="FF63BE7B"/>
      </colorScale>
    </cfRule>
    <cfRule type="colorScale" priority="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5:GT1048576">
    <cfRule type="containsText" dxfId="1312" priority="1297" operator="containsText" text=" ">
      <formula>NOT(ISERROR(SEARCH(" ",GT65)))</formula>
    </cfRule>
    <cfRule type="containsText" dxfId="1311" priority="1298" operator="containsText" text=" ">
      <formula>NOT(ISERROR(SEARCH(" ",GT65)))</formula>
    </cfRule>
  </conditionalFormatting>
  <conditionalFormatting sqref="GU62:GU64">
    <cfRule type="cellIs" dxfId="1310" priority="1040" operator="greaterThan">
      <formula>1</formula>
    </cfRule>
    <cfRule type="colorScale" priority="1041">
      <colorScale>
        <cfvo type="min"/>
        <cfvo type="max"/>
        <color rgb="FFFCFCFF"/>
        <color rgb="FF63BE7B"/>
      </colorScale>
    </cfRule>
    <cfRule type="colorScale" priority="10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2:GV64">
    <cfRule type="colorScale" priority="984">
      <colorScale>
        <cfvo type="min"/>
        <cfvo type="max"/>
        <color rgb="FFFCFCFF"/>
        <color rgb="FF63BE7B"/>
      </colorScale>
    </cfRule>
    <cfRule type="colorScale" priority="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2:GW3">
    <cfRule type="containsText" dxfId="1309" priority="1294" operator="containsText" text=" ">
      <formula>NOT(ISERROR(SEARCH(" ",GW2)))</formula>
    </cfRule>
    <cfRule type="containsText" dxfId="1308" priority="1295" operator="containsText" text=" ">
      <formula>NOT(ISERROR(SEARCH(" ",GW2)))</formula>
    </cfRule>
  </conditionalFormatting>
  <conditionalFormatting sqref="GW62:GW64">
    <cfRule type="colorScale" priority="982">
      <colorScale>
        <cfvo type="min"/>
        <cfvo type="max"/>
        <color rgb="FFFCFCFF"/>
        <color rgb="FF63BE7B"/>
      </colorScale>
    </cfRule>
    <cfRule type="colorScale" priority="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5:GW1048576">
    <cfRule type="containsText" dxfId="1307" priority="1292" operator="containsText" text=" ">
      <formula>NOT(ISERROR(SEARCH(" ",GW65)))</formula>
    </cfRule>
    <cfRule type="containsText" dxfId="1306" priority="1293" operator="containsText" text=" ">
      <formula>NOT(ISERROR(SEARCH(" ",GW65)))</formula>
    </cfRule>
  </conditionalFormatting>
  <conditionalFormatting sqref="GX62:GX64">
    <cfRule type="cellIs" dxfId="1305" priority="1037" operator="greaterThan">
      <formula>1</formula>
    </cfRule>
    <cfRule type="colorScale" priority="1038">
      <colorScale>
        <cfvo type="min"/>
        <cfvo type="max"/>
        <color rgb="FFFCFCFF"/>
        <color rgb="FF63BE7B"/>
      </colorScale>
    </cfRule>
    <cfRule type="colorScale" priority="1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2:GY64">
    <cfRule type="colorScale" priority="980">
      <colorScale>
        <cfvo type="min"/>
        <cfvo type="max"/>
        <color rgb="FFFCFCFF"/>
        <color rgb="FF63BE7B"/>
      </colorScale>
    </cfRule>
    <cfRule type="colorScale" priority="9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2:GZ3">
    <cfRule type="containsText" dxfId="1304" priority="1289" operator="containsText" text=" ">
      <formula>NOT(ISERROR(SEARCH(" ",GZ2)))</formula>
    </cfRule>
    <cfRule type="containsText" dxfId="1303" priority="1290" operator="containsText" text=" ">
      <formula>NOT(ISERROR(SEARCH(" ",GZ2)))</formula>
    </cfRule>
  </conditionalFormatting>
  <conditionalFormatting sqref="GZ62:GZ64">
    <cfRule type="colorScale" priority="978">
      <colorScale>
        <cfvo type="min"/>
        <cfvo type="max"/>
        <color rgb="FFFCFCFF"/>
        <color rgb="FF63BE7B"/>
      </colorScale>
    </cfRule>
    <cfRule type="colorScale" priority="9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5:GZ1048576">
    <cfRule type="containsText" dxfId="1302" priority="1287" operator="containsText" text=" ">
      <formula>NOT(ISERROR(SEARCH(" ",GZ65)))</formula>
    </cfRule>
    <cfRule type="containsText" dxfId="1301" priority="1288" operator="containsText" text=" ">
      <formula>NOT(ISERROR(SEARCH(" ",GZ65)))</formula>
    </cfRule>
  </conditionalFormatting>
  <conditionalFormatting sqref="HA62:HA64">
    <cfRule type="cellIs" dxfId="1300" priority="1034" operator="greaterThan">
      <formula>1</formula>
    </cfRule>
    <cfRule type="colorScale" priority="1035">
      <colorScale>
        <cfvo type="min"/>
        <cfvo type="max"/>
        <color rgb="FFFCFCFF"/>
        <color rgb="FF63BE7B"/>
      </colorScale>
    </cfRule>
    <cfRule type="colorScale" priority="10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2:HB64">
    <cfRule type="colorScale" priority="976">
      <colorScale>
        <cfvo type="min"/>
        <cfvo type="max"/>
        <color rgb="FFFCFCFF"/>
        <color rgb="FF63BE7B"/>
      </colorScale>
    </cfRule>
    <cfRule type="colorScale" priority="9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2:HC3">
    <cfRule type="containsText" dxfId="1299" priority="1284" operator="containsText" text=" ">
      <formula>NOT(ISERROR(SEARCH(" ",HC2)))</formula>
    </cfRule>
    <cfRule type="containsText" dxfId="1298" priority="1285" operator="containsText" text=" ">
      <formula>NOT(ISERROR(SEARCH(" ",HC2)))</formula>
    </cfRule>
  </conditionalFormatting>
  <conditionalFormatting sqref="HC62:HC64">
    <cfRule type="colorScale" priority="974">
      <colorScale>
        <cfvo type="min"/>
        <cfvo type="max"/>
        <color rgb="FFFCFCFF"/>
        <color rgb="FF63BE7B"/>
      </colorScale>
    </cfRule>
    <cfRule type="colorScale" priority="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5:HC1048576">
    <cfRule type="containsText" dxfId="1297" priority="1282" operator="containsText" text=" ">
      <formula>NOT(ISERROR(SEARCH(" ",HC65)))</formula>
    </cfRule>
    <cfRule type="containsText" dxfId="1296" priority="1283" operator="containsText" text=" ">
      <formula>NOT(ISERROR(SEARCH(" ",HC65)))</formula>
    </cfRule>
  </conditionalFormatting>
  <conditionalFormatting sqref="HD62:HD64">
    <cfRule type="cellIs" dxfId="1295" priority="1031" operator="greaterThan">
      <formula>1</formula>
    </cfRule>
    <cfRule type="colorScale" priority="1032">
      <colorScale>
        <cfvo type="min"/>
        <cfvo type="max"/>
        <color rgb="FFFCFCFF"/>
        <color rgb="FF63BE7B"/>
      </colorScale>
    </cfRule>
    <cfRule type="colorScale" priority="10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2:HE64">
    <cfRule type="colorScale" priority="972">
      <colorScale>
        <cfvo type="min"/>
        <cfvo type="max"/>
        <color rgb="FFFCFCFF"/>
        <color rgb="FF63BE7B"/>
      </colorScale>
    </cfRule>
    <cfRule type="colorScale" priority="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2:HF3">
    <cfRule type="containsText" dxfId="1294" priority="1279" operator="containsText" text=" ">
      <formula>NOT(ISERROR(SEARCH(" ",HF2)))</formula>
    </cfRule>
    <cfRule type="containsText" dxfId="1293" priority="1280" operator="containsText" text=" ">
      <formula>NOT(ISERROR(SEARCH(" ",HF2)))</formula>
    </cfRule>
  </conditionalFormatting>
  <conditionalFormatting sqref="HF62:HF64">
    <cfRule type="colorScale" priority="970">
      <colorScale>
        <cfvo type="min"/>
        <cfvo type="max"/>
        <color rgb="FFFCFCFF"/>
        <color rgb="FF63BE7B"/>
      </colorScale>
    </cfRule>
    <cfRule type="colorScale" priority="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5:HF1048576">
    <cfRule type="containsText" dxfId="1292" priority="1277" operator="containsText" text=" ">
      <formula>NOT(ISERROR(SEARCH(" ",HF65)))</formula>
    </cfRule>
    <cfRule type="containsText" dxfId="1291" priority="1278" operator="containsText" text=" ">
      <formula>NOT(ISERROR(SEARCH(" ",HF65)))</formula>
    </cfRule>
  </conditionalFormatting>
  <conditionalFormatting sqref="HG62:HG64">
    <cfRule type="cellIs" dxfId="1290" priority="1028" operator="greaterThan">
      <formula>1</formula>
    </cfRule>
    <cfRule type="colorScale" priority="1029">
      <colorScale>
        <cfvo type="min"/>
        <cfvo type="max"/>
        <color rgb="FFFCFCFF"/>
        <color rgb="FF63BE7B"/>
      </colorScale>
    </cfRule>
    <cfRule type="colorScale" priority="10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2:HI3">
    <cfRule type="containsText" dxfId="1289" priority="1274" operator="containsText" text=" ">
      <formula>NOT(ISERROR(SEARCH(" ",HI2)))</formula>
    </cfRule>
    <cfRule type="containsText" dxfId="1288" priority="1275" operator="containsText" text=" ">
      <formula>NOT(ISERROR(SEARCH(" ",HI2)))</formula>
    </cfRule>
  </conditionalFormatting>
  <conditionalFormatting sqref="HI65:HI1048576">
    <cfRule type="containsText" dxfId="1287" priority="1272" operator="containsText" text=" ">
      <formula>NOT(ISERROR(SEARCH(" ",HI65)))</formula>
    </cfRule>
    <cfRule type="containsText" dxfId="1286" priority="1273" operator="containsText" text=" ">
      <formula>NOT(ISERROR(SEARCH(" ",HI65)))</formula>
    </cfRule>
  </conditionalFormatting>
  <conditionalFormatting sqref="HJ62:HJ64">
    <cfRule type="cellIs" dxfId="1285" priority="1025" operator="greaterThan">
      <formula>1</formula>
    </cfRule>
    <cfRule type="colorScale" priority="1026">
      <colorScale>
        <cfvo type="min"/>
        <cfvo type="max"/>
        <color rgb="FFFCFCFF"/>
        <color rgb="FF63BE7B"/>
      </colorScale>
    </cfRule>
    <cfRule type="colorScale" priority="10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2:HL3">
    <cfRule type="containsText" dxfId="1284" priority="1269" operator="containsText" text=" ">
      <formula>NOT(ISERROR(SEARCH(" ",HL2)))</formula>
    </cfRule>
    <cfRule type="containsText" dxfId="1283" priority="1270" operator="containsText" text=" ">
      <formula>NOT(ISERROR(SEARCH(" ",HL2)))</formula>
    </cfRule>
  </conditionalFormatting>
  <conditionalFormatting sqref="HL65:HL1048576">
    <cfRule type="containsText" dxfId="1282" priority="1267" operator="containsText" text=" ">
      <formula>NOT(ISERROR(SEARCH(" ",HL65)))</formula>
    </cfRule>
    <cfRule type="containsText" dxfId="1281" priority="1268" operator="containsText" text=" ">
      <formula>NOT(ISERROR(SEARCH(" ",HL65)))</formula>
    </cfRule>
  </conditionalFormatting>
  <conditionalFormatting sqref="HM62:HM64">
    <cfRule type="cellIs" dxfId="1280" priority="1094" operator="greaterThan">
      <formula>1</formula>
    </cfRule>
    <cfRule type="colorScale" priority="1095">
      <colorScale>
        <cfvo type="min"/>
        <cfvo type="max"/>
        <color rgb="FFFCFCFF"/>
        <color rgb="FF63BE7B"/>
      </colorScale>
    </cfRule>
    <cfRule type="colorScale" priority="10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2:HO3">
    <cfRule type="containsText" dxfId="1279" priority="1262" operator="containsText" text=" ">
      <formula>NOT(ISERROR(SEARCH(" ",HO2)))</formula>
    </cfRule>
    <cfRule type="containsText" dxfId="1278" priority="1263" operator="containsText" text=" ">
      <formula>NOT(ISERROR(SEARCH(" ",HO2)))</formula>
    </cfRule>
  </conditionalFormatting>
  <conditionalFormatting sqref="HO65:HO1048576">
    <cfRule type="containsText" dxfId="1277" priority="1260" operator="containsText" text=" ">
      <formula>NOT(ISERROR(SEARCH(" ",HO65)))</formula>
    </cfRule>
    <cfRule type="containsText" dxfId="1276" priority="1261" operator="containsText" text=" ">
      <formula>NOT(ISERROR(SEARCH(" ",HO65)))</formula>
    </cfRule>
  </conditionalFormatting>
  <conditionalFormatting sqref="HP62:HP64">
    <cfRule type="cellIs" dxfId="1275" priority="1022" operator="greaterThan">
      <formula>1</formula>
    </cfRule>
    <cfRule type="colorScale" priority="1023">
      <colorScale>
        <cfvo type="min"/>
        <cfvo type="max"/>
        <color rgb="FFFCFCFF"/>
        <color rgb="FF63BE7B"/>
      </colorScale>
    </cfRule>
    <cfRule type="colorScale" priority="1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R2:HR3">
    <cfRule type="containsText" dxfId="1274" priority="1255" operator="containsText" text=" ">
      <formula>NOT(ISERROR(SEARCH(" ",HR2)))</formula>
    </cfRule>
    <cfRule type="containsText" dxfId="1273" priority="1256" operator="containsText" text=" ">
      <formula>NOT(ISERROR(SEARCH(" ",HR2)))</formula>
    </cfRule>
  </conditionalFormatting>
  <conditionalFormatting sqref="HR65:HR1048576">
    <cfRule type="containsText" dxfId="1272" priority="1253" operator="containsText" text=" ">
      <formula>NOT(ISERROR(SEARCH(" ",HR65)))</formula>
    </cfRule>
    <cfRule type="containsText" dxfId="1271" priority="1254" operator="containsText" text=" ">
      <formula>NOT(ISERROR(SEARCH(" ",HR65)))</formula>
    </cfRule>
  </conditionalFormatting>
  <conditionalFormatting sqref="HS62:HS64">
    <cfRule type="cellIs" dxfId="1270" priority="1019" operator="greaterThan">
      <formula>1</formula>
    </cfRule>
    <cfRule type="colorScale" priority="1020">
      <colorScale>
        <cfvo type="min"/>
        <cfvo type="max"/>
        <color rgb="FFFCFCFF"/>
        <color rgb="FF63BE7B"/>
      </colorScale>
    </cfRule>
    <cfRule type="colorScale" priority="10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U2:HU3">
    <cfRule type="containsText" dxfId="1269" priority="1248" operator="containsText" text=" ">
      <formula>NOT(ISERROR(SEARCH(" ",HU2)))</formula>
    </cfRule>
    <cfRule type="containsText" dxfId="1268" priority="1249" operator="containsText" text=" ">
      <formula>NOT(ISERROR(SEARCH(" ",HU2)))</formula>
    </cfRule>
  </conditionalFormatting>
  <conditionalFormatting sqref="HU65:HU1048576">
    <cfRule type="containsText" dxfId="1267" priority="1246" operator="containsText" text=" ">
      <formula>NOT(ISERROR(SEARCH(" ",HU65)))</formula>
    </cfRule>
    <cfRule type="containsText" dxfId="1266" priority="1247" operator="containsText" text=" ">
      <formula>NOT(ISERROR(SEARCH(" ",HU65)))</formula>
    </cfRule>
  </conditionalFormatting>
  <conditionalFormatting sqref="HV62:HV64">
    <cfRule type="cellIs" dxfId="1265" priority="1016" operator="greaterThan">
      <formula>1</formula>
    </cfRule>
    <cfRule type="colorScale" priority="1017">
      <colorScale>
        <cfvo type="min"/>
        <cfvo type="max"/>
        <color rgb="FFFCFCFF"/>
        <color rgb="FF63BE7B"/>
      </colorScale>
    </cfRule>
    <cfRule type="colorScale" priority="1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2:HX3">
    <cfRule type="containsText" dxfId="1264" priority="1241" operator="containsText" text=" ">
      <formula>NOT(ISERROR(SEARCH(" ",HX2)))</formula>
    </cfRule>
    <cfRule type="containsText" dxfId="1263" priority="1242" operator="containsText" text=" ">
      <formula>NOT(ISERROR(SEARCH(" ",HX2)))</formula>
    </cfRule>
  </conditionalFormatting>
  <conditionalFormatting sqref="HX65:HX1048576">
    <cfRule type="containsText" dxfId="1262" priority="1239" operator="containsText" text=" ">
      <formula>NOT(ISERROR(SEARCH(" ",HX65)))</formula>
    </cfRule>
    <cfRule type="containsText" dxfId="1261" priority="1240" operator="containsText" text=" ">
      <formula>NOT(ISERROR(SEARCH(" ",HX65)))</formula>
    </cfRule>
  </conditionalFormatting>
  <conditionalFormatting sqref="HY62:HY64">
    <cfRule type="cellIs" dxfId="1260" priority="1013" operator="greaterThan">
      <formula>1</formula>
    </cfRule>
    <cfRule type="colorScale" priority="1014">
      <colorScale>
        <cfvo type="min"/>
        <cfvo type="max"/>
        <color rgb="FFFCFCFF"/>
        <color rgb="FF63BE7B"/>
      </colorScale>
    </cfRule>
    <cfRule type="colorScale" priority="10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2:IA3">
    <cfRule type="containsText" dxfId="1259" priority="1234" operator="containsText" text=" ">
      <formula>NOT(ISERROR(SEARCH(" ",IA2)))</formula>
    </cfRule>
    <cfRule type="containsText" dxfId="1258" priority="1235" operator="containsText" text=" ">
      <formula>NOT(ISERROR(SEARCH(" ",IA2)))</formula>
    </cfRule>
  </conditionalFormatting>
  <conditionalFormatting sqref="IA65:IA1048576">
    <cfRule type="containsText" dxfId="1257" priority="1232" operator="containsText" text=" ">
      <formula>NOT(ISERROR(SEARCH(" ",IA65)))</formula>
    </cfRule>
    <cfRule type="containsText" dxfId="1256" priority="1233" operator="containsText" text=" ">
      <formula>NOT(ISERROR(SEARCH(" ",IA65)))</formula>
    </cfRule>
  </conditionalFormatting>
  <conditionalFormatting sqref="IB62:IB64">
    <cfRule type="cellIs" dxfId="1255" priority="1010" operator="greaterThan">
      <formula>1</formula>
    </cfRule>
    <cfRule type="colorScale" priority="1011">
      <colorScale>
        <cfvo type="min"/>
        <cfvo type="max"/>
        <color rgb="FFFCFCFF"/>
        <color rgb="FF63BE7B"/>
      </colorScale>
    </cfRule>
    <cfRule type="colorScale" priority="10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2:ID3">
    <cfRule type="containsText" dxfId="1254" priority="1227" operator="containsText" text=" ">
      <formula>NOT(ISERROR(SEARCH(" ",ID2)))</formula>
    </cfRule>
    <cfRule type="containsText" dxfId="1253" priority="1228" operator="containsText" text=" ">
      <formula>NOT(ISERROR(SEARCH(" ",ID2)))</formula>
    </cfRule>
  </conditionalFormatting>
  <conditionalFormatting sqref="ID65:ID1048576">
    <cfRule type="containsText" dxfId="1252" priority="1225" operator="containsText" text=" ">
      <formula>NOT(ISERROR(SEARCH(" ",ID65)))</formula>
    </cfRule>
    <cfRule type="containsText" dxfId="1251" priority="1226" operator="containsText" text=" ">
      <formula>NOT(ISERROR(SEARCH(" ",ID65)))</formula>
    </cfRule>
  </conditionalFormatting>
  <conditionalFormatting sqref="IE62:IE64">
    <cfRule type="cellIs" dxfId="1250" priority="1007" operator="greaterThan">
      <formula>1</formula>
    </cfRule>
    <cfRule type="colorScale" priority="1008">
      <colorScale>
        <cfvo type="min"/>
        <cfvo type="max"/>
        <color rgb="FFFCFCFF"/>
        <color rgb="FF63BE7B"/>
      </colorScale>
    </cfRule>
    <cfRule type="colorScale" priority="10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2:IG3">
    <cfRule type="containsText" dxfId="1249" priority="1220" operator="containsText" text=" ">
      <formula>NOT(ISERROR(SEARCH(" ",IG2)))</formula>
    </cfRule>
    <cfRule type="containsText" dxfId="1248" priority="1221" operator="containsText" text=" ">
      <formula>NOT(ISERROR(SEARCH(" ",IG2)))</formula>
    </cfRule>
  </conditionalFormatting>
  <conditionalFormatting sqref="IG65:IG1048576">
    <cfRule type="containsText" dxfId="1247" priority="1218" operator="containsText" text=" ">
      <formula>NOT(ISERROR(SEARCH(" ",IG65)))</formula>
    </cfRule>
    <cfRule type="containsText" dxfId="1246" priority="1219" operator="containsText" text=" ">
      <formula>NOT(ISERROR(SEARCH(" ",IG65)))</formula>
    </cfRule>
  </conditionalFormatting>
  <conditionalFormatting sqref="IH62:IH64">
    <cfRule type="cellIs" dxfId="1245" priority="1004" operator="greaterThan">
      <formula>1</formula>
    </cfRule>
    <cfRule type="colorScale" priority="1005">
      <colorScale>
        <cfvo type="min"/>
        <cfvo type="max"/>
        <color rgb="FFFCFCFF"/>
        <color rgb="FF63BE7B"/>
      </colorScale>
    </cfRule>
    <cfRule type="colorScale" priority="1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2:IJ3">
    <cfRule type="containsText" dxfId="1244" priority="1213" operator="containsText" text=" ">
      <formula>NOT(ISERROR(SEARCH(" ",IJ2)))</formula>
    </cfRule>
    <cfRule type="containsText" dxfId="1243" priority="1214" operator="containsText" text=" ">
      <formula>NOT(ISERROR(SEARCH(" ",IJ2)))</formula>
    </cfRule>
  </conditionalFormatting>
  <conditionalFormatting sqref="IJ65:IJ1048576">
    <cfRule type="containsText" dxfId="1242" priority="1211" operator="containsText" text=" ">
      <formula>NOT(ISERROR(SEARCH(" ",IJ65)))</formula>
    </cfRule>
    <cfRule type="containsText" dxfId="1241" priority="1212" operator="containsText" text=" ">
      <formula>NOT(ISERROR(SEARCH(" ",IJ65)))</formula>
    </cfRule>
  </conditionalFormatting>
  <conditionalFormatting sqref="IK62:IK64">
    <cfRule type="cellIs" dxfId="1240" priority="1001" operator="greaterThan">
      <formula>1</formula>
    </cfRule>
    <cfRule type="colorScale" priority="1002">
      <colorScale>
        <cfvo type="min"/>
        <cfvo type="max"/>
        <color rgb="FFFCFCFF"/>
        <color rgb="FF63BE7B"/>
      </colorScale>
    </cfRule>
    <cfRule type="colorScale" priority="10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2:IM3">
    <cfRule type="containsText" dxfId="1239" priority="1206" operator="containsText" text=" ">
      <formula>NOT(ISERROR(SEARCH(" ",IM2)))</formula>
    </cfRule>
    <cfRule type="containsText" dxfId="1238" priority="1207" operator="containsText" text=" ">
      <formula>NOT(ISERROR(SEARCH(" ",IM2)))</formula>
    </cfRule>
  </conditionalFormatting>
  <conditionalFormatting sqref="IM65:IM1048576">
    <cfRule type="containsText" dxfId="1237" priority="1204" operator="containsText" text=" ">
      <formula>NOT(ISERROR(SEARCH(" ",IM65)))</formula>
    </cfRule>
    <cfRule type="containsText" dxfId="1236" priority="1205" operator="containsText" text=" ">
      <formula>NOT(ISERROR(SEARCH(" ",IM65)))</formula>
    </cfRule>
  </conditionalFormatting>
  <conditionalFormatting sqref="IN62:IN64">
    <cfRule type="cellIs" dxfId="1235" priority="998" operator="greaterThan">
      <formula>1</formula>
    </cfRule>
    <cfRule type="colorScale" priority="999">
      <colorScale>
        <cfvo type="min"/>
        <cfvo type="max"/>
        <color rgb="FFFCFCFF"/>
        <color rgb="FF63BE7B"/>
      </colorScale>
    </cfRule>
    <cfRule type="colorScale" priority="1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:JN14">
    <cfRule type="containsText" dxfId="1234" priority="1438" operator="containsText" text=" ">
      <formula>NOT(ISERROR(SEARCH(" ",JN6)))</formula>
    </cfRule>
  </conditionalFormatting>
  <conditionalFormatting sqref="JO5:JO15">
    <cfRule type="containsText" dxfId="1233" priority="1436" operator="containsText" text=" ">
      <formula>NOT(ISERROR(SEARCH(" ",JO5)))</formula>
    </cfRule>
  </conditionalFormatting>
  <conditionalFormatting sqref="AX1:AY1 AG3 A65:G1048576 AL6:AL64 A1:E1 AJ6:AK23 J2:K3 J4:L4 J1:L1 J65:L1048576 A4:G4 A2 C2:E2 A3:E3 AG65:AL1048576 AG28:AH28 AG55:AH61 AJ55:AJ64 AI27:AI28 AI30:AI64 AG30:AH53 AG6:AI25 AJ28:AJ53 AJ24:AJ26 AK24:AK64 AG4:AL5 BS65:BT1048576 BS1:BT4">
    <cfRule type="containsText" dxfId="1232" priority="2447" operator="containsText" text=" ">
      <formula>NOT(ISERROR(SEARCH(" ",A1)))</formula>
    </cfRule>
    <cfRule type="containsText" dxfId="1231" priority="2448" operator="containsText" text=" ">
      <formula>NOT(ISERROR(SEARCH(" ",A1)))</formula>
    </cfRule>
  </conditionalFormatting>
  <conditionalFormatting sqref="B16:B19 C50:D50 A6:A25 B6:B12 J27:P27 C41:C49 C54 AO27:AU27 B30:B35 D30:D48 AP30:AP48 AS1 X30:X53 B54:B56 B21:B25 B28 A5:D5 C30:C31 A30:A56 A27:A28 AP1:AP3 X27:X28 AP65:AP1048576 AP50:AP53 AW27:AY27 C6:D25 AJ27 AP55:AP56 X55:X58 AG27:AH27 X5:X25 AP28 Y27:AB27 AP5:AP25 C27:D28 H27 R27:T27 BU53:BU56 BN28:BQ28 CI6:CK25 CM6:CP25 BN55:BN61 BN6:BR25 CT6:CT25 CR6:CR25 BO50:BO56 BP50:BQ57 CI27:CK28 CM27:CP28 CT27:CT28 CR27:CR28 BR27:BR28 BU27:BV28 BW7:CC9 BW15:CA15 BU30:BU31 BV30:BV57 BX6:CB6 BR30:BR61 CR30:CR61 CT30:CT61 CM30:CP61 CI30:CK61 BY1:CC1 BO30:BQ48 BN30:BN53 BV6:BV25 BU33:BU51 BU13:BU19 BU21:BU25 BU6:BU11">
    <cfRule type="containsText" dxfId="1230" priority="2758" operator="containsText" text=" ">
      <formula>NOT(ISERROR(SEARCH(" ",A1)))</formula>
    </cfRule>
    <cfRule type="containsText" dxfId="1229" priority="2759" operator="containsText" text=" ">
      <formula>NOT(ISERROR(SEARCH(" ",A1)))</formula>
    </cfRule>
  </conditionalFormatting>
  <conditionalFormatting sqref="F1 F3">
    <cfRule type="containsText" dxfId="1228" priority="2209" operator="containsText" text=" ">
      <formula>NOT(ISERROR(SEARCH(" ",F1)))</formula>
    </cfRule>
    <cfRule type="containsText" dxfId="1227" priority="2210" operator="containsText" text=" ">
      <formula>NOT(ISERROR(SEARCH(" ",F1)))</formula>
    </cfRule>
  </conditionalFormatting>
  <conditionalFormatting sqref="G1 G3">
    <cfRule type="containsText" dxfId="1226" priority="1461" operator="containsText" text=" ">
      <formula>NOT(ISERROR(SEARCH(" ",G1)))</formula>
    </cfRule>
    <cfRule type="containsText" dxfId="1225" priority="1462" operator="containsText" text=" ">
      <formula>NOT(ISERROR(SEARCH(" ",G1)))</formula>
    </cfRule>
  </conditionalFormatting>
  <conditionalFormatting sqref="AW1 N3:X4 X1:X2 N1:S1 R2:S2 N2:P2 N65:AC1048576 CC15 BW16:CC22 CD6:CF22 BW10:CC14 BN65:BR1048576 CD5:CP5 CD3:CH3 BU65:CP1048576 CD41:CF61 BW41:CC57 BW23:BW25 CE23:CF25 DW65:DX1048576 DZ65:EA1048576 EC65:ED1048576 EF65:EG1048576 EI65:EJ1048576 EL65:EM1048576 EO65:EP1048576 ER65:ES1048576 EU65:EV1048576 EX65:EY1048576 FA65:FB1048576 FD65:FE1048576 FG65:FH1048576 FJ65:FK1048576 FM65:FN1048576 FP65:FQ1048576 FS65:FT1048576 FV65:FW1048576 CD4:CO4 CF32:CF40 CD1:CF2 CE27:CF28 BW27:BW28 BW30:BW31 CE30:CF31">
    <cfRule type="containsText" dxfId="1224" priority="2375" operator="containsText" text=" ">
      <formula>NOT(ISERROR(SEARCH(" ",N1)))</formula>
    </cfRule>
    <cfRule type="containsText" dxfId="1223" priority="2376" operator="containsText" text=" ">
      <formula>NOT(ISERROR(SEARCH(" ",N1)))</formula>
    </cfRule>
  </conditionalFormatting>
  <conditionalFormatting sqref="U1:V2">
    <cfRule type="containsText" dxfId="1222" priority="921" operator="containsText" text=" ">
      <formula>NOT(ISERROR(SEARCH(" ",U1)))</formula>
    </cfRule>
    <cfRule type="containsText" dxfId="1221" priority="922" operator="containsText" text=" ">
      <formula>NOT(ISERROR(SEARCH(" ",U1)))</formula>
    </cfRule>
  </conditionalFormatting>
  <conditionalFormatting sqref="AH1:AJ2">
    <cfRule type="containsText" dxfId="1220" priority="2303" operator="containsText" text=" ">
      <formula>NOT(ISERROR(SEARCH(" ",AH1)))</formula>
    </cfRule>
    <cfRule type="containsText" dxfId="1219" priority="2304" operator="containsText" text=" ">
      <formula>NOT(ISERROR(SEARCH(" ",AH1)))</formula>
    </cfRule>
  </conditionalFormatting>
  <conditionalFormatting sqref="AS3 AQ1:AQ2 AQ3:AR13 AS6:AS25 AQ50:AS53 AQ28:AS28 BF4:BG25 BF28:BG28 BG55:BG59 BF55:BF64 AQ55:AS57 AQ15:AR25 AQ14 BF30:BG53 AQ30:AS48">
    <cfRule type="containsText" dxfId="1218" priority="2756" operator="containsText" text=" ">
      <formula>NOT(ISERROR(SEARCH(" ",AQ1)))</formula>
    </cfRule>
    <cfRule type="containsText" dxfId="1217" priority="2757" operator="containsText" text=" ">
      <formula>NOT(ISERROR(SEARCH(" ",AQ1)))</formula>
    </cfRule>
  </conditionalFormatting>
  <conditionalFormatting sqref="AR1 IZ1:JA1 IT1 FY65:FZ1048576 FY3:FZ3 JP5:JP15 FZ5:FZ25 JM47:JP47 IP47:IZ47 IP5:JM15 IP16:JP25 IP3:JP3 IP48:JP1048576 IP27:JP28 FZ27:FZ28 FZ30:FZ64 IP30:JP46 LH27:XFD28 LH3:XFD3 LH30:XFD1048576 LH5:XFD25">
    <cfRule type="containsText" dxfId="1216" priority="2690" operator="containsText" text=" ">
      <formula>NOT(ISERROR(SEARCH(" ",AR1)))</formula>
    </cfRule>
    <cfRule type="containsText" dxfId="1215" priority="2691" operator="containsText" text=" ">
      <formula>NOT(ISERROR(SEARCH(" ",AR1)))</formula>
    </cfRule>
  </conditionalFormatting>
  <conditionalFormatting sqref="AT1 AW4:AW25 AW50:AW53 AW28 AU65:AU1048576 AW65:AW1048576 AU28 AU55:AU60 AW55:AW61 AU1:AU25 AU30:AU53 AW30:AW48">
    <cfRule type="containsText" dxfId="1214" priority="2479" operator="containsText" text=" ">
      <formula>NOT(ISERROR(SEARCH(" ",AT1)))</formula>
    </cfRule>
    <cfRule type="containsText" dxfId="1213" priority="2480" operator="containsText" text=" ">
      <formula>NOT(ISERROR(SEARCH(" ",AT1)))</formula>
    </cfRule>
  </conditionalFormatting>
  <conditionalFormatting sqref="AV1 CG1:CH1 CJ3:CP3 CJ1:CM1 CK2:CL2 CR5 CR1:CR3 CT1:CT3 CT65:CT1048576 CT5 CL6:CL25 BN1:BR5 CV1:CW25 DK8:DP25 CG6:CH25 BU1:BW1 BU2:CC5 DK1:DK7 DP4:DQ4 DP1:DQ1 DT1:DU1 DW1:DX3 DZ1:EA3 EC1:ED3 EF1:EG3 EI1:EJ3 EL1:EM3 EO1:EP3 ER1:ES3 EU1:EV3 EX1:EY3 FA1:FB3 FD1:FE3 FG1:FH3 FJ1:FK3 FM1:FN3 FP1:FQ3 FS1:FT3 FV1:FW3 DP5:DP7 CQ65:CR1048576 FZ4 JM4 IY1 FY1:FZ2 JP4 JB1:JP1 IS2:JP2 CQ3:CQ25 IP1:IQ2 IP4:IR4 CQ27:CQ28 CG27:CH28 DK27:DP28 CV27:CW28 CL27:CL28 CL30:CL61 CV30:CW61 DK30:DP61 CG30:CH61 CQ30:CQ64 LH1:XFD2 LH4:XFD4">
    <cfRule type="containsText" dxfId="1212" priority="2431" operator="containsText" text=" ">
      <formula>NOT(ISERROR(SEARCH(" ",AV1)))</formula>
    </cfRule>
    <cfRule type="containsText" dxfId="1211" priority="2432" operator="containsText" text=" ">
      <formula>NOT(ISERROR(SEARCH(" ",AV1)))</formula>
    </cfRule>
  </conditionalFormatting>
  <conditionalFormatting sqref="BB1 BB27:BI27 BB65:BG1048576 BB4:BB25 BB28 AZ4:BA4 AZ43:BA53 AZ5:AZ25 AZ55:BA1048576 AZ27:AZ28 AZ30:AZ41 BB30:BB49 BK27:BQ27">
    <cfRule type="containsText" dxfId="1210" priority="2465" operator="containsText" text=" ">
      <formula>NOT(ISERROR(SEARCH(" ",AZ1)))</formula>
    </cfRule>
    <cfRule type="containsText" dxfId="1209" priority="2466" operator="containsText" text=" ">
      <formula>NOT(ISERROR(SEARCH(" ",AZ1)))</formula>
    </cfRule>
  </conditionalFormatting>
  <conditionalFormatting sqref="BA1 CV65:DU1048576 DP2:DU3">
    <cfRule type="containsText" dxfId="1208" priority="2670" operator="containsText" text=" ">
      <formula>NOT(ISERROR(SEARCH(" ",BA1)))</formula>
    </cfRule>
    <cfRule type="containsText" dxfId="1207" priority="2671" operator="containsText" text=" ">
      <formula>NOT(ISERROR(SEARCH(" ",BA1)))</formula>
    </cfRule>
  </conditionalFormatting>
  <conditionalFormatting sqref="BP1:BP25 BP65:BP1048576 BP50:BP57 BP28 BP30:BP48">
    <cfRule type="cellIs" dxfId="1206" priority="2730" operator="equal">
      <formula>"是"</formula>
    </cfRule>
    <cfRule type="cellIs" dxfId="1205" priority="2731" operator="equal">
      <formula>"否"</formula>
    </cfRule>
  </conditionalFormatting>
  <conditionalFormatting sqref="CH1:CH25 CH65:CH1048576 CH27:CH28 CH30:CH61">
    <cfRule type="cellIs" dxfId="1204" priority="2267" operator="equal">
      <formula>0</formula>
    </cfRule>
  </conditionalFormatting>
  <conditionalFormatting sqref="CS1:CS25 CS27:CS28 CS30:CS1048576">
    <cfRule type="containsText" dxfId="1203" priority="2315" operator="containsText" text=" ">
      <formula>NOT(ISERROR(SEARCH(" ",CS1)))</formula>
    </cfRule>
    <cfRule type="containsText" dxfId="1202" priority="2316" operator="containsText" text=" ">
      <formula>NOT(ISERROR(SEARCH(" ",CS1)))</formula>
    </cfRule>
  </conditionalFormatting>
  <conditionalFormatting sqref="CU1:CU4 CU65:CU1048576">
    <cfRule type="containsText" dxfId="1201" priority="2313" operator="containsText" text=" ">
      <formula>NOT(ISERROR(SEARCH(" ",CU1)))</formula>
    </cfRule>
    <cfRule type="containsText" dxfId="1200" priority="2314" operator="containsText" text=" ">
      <formula>NOT(ISERROR(SEARCH(" ",CU1)))</formula>
    </cfRule>
  </conditionalFormatting>
  <conditionalFormatting sqref="GA8:GE10 GE4:GF4 GE1:GF1 GI1:GJ1 GL1:GM3 GO1:GP3 GR1:GS3 GU1:GV3 GX1:GY3 HA1:HB3 HD1:HE3 HG1:HH3 HJ1:HK3 HM1:HN3 HP1:HQ3 HS1:HT3 HV1:HW3 HY1:HZ3 IB1:IC3 IE1:IF3 IH1:II3 IK1:IL3 GE5:GE7 IO4 IN1:IO2 GA13:GE25 GB11:GE12 GA27:GE28 GA30:GE61">
    <cfRule type="containsText" dxfId="1199" priority="1374" operator="containsText" text=" ">
      <formula>NOT(ISERROR(SEARCH(" ",GA1)))</formula>
    </cfRule>
    <cfRule type="containsText" dxfId="1198" priority="1375" operator="containsText" text=" ">
      <formula>NOT(ISERROR(SEARCH(" ",GA1)))</formula>
    </cfRule>
  </conditionalFormatting>
  <conditionalFormatting sqref="JQ3:JT4 JV3:KB4 JU1:JU2 JQ58:KB1048576 KB5 KJ58:KJ1048576 KJ3:KJ5 JU6:JV57 JT5:JV5 JW5:JX57 KR3:KR5 KR58:KR1048576 KZ58:KZ1048576 KZ3:KZ5">
    <cfRule type="containsText" dxfId="1197" priority="123" operator="containsText" text=" ">
      <formula>NOT(ISERROR(SEARCH(" ",JQ1)))</formula>
    </cfRule>
    <cfRule type="containsText" dxfId="1196" priority="124" operator="containsText" text=" ">
      <formula>NOT(ISERROR(SEARCH(" ",JQ1)))</formula>
    </cfRule>
  </conditionalFormatting>
  <conditionalFormatting sqref="JQ2:JT2 JT1 JV1:KB2 KJ1:KJ2 KR1:KR2 KZ1:KZ2">
    <cfRule type="containsText" dxfId="1195" priority="125" operator="containsText" text=" ">
      <formula>NOT(ISERROR(SEARCH(" ",JQ1)))</formula>
    </cfRule>
    <cfRule type="containsText" dxfId="1194" priority="126" operator="containsText" text=" ">
      <formula>NOT(ISERROR(SEARCH(" ",JQ1)))</formula>
    </cfRule>
  </conditionalFormatting>
  <conditionalFormatting sqref="KD3:KI4 KC1:KC2 KC58:KI1048576 KC5:KF57">
    <cfRule type="containsText" dxfId="1193" priority="113" operator="containsText" text=" ">
      <formula>NOT(ISERROR(SEARCH(" ",KC1)))</formula>
    </cfRule>
    <cfRule type="containsText" dxfId="1192" priority="114" operator="containsText" text=" ">
      <formula>NOT(ISERROR(SEARCH(" ",KC1)))</formula>
    </cfRule>
  </conditionalFormatting>
  <conditionalFormatting sqref="KD1:KI2">
    <cfRule type="containsText" dxfId="1191" priority="115" operator="containsText" text=" ">
      <formula>NOT(ISERROR(SEARCH(" ",KD1)))</formula>
    </cfRule>
    <cfRule type="containsText" dxfId="1190" priority="116" operator="containsText" text=" ">
      <formula>NOT(ISERROR(SEARCH(" ",KD1)))</formula>
    </cfRule>
  </conditionalFormatting>
  <conditionalFormatting sqref="KL3:KQ4 KK1:KK2 KK58:KQ1048576 KK5:KN57">
    <cfRule type="containsText" dxfId="1189" priority="107" operator="containsText" text=" ">
      <formula>NOT(ISERROR(SEARCH(" ",KK1)))</formula>
    </cfRule>
    <cfRule type="containsText" dxfId="1188" priority="108" operator="containsText" text=" ">
      <formula>NOT(ISERROR(SEARCH(" ",KK1)))</formula>
    </cfRule>
  </conditionalFormatting>
  <conditionalFormatting sqref="KL1:KQ2">
    <cfRule type="containsText" dxfId="1187" priority="109" operator="containsText" text=" ">
      <formula>NOT(ISERROR(SEARCH(" ",KL1)))</formula>
    </cfRule>
    <cfRule type="containsText" dxfId="1186" priority="110" operator="containsText" text=" ">
      <formula>NOT(ISERROR(SEARCH(" ",KL1)))</formula>
    </cfRule>
  </conditionalFormatting>
  <conditionalFormatting sqref="KT3:KY4 KS1:KS2 KS58:KY1048576 KS5:KV57">
    <cfRule type="containsText" dxfId="1185" priority="101" operator="containsText" text=" ">
      <formula>NOT(ISERROR(SEARCH(" ",KS1)))</formula>
    </cfRule>
    <cfRule type="containsText" dxfId="1184" priority="102" operator="containsText" text=" ">
      <formula>NOT(ISERROR(SEARCH(" ",KS1)))</formula>
    </cfRule>
  </conditionalFormatting>
  <conditionalFormatting sqref="KT1:KY2">
    <cfRule type="containsText" dxfId="1183" priority="103" operator="containsText" text=" ">
      <formula>NOT(ISERROR(SEARCH(" ",KT1)))</formula>
    </cfRule>
    <cfRule type="containsText" dxfId="1182" priority="104" operator="containsText" text=" ">
      <formula>NOT(ISERROR(SEARCH(" ",KT1)))</formula>
    </cfRule>
  </conditionalFormatting>
  <conditionalFormatting sqref="LB3:LG4 LA1:LA2 LA58:LG1048576 LA5:LD57">
    <cfRule type="containsText" dxfId="1181" priority="95" operator="containsText" text=" ">
      <formula>NOT(ISERROR(SEARCH(" ",LA1)))</formula>
    </cfRule>
    <cfRule type="containsText" dxfId="1180" priority="96" operator="containsText" text=" ">
      <formula>NOT(ISERROR(SEARCH(" ",LA1)))</formula>
    </cfRule>
  </conditionalFormatting>
  <conditionalFormatting sqref="LB1:LG2">
    <cfRule type="containsText" dxfId="1179" priority="97" operator="containsText" text=" ">
      <formula>NOT(ISERROR(SEARCH(" ",LB1)))</formula>
    </cfRule>
    <cfRule type="containsText" dxfId="1178" priority="98" operator="containsText" text=" ">
      <formula>NOT(ISERROR(SEARCH(" ",LB1)))</formula>
    </cfRule>
  </conditionalFormatting>
  <conditionalFormatting sqref="BD2 BD3:BE3">
    <cfRule type="containsText" dxfId="1177" priority="2489" operator="containsText" text=" ">
      <formula>NOT(ISERROR(SEARCH(" ",BD2)))</formula>
    </cfRule>
    <cfRule type="containsText" dxfId="1176" priority="2490" operator="containsText" text=" ">
      <formula>NOT(ISERROR(SEARCH(" ",BD2)))</formula>
    </cfRule>
  </conditionalFormatting>
  <conditionalFormatting sqref="BH65:BH1048576 BH15:BH19 BH33:BH34 BH2:BH11 BH44:BH45 BH36:BH40 BH42 BH21:BH25 BH28 BH30:BH31">
    <cfRule type="containsText" dxfId="1175" priority="1521" operator="containsText" text=" ">
      <formula>NOT(ISERROR(SEARCH(" ",BH2)))</formula>
    </cfRule>
    <cfRule type="containsText" dxfId="1174" priority="1522" operator="containsText" text=" ">
      <formula>NOT(ISERROR(SEARCH(" ",BH2)))</formula>
    </cfRule>
  </conditionalFormatting>
  <conditionalFormatting sqref="BI65:BM1048576 BI21:BI25 BI15:BI19 BI33:BI34 BI44:BI45 BI36:BI40 BI42:BM42 BJ44 BJ46 BJ48 BI2 BI3:BK4 BI28 BI30:BI31 BK30:BM40 BK28:BM28 BI5:BI11 BK5:BK25 BL3 BL4:BM25">
    <cfRule type="containsText" dxfId="1173" priority="2425" operator="containsText" text=" ">
      <formula>NOT(ISERROR(SEARCH(" ",BI2)))</formula>
    </cfRule>
    <cfRule type="containsText" dxfId="1172" priority="2426" operator="containsText" text=" ">
      <formula>NOT(ISERROR(SEARCH(" ",BI2)))</formula>
    </cfRule>
  </conditionalFormatting>
  <conditionalFormatting sqref="GA65:GJ1048576 GE2:GJ3">
    <cfRule type="containsText" dxfId="1171" priority="1376" operator="containsText" text=" ">
      <formula>NOT(ISERROR(SEARCH(" ",GA2)))</formula>
    </cfRule>
    <cfRule type="containsText" dxfId="1170" priority="1377" operator="containsText" text=" ">
      <formula>NOT(ISERROR(SEARCH(" ",GA2)))</formula>
    </cfRule>
  </conditionalFormatting>
  <conditionalFormatting sqref="AS4:AS5 AQ65:AT1048576 AT3:AT25 AT28 AT55:AT61 AT30:AT53">
    <cfRule type="containsText" dxfId="1169" priority="2694" operator="containsText" text=" ">
      <formula>NOT(ISERROR(SEARCH(" ",AQ3)))</formula>
    </cfRule>
    <cfRule type="containsText" dxfId="1168" priority="2695" operator="containsText" text=" ">
      <formula>NOT(ISERROR(SEARCH(" ",AQ3)))</formula>
    </cfRule>
  </conditionalFormatting>
  <conditionalFormatting sqref="AV3:AV25 AV27:AV28 AV30:AV64">
    <cfRule type="containsText" dxfId="1167" priority="2433" operator="containsText" text=" ">
      <formula>NOT(ISERROR(SEARCH(" ",AV3)))</formula>
    </cfRule>
    <cfRule type="containsText" dxfId="1166" priority="2434" operator="containsText" text=" ">
      <formula>NOT(ISERROR(SEARCH(" ",AV3)))</formula>
    </cfRule>
  </conditionalFormatting>
  <conditionalFormatting sqref="AX3:AY4">
    <cfRule type="containsText" dxfId="1165" priority="2453" operator="containsText" text=" ">
      <formula>NOT(ISERROR(SEARCH(" ",AX3)))</formula>
    </cfRule>
    <cfRule type="containsText" dxfId="1164" priority="2454" operator="containsText" text=" ">
      <formula>NOT(ISERROR(SEARCH(" ",AX3)))</formula>
    </cfRule>
  </conditionalFormatting>
  <conditionalFormatting sqref="BB50:BB53 BA3:BB3 BB55:BB61">
    <cfRule type="containsText" dxfId="1163" priority="2672" operator="containsText" text=" ">
      <formula>NOT(ISERROR(SEARCH(" ",BA3)))</formula>
    </cfRule>
    <cfRule type="containsText" dxfId="1162" priority="2673" operator="containsText" text=" ">
      <formula>NOT(ISERROR(SEARCH(" ",BA3)))</formula>
    </cfRule>
  </conditionalFormatting>
  <conditionalFormatting sqref="IN65:IO1048576 IN3:IO3 IO5:IO25 IO27:IO28 IO30:IO64">
    <cfRule type="containsText" dxfId="1161" priority="1378" operator="containsText" text=" ">
      <formula>NOT(ISERROR(SEARCH(" ",IN3)))</formula>
    </cfRule>
    <cfRule type="containsText" dxfId="1160" priority="1379" operator="containsText" text=" ">
      <formula>NOT(ISERROR(SEARCH(" ",IN3)))</formula>
    </cfRule>
  </conditionalFormatting>
  <conditionalFormatting sqref="CP4 CR4 CT4">
    <cfRule type="containsText" dxfId="1159" priority="2317" operator="containsText" text=" ">
      <formula>NOT(ISERROR(SEARCH(" ",CP4)))</formula>
    </cfRule>
    <cfRule type="containsText" dxfId="1158" priority="2318" operator="containsText" text=" ">
      <formula>NOT(ISERROR(SEARCH(" ",CP4)))</formula>
    </cfRule>
  </conditionalFormatting>
  <conditionalFormatting sqref="DR4:DU4 DX4 EA4 ED4 EG4 EJ4 EM4 EP4 ES4 EV4 EY4 FB4 FE4 FH4 FK4 FN4 FQ4 FT4 FW4">
    <cfRule type="containsText" dxfId="1157" priority="2195" operator="containsText" text=" ">
      <formula>NOT(ISERROR(SEARCH(" ",DR4)))</formula>
    </cfRule>
  </conditionalFormatting>
  <conditionalFormatting sqref="DT4:DT25 DT56:DT61 DT27:DT28 DT30:DT54">
    <cfRule type="cellIs" dxfId="1156" priority="2172" operator="greaterThan">
      <formula>1</formula>
    </cfRule>
  </conditionalFormatting>
  <conditionalFormatting sqref="DW4 DZ4 EC4 EF4 EI4 EL4 EO4 ER4 EU4 EX4 FA4 FD4 FG4 FJ4 FM4 FP4 FS4 FV4">
    <cfRule type="cellIs" dxfId="1155" priority="2170" operator="greaterThan">
      <formula>1</formula>
    </cfRule>
  </conditionalFormatting>
  <conditionalFormatting sqref="GG4:GJ4 GM4 GP4 GS4 GV4 GY4 HB4 HE4 HH4 HK4 HN4 HQ4 HT4 HW4 HZ4 IC4 IF4 II4 IL4">
    <cfRule type="containsText" dxfId="1154" priority="1371" operator="containsText" text=" ">
      <formula>NOT(ISERROR(SEARCH(" ",GG4)))</formula>
    </cfRule>
  </conditionalFormatting>
  <conditionalFormatting sqref="GI4:GI25 GI56:GI61 GI27:GI28 GI30:GI54">
    <cfRule type="cellIs" dxfId="1153" priority="1364" operator="greaterThan">
      <formula>1</formula>
    </cfRule>
  </conditionalFormatting>
  <conditionalFormatting sqref="GL4 GO4 GR4 GU4 GX4 HA4 HD4 HG4 HJ4 HM4 HP4 HS4 HV4 HY4 IB4 IE4 IH4 IK4">
    <cfRule type="cellIs" dxfId="1152" priority="1362" operator="greaterThan">
      <formula>1</formula>
    </cfRule>
  </conditionalFormatting>
  <conditionalFormatting sqref="B5:B25 B41:B61 B27:B28 B30:B35">
    <cfRule type="cellIs" dxfId="1151" priority="2242" operator="equal">
      <formula>" "</formula>
    </cfRule>
  </conditionalFormatting>
  <conditionalFormatting sqref="G55:G64 F58:F61 G27:G28 G30:G53 G5:G25">
    <cfRule type="containsText" dxfId="1150" priority="2443" operator="containsText" text=" ">
      <formula>NOT(ISERROR(SEARCH(" ",F5)))</formula>
    </cfRule>
    <cfRule type="containsText" dxfId="1149" priority="2444" operator="containsText" text=" ">
      <formula>NOT(ISERROR(SEARCH(" ",F5)))</formula>
    </cfRule>
  </conditionalFormatting>
  <conditionalFormatting sqref="F55:F57 F28 F32:F53 F5:F25">
    <cfRule type="containsText" dxfId="1148" priority="163" operator="containsText" text=" ">
      <formula>NOT(ISERROR(SEARCH(" ",F5)))</formula>
    </cfRule>
    <cfRule type="containsText" dxfId="1147" priority="164" operator="containsText" text=" ">
      <formula>NOT(ISERROR(SEARCH(" ",F5)))</formula>
    </cfRule>
  </conditionalFormatting>
  <conditionalFormatting sqref="J50:L53 J30:L48 O30:P53 L55:L61 O5:P25 J5:L25 J28:L28 O28:P28 O55:P61 J55:K57 BS5:BT25 BS27:BT28 BS30:BT47 BS50:BT57 BS48">
    <cfRule type="containsText" dxfId="1146" priority="2648" operator="containsText" text=" ">
      <formula>NOT(ISERROR(SEARCH(" ",J5)))</formula>
    </cfRule>
    <cfRule type="containsText" dxfId="1145" priority="2649" operator="containsText" text=" ">
      <formula>NOT(ISERROR(SEARCH(" ",J5)))</formula>
    </cfRule>
  </conditionalFormatting>
  <conditionalFormatting sqref="N5:N25 N50:N53 N28 N55:N61 N30:N48">
    <cfRule type="containsText" dxfId="1144" priority="2612" operator="containsText" text=" ">
      <formula>NOT(ISERROR(SEARCH(" ",N5)))</formula>
    </cfRule>
    <cfRule type="containsText" dxfId="1143" priority="2613" operator="containsText" text=" ">
      <formula>NOT(ISERROR(SEARCH(" ",N5)))</formula>
    </cfRule>
  </conditionalFormatting>
  <conditionalFormatting sqref="R5:R25 R28 R55:R61 R30:R53">
    <cfRule type="colorScale" priority="2270">
      <colorScale>
        <cfvo type="min"/>
        <cfvo type="max"/>
        <color rgb="FFFCFCFF"/>
        <color rgb="FF63BE7B"/>
      </colorScale>
    </cfRule>
    <cfRule type="colorScale" priority="2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49 Y5:AC5 Z28:AB28 Z6:AC25 AC55:AC64 Z55:AB61 AC27:AC28 Z30:AC53">
    <cfRule type="cellIs" dxfId="1142" priority="2341" operator="greaterThan">
      <formula>1</formula>
    </cfRule>
    <cfRule type="containsText" dxfId="1141" priority="2342" operator="containsText" text=" ">
      <formula>NOT(ISERROR(SEARCH(" ",Y5)))</formula>
    </cfRule>
    <cfRule type="containsText" dxfId="1140" priority="2343" operator="containsText" text=" ">
      <formula>NOT(ISERROR(SEARCH(" ",Y5)))</formula>
    </cfRule>
  </conditionalFormatting>
  <conditionalFormatting sqref="Z28:AB28 Z5:AC25 AC55:AC64 Z55:AB61 AC27:AC28 Z30:AC53">
    <cfRule type="cellIs" dxfId="1139" priority="2302" operator="equal">
      <formula>0</formula>
    </cfRule>
  </conditionalFormatting>
  <conditionalFormatting sqref="Z28:AB28 AG28:AH28 AC55:AC64 AG55:AH61 Z55:AB61 AJ55:AJ64 AI27:AI28 AC27:AC28 AI30:AI64 Z30:AC53 AJ28:AJ53 AJ24:AJ26 AK24:AK64 Z5:AC25 AJ6:AK23 AL6:AL64 AG5:AL5 AG6:AI25 AG30:AH53">
    <cfRule type="cellIs" dxfId="1138" priority="2269" operator="equal">
      <formula>0</formula>
    </cfRule>
  </conditionalFormatting>
  <conditionalFormatting sqref="AD5:AD25 AD27:AD28 AD30:AD31 AD32:AF40 AD44:AF47">
    <cfRule type="cellIs" dxfId="1137" priority="89" operator="equal">
      <formula>0</formula>
    </cfRule>
    <cfRule type="cellIs" dxfId="1136" priority="90" operator="greaterThan">
      <formula>1</formula>
    </cfRule>
    <cfRule type="containsText" dxfId="1135" priority="91" operator="containsText" text=" ">
      <formula>NOT(ISERROR(SEARCH(" ",AD5)))</formula>
    </cfRule>
    <cfRule type="containsText" dxfId="1134" priority="92" operator="containsText" text=" ">
      <formula>NOT(ISERROR(SEARCH(" ",AD5)))</formula>
    </cfRule>
  </conditionalFormatting>
  <conditionalFormatting sqref="AD27:AD28 AD5:AD25 AD30:AD31 AD32:AF40 AD44:AF47">
    <cfRule type="cellIs" dxfId="1133" priority="88" operator="equal">
      <formula>0</formula>
    </cfRule>
  </conditionalFormatting>
  <conditionalFormatting sqref="AE5:AE25 AE27:AE28 AE30:AE31">
    <cfRule type="cellIs" dxfId="1132" priority="44" operator="equal">
      <formula>0</formula>
    </cfRule>
    <cfRule type="cellIs" dxfId="1131" priority="45" operator="greaterThan">
      <formula>1</formula>
    </cfRule>
    <cfRule type="containsText" dxfId="1130" priority="46" operator="containsText" text=" ">
      <formula>NOT(ISERROR(SEARCH(" ",AE5)))</formula>
    </cfRule>
    <cfRule type="containsText" dxfId="1129" priority="47" operator="containsText" text=" ">
      <formula>NOT(ISERROR(SEARCH(" ",AE5)))</formula>
    </cfRule>
  </conditionalFormatting>
  <conditionalFormatting sqref="AE27:AE28 AE5:AE25 AE30:AE31">
    <cfRule type="cellIs" dxfId="1128" priority="43" operator="equal">
      <formula>0</formula>
    </cfRule>
  </conditionalFormatting>
  <conditionalFormatting sqref="AF5:AF25 AF27:AF28 AF30:AF31">
    <cfRule type="cellIs" dxfId="1127" priority="29" operator="equal">
      <formula>0</formula>
    </cfRule>
    <cfRule type="cellIs" dxfId="1126" priority="30" operator="greaterThan">
      <formula>1</formula>
    </cfRule>
    <cfRule type="containsText" dxfId="1125" priority="31" operator="containsText" text=" ">
      <formula>NOT(ISERROR(SEARCH(" ",AF5)))</formula>
    </cfRule>
    <cfRule type="containsText" dxfId="1124" priority="32" operator="containsText" text=" ">
      <formula>NOT(ISERROR(SEARCH(" ",AF5)))</formula>
    </cfRule>
  </conditionalFormatting>
  <conditionalFormatting sqref="AF27:AF28 AF5:AF25 AF30:AF31">
    <cfRule type="cellIs" dxfId="1123" priority="28" operator="equal">
      <formula>0</formula>
    </cfRule>
  </conditionalFormatting>
  <conditionalFormatting sqref="AO5:AO25 AO50:AO53 AO28 AO65:AO1048576 AO55:AO61 AO30:AO48">
    <cfRule type="cellIs" dxfId="1122" priority="2460" operator="greaterThan">
      <formula>1</formula>
    </cfRule>
    <cfRule type="containsText" dxfId="1121" priority="2461" operator="containsText" text=" ">
      <formula>NOT(ISERROR(SEARCH(" ",AO5)))</formula>
    </cfRule>
    <cfRule type="containsText" dxfId="1120" priority="2462" operator="containsText" text=" ">
      <formula>NOT(ISERROR(SEARCH(" ",AO5)))</formula>
    </cfRule>
  </conditionalFormatting>
  <conditionalFormatting sqref="AX55:AY61 AX50:AX53 AX34:AX48 AX5:AY25 AY34:AY53 AX28:AY28 AX30:AY33">
    <cfRule type="containsText" dxfId="1119" priority="2451" operator="containsText" text=" ">
      <formula>NOT(ISERROR(SEARCH(" ",AX5)))</formula>
    </cfRule>
    <cfRule type="containsText" dxfId="1118" priority="2452" operator="containsText" text=" ">
      <formula>NOT(ISERROR(SEARCH(" ",AX5)))</formula>
    </cfRule>
  </conditionalFormatting>
  <conditionalFormatting sqref="BA5:BA25 BA27:BA28 BA30:BA41">
    <cfRule type="containsText" dxfId="1117" priority="1463" operator="containsText" text=" ">
      <formula>NOT(ISERROR(SEARCH(" ",BA5)))</formula>
    </cfRule>
    <cfRule type="containsText" dxfId="1116" priority="1464" operator="containsText" text=" ">
      <formula>NOT(ISERROR(SEARCH(" ",BA5)))</formula>
    </cfRule>
  </conditionalFormatting>
  <conditionalFormatting sqref="BC50:BC53 BC5:BE25 BC28:BE28 BD55:BE64 BC55:BC61 BD30:BE53 BC30:BC48">
    <cfRule type="containsText" dxfId="1115" priority="2511" operator="containsText" text=" ">
      <formula>NOT(ISERROR(SEARCH(" ",BC5)))</formula>
    </cfRule>
    <cfRule type="containsText" dxfId="1114" priority="2512" operator="containsText" text=" ">
      <formula>NOT(ISERROR(SEARCH(" ",BC5)))</formula>
    </cfRule>
  </conditionalFormatting>
  <conditionalFormatting sqref="BJ28 BJ5:BJ25 BJ30:BJ31">
    <cfRule type="containsText" dxfId="1113" priority="135" operator="containsText" text=" ">
      <formula>NOT(ISERROR(SEARCH(" ",BJ5)))</formula>
    </cfRule>
    <cfRule type="containsText" dxfId="1112" priority="136" operator="containsText" text=" ">
      <formula>NOT(ISERROR(SEARCH(" ",BJ5)))</formula>
    </cfRule>
  </conditionalFormatting>
  <conditionalFormatting sqref="CU5:CU25 CU27:CU28 CU30:CU64">
    <cfRule type="containsText" dxfId="1111" priority="2311" operator="containsText" text=" ">
      <formula>NOT(ISERROR(SEARCH(" ",CU5)))</formula>
    </cfRule>
    <cfRule type="containsText" dxfId="1110" priority="2312" operator="containsText" text=" ">
      <formula>NOT(ISERROR(SEARCH(" ",CU5)))</formula>
    </cfRule>
  </conditionalFormatting>
  <conditionalFormatting sqref="CZ5:CZ25 CZ27:CZ28 CZ30:CZ61">
    <cfRule type="cellIs" dxfId="1109" priority="2283" operator="greaterThan">
      <formula>1</formula>
    </cfRule>
    <cfRule type="containsText" dxfId="1108" priority="2284" operator="containsText" text=" ">
      <formula>NOT(ISERROR(SEARCH(" ",CZ5)))</formula>
    </cfRule>
    <cfRule type="containsText" dxfId="1107" priority="2285" operator="containsText" text=" ">
      <formula>NOT(ISERROR(SEARCH(" ",CZ5)))</formula>
    </cfRule>
  </conditionalFormatting>
  <conditionalFormatting sqref="DD5:DD25 DA5:DB25 DA27:DB28 DD27:DD28 DD30:DD61 DA30:DB61">
    <cfRule type="cellIs" dxfId="1106" priority="2281" operator="greaterThan">
      <formula>1</formula>
    </cfRule>
  </conditionalFormatting>
  <conditionalFormatting sqref="DC5:DC25 DC27:DC28 DC30:DC61">
    <cfRule type="cellIs" dxfId="1105" priority="2278" operator="greaterThan">
      <formula>1</formula>
    </cfRule>
    <cfRule type="containsText" dxfId="1104" priority="2279" operator="containsText" text=" ">
      <formula>NOT(ISERROR(SEARCH(" ",DC5)))</formula>
    </cfRule>
    <cfRule type="containsText" dxfId="1103" priority="2280" operator="containsText" text=" ">
      <formula>NOT(ISERROR(SEARCH(" ",DC5)))</formula>
    </cfRule>
  </conditionalFormatting>
  <conditionalFormatting sqref="DF5:DF25 DF27:DF28 DF30:DF61">
    <cfRule type="colorScale" priority="2274">
      <colorScale>
        <cfvo type="min"/>
        <cfvo type="max"/>
        <color rgb="FFFCFCFF"/>
        <color rgb="FF63BE7B"/>
      </colorScale>
    </cfRule>
    <cfRule type="colorScale" priority="2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5:DI25 DI27:DI28 DI30:DI61">
    <cfRule type="colorScale" priority="2272">
      <colorScale>
        <cfvo type="min"/>
        <cfvo type="max"/>
        <color rgb="FFFCFCFF"/>
        <color rgb="FF63BE7B"/>
      </colorScale>
    </cfRule>
    <cfRule type="colorScale" priority="2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25 DQ27:DQ28 DQ30:DQ61">
    <cfRule type="cellIs" dxfId="1102" priority="1814" operator="greaterThan">
      <formula>1</formula>
    </cfRule>
    <cfRule type="colorScale" priority="1815">
      <colorScale>
        <cfvo type="min"/>
        <cfvo type="max"/>
        <color rgb="FFFCFCFF"/>
        <color rgb="FF63BE7B"/>
      </colorScale>
    </cfRule>
    <cfRule type="colorScale" priority="1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5:DT25 DR48 DS56:DT61 DS55 DR27:DT28 DR30:DR46 DS30:DT54">
    <cfRule type="colorScale" priority="2193">
      <colorScale>
        <cfvo type="min"/>
        <cfvo type="max"/>
        <color rgb="FFFCFCFF"/>
        <color rgb="FF63BE7B"/>
      </colorScale>
    </cfRule>
    <cfRule type="colorScale" priority="2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5:DU25 DU27:DU28 DU30:DU61">
    <cfRule type="colorScale" priority="2191">
      <colorScale>
        <cfvo type="min"/>
        <cfvo type="max"/>
        <color rgb="FFFCFCFF"/>
        <color rgb="FF63BE7B"/>
      </colorScale>
    </cfRule>
    <cfRule type="colorScale" priority="2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5:DW25 DW56:DW61 DW27:DW28 DW30:DW54">
    <cfRule type="cellIs" dxfId="1101" priority="1916" operator="greaterThan">
      <formula>1</formula>
    </cfRule>
    <cfRule type="colorScale" priority="1917">
      <colorScale>
        <cfvo type="min"/>
        <cfvo type="max"/>
        <color rgb="FFFCFCFF"/>
        <color rgb="FF63BE7B"/>
      </colorScale>
    </cfRule>
    <cfRule type="colorScale" priority="1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5:DX25 DX27:DX28 DX30:DX61">
    <cfRule type="colorScale" priority="1863">
      <colorScale>
        <cfvo type="min"/>
        <cfvo type="max"/>
        <color rgb="FFFCFCFF"/>
        <color rgb="FF63BE7B"/>
      </colorScale>
    </cfRule>
    <cfRule type="colorScale" priority="18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5:DZ25 DZ56:DZ61 DZ27:DZ28 DZ30:DZ54">
    <cfRule type="cellIs" dxfId="1100" priority="1913" operator="greaterThan">
      <formula>1</formula>
    </cfRule>
    <cfRule type="colorScale" priority="1914">
      <colorScale>
        <cfvo type="min"/>
        <cfvo type="max"/>
        <color rgb="FFFCFCFF"/>
        <color rgb="FF63BE7B"/>
      </colorScale>
    </cfRule>
    <cfRule type="colorScale" priority="1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5:EA25 EA27:EA28 EA30:EA61">
    <cfRule type="colorScale" priority="1859">
      <colorScale>
        <cfvo type="min"/>
        <cfvo type="max"/>
        <color rgb="FFFCFCFF"/>
        <color rgb="FF63BE7B"/>
      </colorScale>
    </cfRule>
    <cfRule type="colorScale" priority="1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5:EB25 EB27:EB28 EB30:EB61">
    <cfRule type="colorScale" priority="1857">
      <colorScale>
        <cfvo type="min"/>
        <cfvo type="max"/>
        <color rgb="FFFCFCFF"/>
        <color rgb="FF63BE7B"/>
      </colorScale>
    </cfRule>
    <cfRule type="colorScale" priority="1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5:EC25 EC56:EC61 EC27:EC28 EC30:EC54">
    <cfRule type="cellIs" dxfId="1099" priority="1910" operator="greaterThan">
      <formula>1</formula>
    </cfRule>
    <cfRule type="colorScale" priority="1911">
      <colorScale>
        <cfvo type="min"/>
        <cfvo type="max"/>
        <color rgb="FFFCFCFF"/>
        <color rgb="FF63BE7B"/>
      </colorScale>
    </cfRule>
    <cfRule type="colorScale" priority="1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5:ED25 ED27:ED28 ED30:ED61">
    <cfRule type="colorScale" priority="1855">
      <colorScale>
        <cfvo type="min"/>
        <cfvo type="max"/>
        <color rgb="FFFCFCFF"/>
        <color rgb="FF63BE7B"/>
      </colorScale>
    </cfRule>
    <cfRule type="colorScale" priority="1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5:EE25 EE27:EE28 EE30:EE61">
    <cfRule type="colorScale" priority="1853">
      <colorScale>
        <cfvo type="min"/>
        <cfvo type="max"/>
        <color rgb="FFFCFCFF"/>
        <color rgb="FF63BE7B"/>
      </colorScale>
    </cfRule>
    <cfRule type="colorScale" priority="18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5:EF25 EF56:EF61 EF27:EF28 EF30:EF54">
    <cfRule type="cellIs" dxfId="1098" priority="1907" operator="greaterThan">
      <formula>1</formula>
    </cfRule>
    <cfRule type="colorScale" priority="1908">
      <colorScale>
        <cfvo type="min"/>
        <cfvo type="max"/>
        <color rgb="FFFCFCFF"/>
        <color rgb="FF63BE7B"/>
      </colorScale>
    </cfRule>
    <cfRule type="colorScale" priority="19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5:EG25 EG27:EG28 EG30:EG61">
    <cfRule type="colorScale" priority="1851">
      <colorScale>
        <cfvo type="min"/>
        <cfvo type="max"/>
        <color rgb="FFFCFCFF"/>
        <color rgb="FF63BE7B"/>
      </colorScale>
    </cfRule>
    <cfRule type="colorScale" priority="18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5:EH25 EH27:EH28 EH30:EH61">
    <cfRule type="colorScale" priority="1849">
      <colorScale>
        <cfvo type="min"/>
        <cfvo type="max"/>
        <color rgb="FFFCFCFF"/>
        <color rgb="FF63BE7B"/>
      </colorScale>
    </cfRule>
    <cfRule type="colorScale" priority="18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5:EI25 EI56:EI61 EI27:EI28 EI30:EI54">
    <cfRule type="cellIs" dxfId="1097" priority="1904" operator="greaterThan">
      <formula>1</formula>
    </cfRule>
    <cfRule type="colorScale" priority="1905">
      <colorScale>
        <cfvo type="min"/>
        <cfvo type="max"/>
        <color rgb="FFFCFCFF"/>
        <color rgb="FF63BE7B"/>
      </colorScale>
    </cfRule>
    <cfRule type="colorScale" priority="19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5:EJ25 EJ27:EJ28 EJ30:EJ61">
    <cfRule type="colorScale" priority="1847">
      <colorScale>
        <cfvo type="min"/>
        <cfvo type="max"/>
        <color rgb="FFFCFCFF"/>
        <color rgb="FF63BE7B"/>
      </colorScale>
    </cfRule>
    <cfRule type="colorScale" priority="18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5:EK25 EK27:EK28 EK30:EK61">
    <cfRule type="colorScale" priority="1845">
      <colorScale>
        <cfvo type="min"/>
        <cfvo type="max"/>
        <color rgb="FFFCFCFF"/>
        <color rgb="FF63BE7B"/>
      </colorScale>
    </cfRule>
    <cfRule type="colorScale" priority="1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25 EL56:EL61 EL27:EL28 EL30:EL54">
    <cfRule type="cellIs" dxfId="1096" priority="1901" operator="greaterThan">
      <formula>1</formula>
    </cfRule>
    <cfRule type="colorScale" priority="1902">
      <colorScale>
        <cfvo type="min"/>
        <cfvo type="max"/>
        <color rgb="FFFCFCFF"/>
        <color rgb="FF63BE7B"/>
      </colorScale>
    </cfRule>
    <cfRule type="colorScale" priority="1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5:EM25 EM27:EM28 EM30:EM61">
    <cfRule type="colorScale" priority="1843">
      <colorScale>
        <cfvo type="min"/>
        <cfvo type="max"/>
        <color rgb="FFFCFCFF"/>
        <color rgb="FF63BE7B"/>
      </colorScale>
    </cfRule>
    <cfRule type="colorScale" priority="1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5:EN25 EN27:EN28 EN30:EN61">
    <cfRule type="colorScale" priority="1841">
      <colorScale>
        <cfvo type="min"/>
        <cfvo type="max"/>
        <color rgb="FFFCFCFF"/>
        <color rgb="FF63BE7B"/>
      </colorScale>
    </cfRule>
    <cfRule type="colorScale" priority="1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25 EO56:EO61 EO27:EO28 EO30:EO54">
    <cfRule type="cellIs" dxfId="1095" priority="1898" operator="greaterThan">
      <formula>1</formula>
    </cfRule>
    <cfRule type="colorScale" priority="1899">
      <colorScale>
        <cfvo type="min"/>
        <cfvo type="max"/>
        <color rgb="FFFCFCFF"/>
        <color rgb="FF63BE7B"/>
      </colorScale>
    </cfRule>
    <cfRule type="colorScale" priority="19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5:EP25 EP27:EP28 EP30:EP61">
    <cfRule type="colorScale" priority="1839">
      <colorScale>
        <cfvo type="min"/>
        <cfvo type="max"/>
        <color rgb="FFFCFCFF"/>
        <color rgb="FF63BE7B"/>
      </colorScale>
    </cfRule>
    <cfRule type="colorScale" priority="1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5:EQ25 EQ27:EQ28 EQ30:EQ61">
    <cfRule type="colorScale" priority="1837">
      <colorScale>
        <cfvo type="min"/>
        <cfvo type="max"/>
        <color rgb="FFFCFCFF"/>
        <color rgb="FF63BE7B"/>
      </colorScale>
    </cfRule>
    <cfRule type="colorScale" priority="1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5:ER25 ER56:ER61 ER27:ER28 ER30:ER54">
    <cfRule type="cellIs" dxfId="1094" priority="1895" operator="greaterThan">
      <formula>1</formula>
    </cfRule>
    <cfRule type="colorScale" priority="1896">
      <colorScale>
        <cfvo type="min"/>
        <cfvo type="max"/>
        <color rgb="FFFCFCFF"/>
        <color rgb="FF63BE7B"/>
      </colorScale>
    </cfRule>
    <cfRule type="colorScale" priority="18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5:ES25 ES27:ES28 ES30:ES61">
    <cfRule type="colorScale" priority="1835">
      <colorScale>
        <cfvo type="min"/>
        <cfvo type="max"/>
        <color rgb="FFFCFCFF"/>
        <color rgb="FF63BE7B"/>
      </colorScale>
    </cfRule>
    <cfRule type="colorScale" priority="1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5:ET25 ET27:ET28 ET30:ET61">
    <cfRule type="colorScale" priority="1833">
      <colorScale>
        <cfvo type="min"/>
        <cfvo type="max"/>
        <color rgb="FFFCFCFF"/>
        <color rgb="FF63BE7B"/>
      </colorScale>
    </cfRule>
    <cfRule type="colorScale" priority="1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5:EU25 EU56:EU61 EU27:EU28 EU30:EU54">
    <cfRule type="cellIs" dxfId="1093" priority="1892" operator="greaterThan">
      <formula>1</formula>
    </cfRule>
    <cfRule type="colorScale" priority="1893">
      <colorScale>
        <cfvo type="min"/>
        <cfvo type="max"/>
        <color rgb="FFFCFCFF"/>
        <color rgb="FF63BE7B"/>
      </colorScale>
    </cfRule>
    <cfRule type="colorScale" priority="1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5:EV25 EV27:EV28 EV30:EV61">
    <cfRule type="colorScale" priority="2175">
      <colorScale>
        <cfvo type="min"/>
        <cfvo type="max"/>
        <color rgb="FFFCFCFF"/>
        <color rgb="FF63BE7B"/>
      </colorScale>
    </cfRule>
    <cfRule type="colorScale" priority="2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5:EW25 EW27:EW28 EW30:EW61">
    <cfRule type="colorScale" priority="1982">
      <colorScale>
        <cfvo type="min"/>
        <cfvo type="max"/>
        <color rgb="FFFCFCFF"/>
        <color rgb="FF63BE7B"/>
      </colorScale>
    </cfRule>
    <cfRule type="colorScale" priority="1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5:EX25 EX56:EX61 EX27:EX28 EX30:EX54">
    <cfRule type="cellIs" dxfId="1092" priority="2121" operator="greaterThan">
      <formula>1</formula>
    </cfRule>
    <cfRule type="colorScale" priority="2122">
      <colorScale>
        <cfvo type="min"/>
        <cfvo type="max"/>
        <color rgb="FFFCFCFF"/>
        <color rgb="FF63BE7B"/>
      </colorScale>
    </cfRule>
    <cfRule type="colorScale" priority="2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5:EY25 EY27:EY28 EY30:EY61">
    <cfRule type="colorScale" priority="2068">
      <colorScale>
        <cfvo type="min"/>
        <cfvo type="max"/>
        <color rgb="FFFCFCFF"/>
        <color rgb="FF63BE7B"/>
      </colorScale>
    </cfRule>
    <cfRule type="colorScale" priority="20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5:EZ25 EZ27:EZ28 EZ30:EZ61">
    <cfRule type="colorScale" priority="1975">
      <colorScale>
        <cfvo type="min"/>
        <cfvo type="max"/>
        <color rgb="FFFCFCFF"/>
        <color rgb="FF63BE7B"/>
      </colorScale>
    </cfRule>
    <cfRule type="colorScale" priority="1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5:FA25 FA56:FA61 FA27:FA28 FA30:FA54">
    <cfRule type="cellIs" dxfId="1091" priority="1889" operator="greaterThan">
      <formula>1</formula>
    </cfRule>
    <cfRule type="colorScale" priority="1890">
      <colorScale>
        <cfvo type="min"/>
        <cfvo type="max"/>
        <color rgb="FFFCFCFF"/>
        <color rgb="FF63BE7B"/>
      </colorScale>
    </cfRule>
    <cfRule type="colorScale" priority="1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5:FB25 FB27:FB28 FB30:FB61">
    <cfRule type="colorScale" priority="2066">
      <colorScale>
        <cfvo type="min"/>
        <cfvo type="max"/>
        <color rgb="FFFCFCFF"/>
        <color rgb="FF63BE7B"/>
      </colorScale>
    </cfRule>
    <cfRule type="colorScale" priority="2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5:FC25 FC27:FC28 FC30:FC61">
    <cfRule type="colorScale" priority="1968">
      <colorScale>
        <cfvo type="min"/>
        <cfvo type="max"/>
        <color rgb="FFFCFCFF"/>
        <color rgb="FF63BE7B"/>
      </colorScale>
    </cfRule>
    <cfRule type="colorScale" priority="1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25 FD56:FD61 FD27:FD28 FD30:FD54">
    <cfRule type="cellIs" dxfId="1090" priority="1886" operator="greaterThan">
      <formula>1</formula>
    </cfRule>
    <cfRule type="colorScale" priority="1887">
      <colorScale>
        <cfvo type="min"/>
        <cfvo type="max"/>
        <color rgb="FFFCFCFF"/>
        <color rgb="FF63BE7B"/>
      </colorScale>
    </cfRule>
    <cfRule type="colorScale" priority="18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5:FE25 FE27:FE28 FE30:FE61">
    <cfRule type="colorScale" priority="2064">
      <colorScale>
        <cfvo type="min"/>
        <cfvo type="max"/>
        <color rgb="FFFCFCFF"/>
        <color rgb="FF63BE7B"/>
      </colorScale>
    </cfRule>
    <cfRule type="colorScale" priority="20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5:FF25 FF27:FF28 FF30:FF61">
    <cfRule type="colorScale" priority="1961">
      <colorScale>
        <cfvo type="min"/>
        <cfvo type="max"/>
        <color rgb="FFFCFCFF"/>
        <color rgb="FF63BE7B"/>
      </colorScale>
    </cfRule>
    <cfRule type="colorScale" priority="1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5:FG25 FG56:FG61 FG27:FG28 FG30:FG54">
    <cfRule type="cellIs" dxfId="1089" priority="1883" operator="greaterThan">
      <formula>1</formula>
    </cfRule>
    <cfRule type="colorScale" priority="1884">
      <colorScale>
        <cfvo type="min"/>
        <cfvo type="max"/>
        <color rgb="FFFCFCFF"/>
        <color rgb="FF63BE7B"/>
      </colorScale>
    </cfRule>
    <cfRule type="colorScale" priority="18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:FH25 FH27:FH28 FH30:FH61">
    <cfRule type="colorScale" priority="2062">
      <colorScale>
        <cfvo type="min"/>
        <cfvo type="max"/>
        <color rgb="FFFCFCFF"/>
        <color rgb="FF63BE7B"/>
      </colorScale>
    </cfRule>
    <cfRule type="colorScale" priority="20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:FI25 FI27:FI28 FI30:FI61">
    <cfRule type="colorScale" priority="1954">
      <colorScale>
        <cfvo type="min"/>
        <cfvo type="max"/>
        <color rgb="FFFCFCFF"/>
        <color rgb="FF63BE7B"/>
      </colorScale>
    </cfRule>
    <cfRule type="colorScale" priority="1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5:FJ25 FJ56:FJ61 FJ27:FJ28 FJ30:FJ54">
    <cfRule type="cellIs" dxfId="1088" priority="1880" operator="greaterThan">
      <formula>1</formula>
    </cfRule>
    <cfRule type="colorScale" priority="1881">
      <colorScale>
        <cfvo type="min"/>
        <cfvo type="max"/>
        <color rgb="FFFCFCFF"/>
        <color rgb="FF63BE7B"/>
      </colorScale>
    </cfRule>
    <cfRule type="colorScale" priority="1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:FK25 FK27:FK28 FK30:FK61">
    <cfRule type="colorScale" priority="2060">
      <colorScale>
        <cfvo type="min"/>
        <cfvo type="max"/>
        <color rgb="FFFCFCFF"/>
        <color rgb="FF63BE7B"/>
      </colorScale>
    </cfRule>
    <cfRule type="colorScale" priority="2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:FL25 FL27:FL28 FL30:FL61">
    <cfRule type="colorScale" priority="1947">
      <colorScale>
        <cfvo type="min"/>
        <cfvo type="max"/>
        <color rgb="FFFCFCFF"/>
        <color rgb="FF63BE7B"/>
      </colorScale>
    </cfRule>
    <cfRule type="colorScale" priority="1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:FM25 FM56:FM61 FM27:FM28 FM30:FM54">
    <cfRule type="cellIs" dxfId="1087" priority="1877" operator="greaterThan">
      <formula>1</formula>
    </cfRule>
    <cfRule type="colorScale" priority="1878">
      <colorScale>
        <cfvo type="min"/>
        <cfvo type="max"/>
        <color rgb="FFFCFCFF"/>
        <color rgb="FF63BE7B"/>
      </colorScale>
    </cfRule>
    <cfRule type="colorScale" priority="1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:FN25 FN27:FN28 FN30:FN61">
    <cfRule type="colorScale" priority="2058">
      <colorScale>
        <cfvo type="min"/>
        <cfvo type="max"/>
        <color rgb="FFFCFCFF"/>
        <color rgb="FF63BE7B"/>
      </colorScale>
    </cfRule>
    <cfRule type="colorScale" priority="2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:FO25 FO27:FO28 FO30:FO61">
    <cfRule type="colorScale" priority="1940">
      <colorScale>
        <cfvo type="min"/>
        <cfvo type="max"/>
        <color rgb="FFFCFCFF"/>
        <color rgb="FF63BE7B"/>
      </colorScale>
    </cfRule>
    <cfRule type="colorScale" priority="1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:FP25 FP56:FP61 FP27:FP28 FP30:FP54">
    <cfRule type="cellIs" dxfId="1086" priority="1874" operator="greaterThan">
      <formula>1</formula>
    </cfRule>
    <cfRule type="colorScale" priority="1875">
      <colorScale>
        <cfvo type="min"/>
        <cfvo type="max"/>
        <color rgb="FFFCFCFF"/>
        <color rgb="FF63BE7B"/>
      </colorScale>
    </cfRule>
    <cfRule type="colorScale" priority="18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:FQ25 FQ27:FQ28 FQ30:FQ61">
    <cfRule type="colorScale" priority="2056">
      <colorScale>
        <cfvo type="min"/>
        <cfvo type="max"/>
        <color rgb="FFFCFCFF"/>
        <color rgb="FF63BE7B"/>
      </colorScale>
    </cfRule>
    <cfRule type="colorScale" priority="2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:FR25 FR27:FR28 FR30:FR61">
    <cfRule type="colorScale" priority="1933">
      <colorScale>
        <cfvo type="min"/>
        <cfvo type="max"/>
        <color rgb="FFFCFCFF"/>
        <color rgb="FF63BE7B"/>
      </colorScale>
    </cfRule>
    <cfRule type="colorScale" priority="1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:FS25 FS56:FS61 FS27:FS28 FS30:FS54">
    <cfRule type="cellIs" dxfId="1085" priority="1871" operator="greaterThan">
      <formula>1</formula>
    </cfRule>
    <cfRule type="colorScale" priority="1872">
      <colorScale>
        <cfvo type="min"/>
        <cfvo type="max"/>
        <color rgb="FFFCFCFF"/>
        <color rgb="FF63BE7B"/>
      </colorScale>
    </cfRule>
    <cfRule type="colorScale" priority="1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:FT25 FT27:FT28 FT30:FT61">
    <cfRule type="colorScale" priority="2054">
      <colorScale>
        <cfvo type="min"/>
        <cfvo type="max"/>
        <color rgb="FFFCFCFF"/>
        <color rgb="FF63BE7B"/>
      </colorScale>
    </cfRule>
    <cfRule type="colorScale" priority="2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:FU25 FU27:FU28 FU30:FU61">
    <cfRule type="colorScale" priority="1926">
      <colorScale>
        <cfvo type="min"/>
        <cfvo type="max"/>
        <color rgb="FFFCFCFF"/>
        <color rgb="FF63BE7B"/>
      </colorScale>
    </cfRule>
    <cfRule type="colorScale" priority="19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:FV25 FV56:FV61 FV27:FV28 FV30:FV54">
    <cfRule type="cellIs" dxfId="1084" priority="1868" operator="greaterThan">
      <formula>1</formula>
    </cfRule>
    <cfRule type="colorScale" priority="1869">
      <colorScale>
        <cfvo type="min"/>
        <cfvo type="max"/>
        <color rgb="FFFCFCFF"/>
        <color rgb="FF63BE7B"/>
      </colorScale>
    </cfRule>
    <cfRule type="colorScale" priority="1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:FW25 FW27:FW28 FW30:FW61">
    <cfRule type="colorScale" priority="2052">
      <colorScale>
        <cfvo type="min"/>
        <cfvo type="max"/>
        <color rgb="FFFCFCFF"/>
        <color rgb="FF63BE7B"/>
      </colorScale>
    </cfRule>
    <cfRule type="colorScale" priority="2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:FX25 FX27:FX28 FX30:FX61">
    <cfRule type="colorScale" priority="1919">
      <colorScale>
        <cfvo type="min"/>
        <cfvo type="max"/>
        <color rgb="FFFCFCFF"/>
        <color rgb="FF63BE7B"/>
      </colorScale>
    </cfRule>
    <cfRule type="colorScale" priority="1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:FY25 FY56:FY61 FY27:FY28 FY30:FY54">
    <cfRule type="cellIs" dxfId="1083" priority="1865" operator="greaterThan">
      <formula>1</formula>
    </cfRule>
    <cfRule type="colorScale" priority="1866">
      <colorScale>
        <cfvo type="min"/>
        <cfvo type="max"/>
        <color rgb="FFFCFCFF"/>
        <color rgb="FF63BE7B"/>
      </colorScale>
    </cfRule>
    <cfRule type="colorScale" priority="1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:GF25 GF27:GF28 GF30:GF61">
    <cfRule type="cellIs" dxfId="1082" priority="1106" operator="greaterThan">
      <formula>1</formula>
    </cfRule>
    <cfRule type="colorScale" priority="1107">
      <colorScale>
        <cfvo type="min"/>
        <cfvo type="max"/>
        <color rgb="FFFCFCFF"/>
        <color rgb="FF63BE7B"/>
      </colorScale>
    </cfRule>
    <cfRule type="colorScale" priority="1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6:GI61 GG48 GH55 GG5:GI25 GG27:GI28 GH30:GI54 GG30:GG46">
    <cfRule type="colorScale" priority="1369">
      <colorScale>
        <cfvo type="min"/>
        <cfvo type="max"/>
        <color rgb="FFFCFCFF"/>
        <color rgb="FF63BE7B"/>
      </colorScale>
    </cfRule>
    <cfRule type="colorScale" priority="13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:GJ25 GJ27:GJ28 GJ30:GJ61">
    <cfRule type="colorScale" priority="1367">
      <colorScale>
        <cfvo type="min"/>
        <cfvo type="max"/>
        <color rgb="FFFCFCFF"/>
        <color rgb="FF63BE7B"/>
      </colorScale>
    </cfRule>
    <cfRule type="colorScale" priority="1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:GL25 GL56:GL61 GL27:GL28 GL30:GL54">
    <cfRule type="cellIs" dxfId="1081" priority="1198" operator="greaterThan">
      <formula>1</formula>
    </cfRule>
    <cfRule type="colorScale" priority="1199">
      <colorScale>
        <cfvo type="min"/>
        <cfvo type="max"/>
        <color rgb="FFFCFCFF"/>
        <color rgb="FF63BE7B"/>
      </colorScale>
    </cfRule>
    <cfRule type="colorScale" priority="12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:GM25 GM27:GM28 GM30:GM61">
    <cfRule type="colorScale" priority="1145">
      <colorScale>
        <cfvo type="min"/>
        <cfvo type="max"/>
        <color rgb="FFFCFCFF"/>
        <color rgb="FF63BE7B"/>
      </colorScale>
    </cfRule>
    <cfRule type="colorScale" priority="11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:GO25 GO56:GO61 GO27:GO28 GO30:GO54">
    <cfRule type="cellIs" dxfId="1080" priority="1195" operator="greaterThan">
      <formula>1</formula>
    </cfRule>
    <cfRule type="colorScale" priority="1196">
      <colorScale>
        <cfvo type="min"/>
        <cfvo type="max"/>
        <color rgb="FFFCFCFF"/>
        <color rgb="FF63BE7B"/>
      </colorScale>
    </cfRule>
    <cfRule type="colorScale" priority="1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:GP25 GP27:GP28 GP30:GP61">
    <cfRule type="colorScale" priority="1141">
      <colorScale>
        <cfvo type="min"/>
        <cfvo type="max"/>
        <color rgb="FFFCFCFF"/>
        <color rgb="FF63BE7B"/>
      </colorScale>
    </cfRule>
    <cfRule type="colorScale" priority="11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:GQ25 GQ27:GQ28 GQ30:GQ61">
    <cfRule type="colorScale" priority="1139">
      <colorScale>
        <cfvo type="min"/>
        <cfvo type="max"/>
        <color rgb="FFFCFCFF"/>
        <color rgb="FF63BE7B"/>
      </colorScale>
    </cfRule>
    <cfRule type="colorScale" priority="11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:GR25 GR56:GR61 GR27:GR28 GR30:GR54">
    <cfRule type="cellIs" dxfId="1079" priority="1192" operator="greaterThan">
      <formula>1</formula>
    </cfRule>
    <cfRule type="colorScale" priority="1193">
      <colorScale>
        <cfvo type="min"/>
        <cfvo type="max"/>
        <color rgb="FFFCFCFF"/>
        <color rgb="FF63BE7B"/>
      </colorScale>
    </cfRule>
    <cfRule type="colorScale" priority="1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:GS25 GS27:GS28 GS30:GS61">
    <cfRule type="colorScale" priority="1137">
      <colorScale>
        <cfvo type="min"/>
        <cfvo type="max"/>
        <color rgb="FFFCFCFF"/>
        <color rgb="FF63BE7B"/>
      </colorScale>
    </cfRule>
    <cfRule type="colorScale" priority="11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:GT25 GT27:GT28 GT30:GT61">
    <cfRule type="colorScale" priority="1135">
      <colorScale>
        <cfvo type="min"/>
        <cfvo type="max"/>
        <color rgb="FFFCFCFF"/>
        <color rgb="FF63BE7B"/>
      </colorScale>
    </cfRule>
    <cfRule type="colorScale" priority="1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:GU25 GU56:GU61 GU27:GU28 GU30:GU54">
    <cfRule type="cellIs" dxfId="1078" priority="1189" operator="greaterThan">
      <formula>1</formula>
    </cfRule>
    <cfRule type="colorScale" priority="1190">
      <colorScale>
        <cfvo type="min"/>
        <cfvo type="max"/>
        <color rgb="FFFCFCFF"/>
        <color rgb="FF63BE7B"/>
      </colorScale>
    </cfRule>
    <cfRule type="colorScale" priority="11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:GV25 GV27:GV28 GV30:GV61">
    <cfRule type="colorScale" priority="1133">
      <colorScale>
        <cfvo type="min"/>
        <cfvo type="max"/>
        <color rgb="FFFCFCFF"/>
        <color rgb="FF63BE7B"/>
      </colorScale>
    </cfRule>
    <cfRule type="colorScale" priority="1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:GW25 GW27:GW28 GW30:GW61">
    <cfRule type="colorScale" priority="1131">
      <colorScale>
        <cfvo type="min"/>
        <cfvo type="max"/>
        <color rgb="FFFCFCFF"/>
        <color rgb="FF63BE7B"/>
      </colorScale>
    </cfRule>
    <cfRule type="colorScale" priority="11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:GX25 GX56:GX61 GX27:GX28 GX30:GX54">
    <cfRule type="cellIs" dxfId="1077" priority="1186" operator="greaterThan">
      <formula>1</formula>
    </cfRule>
    <cfRule type="colorScale" priority="1187">
      <colorScale>
        <cfvo type="min"/>
        <cfvo type="max"/>
        <color rgb="FFFCFCFF"/>
        <color rgb="FF63BE7B"/>
      </colorScale>
    </cfRule>
    <cfRule type="colorScale" priority="1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:GY25 GY27:GY28 GY30:GY61">
    <cfRule type="colorScale" priority="1129">
      <colorScale>
        <cfvo type="min"/>
        <cfvo type="max"/>
        <color rgb="FFFCFCFF"/>
        <color rgb="FF63BE7B"/>
      </colorScale>
    </cfRule>
    <cfRule type="colorScale" priority="11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:GZ25 GZ27:GZ28 GZ30:GZ61">
    <cfRule type="colorScale" priority="1127">
      <colorScale>
        <cfvo type="min"/>
        <cfvo type="max"/>
        <color rgb="FFFCFCFF"/>
        <color rgb="FF63BE7B"/>
      </colorScale>
    </cfRule>
    <cfRule type="colorScale" priority="11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:HA25 HA56:HA61 HA27:HA28 HA30:HA54">
    <cfRule type="cellIs" dxfId="1076" priority="1183" operator="greaterThan">
      <formula>1</formula>
    </cfRule>
    <cfRule type="colorScale" priority="1184">
      <colorScale>
        <cfvo type="min"/>
        <cfvo type="max"/>
        <color rgb="FFFCFCFF"/>
        <color rgb="FF63BE7B"/>
      </colorScale>
    </cfRule>
    <cfRule type="colorScale" priority="1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:HB25 HB27:HB28 HB30:HB61">
    <cfRule type="colorScale" priority="1125">
      <colorScale>
        <cfvo type="min"/>
        <cfvo type="max"/>
        <color rgb="FFFCFCFF"/>
        <color rgb="FF63BE7B"/>
      </colorScale>
    </cfRule>
    <cfRule type="colorScale" priority="11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:HC25 HC27:HC28 HC30:HC61">
    <cfRule type="colorScale" priority="1123">
      <colorScale>
        <cfvo type="min"/>
        <cfvo type="max"/>
        <color rgb="FFFCFCFF"/>
        <color rgb="FF63BE7B"/>
      </colorScale>
    </cfRule>
    <cfRule type="colorScale" priority="1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:HD25 HD56:HD61 HD27:HD28 HD30:HD54">
    <cfRule type="cellIs" dxfId="1075" priority="1180" operator="greaterThan">
      <formula>1</formula>
    </cfRule>
    <cfRule type="colorScale" priority="1181">
      <colorScale>
        <cfvo type="min"/>
        <cfvo type="max"/>
        <color rgb="FFFCFCFF"/>
        <color rgb="FF63BE7B"/>
      </colorScale>
    </cfRule>
    <cfRule type="colorScale" priority="11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:HE25 HE27:HE28 HE30:HE61">
    <cfRule type="colorScale" priority="1121">
      <colorScale>
        <cfvo type="min"/>
        <cfvo type="max"/>
        <color rgb="FFFCFCFF"/>
        <color rgb="FF63BE7B"/>
      </colorScale>
    </cfRule>
    <cfRule type="colorScale" priority="11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:HF25 HF27:HF28 HF30:HF61">
    <cfRule type="colorScale" priority="1119">
      <colorScale>
        <cfvo type="min"/>
        <cfvo type="max"/>
        <color rgb="FFFCFCFF"/>
        <color rgb="FF63BE7B"/>
      </colorScale>
    </cfRule>
    <cfRule type="colorScale" priority="1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:HG25 HG56:HG61 HG27:HG28 HG30:HG54">
    <cfRule type="cellIs" dxfId="1074" priority="1177" operator="greaterThan">
      <formula>1</formula>
    </cfRule>
    <cfRule type="colorScale" priority="1178">
      <colorScale>
        <cfvo type="min"/>
        <cfvo type="max"/>
        <color rgb="FFFCFCFF"/>
        <color rgb="FF63BE7B"/>
      </colorScale>
    </cfRule>
    <cfRule type="colorScale" priority="1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:HH25 HH27:HH28 HH30:HH64">
    <cfRule type="colorScale" priority="1117">
      <colorScale>
        <cfvo type="min"/>
        <cfvo type="max"/>
        <color rgb="FFFCFCFF"/>
        <color rgb="FF63BE7B"/>
      </colorScale>
    </cfRule>
    <cfRule type="colorScale" priority="11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:HI25 HI27:HI28 HI30:HI64">
    <cfRule type="colorScale" priority="1115">
      <colorScale>
        <cfvo type="min"/>
        <cfvo type="max"/>
        <color rgb="FFFCFCFF"/>
        <color rgb="FF63BE7B"/>
      </colorScale>
    </cfRule>
    <cfRule type="colorScale" priority="1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:HJ25 HJ56:HJ61 HJ27:HJ28 HJ30:HJ54">
    <cfRule type="cellIs" dxfId="1073" priority="1174" operator="greaterThan">
      <formula>1</formula>
    </cfRule>
    <cfRule type="colorScale" priority="1175">
      <colorScale>
        <cfvo type="min"/>
        <cfvo type="max"/>
        <color rgb="FFFCFCFF"/>
        <color rgb="FF63BE7B"/>
      </colorScale>
    </cfRule>
    <cfRule type="colorScale" priority="1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:HK25 HK27:HK28 HK30:HK64">
    <cfRule type="colorScale" priority="961">
      <colorScale>
        <cfvo type="min"/>
        <cfvo type="max"/>
        <color rgb="FFFCFCFF"/>
        <color rgb="FF63BE7B"/>
      </colorScale>
    </cfRule>
    <cfRule type="colorScale" priority="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:HL25 HL27:HL28 HL30:HL64">
    <cfRule type="colorScale" priority="941">
      <colorScale>
        <cfvo type="min"/>
        <cfvo type="max"/>
        <color rgb="FFFCFCFF"/>
        <color rgb="FF63BE7B"/>
      </colorScale>
    </cfRule>
    <cfRule type="colorScale" priority="9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:HM25 HM56:HM61 HM27:HM28 HM30:HM54">
    <cfRule type="cellIs" dxfId="1072" priority="1340" operator="greaterThan">
      <formula>1</formula>
    </cfRule>
    <cfRule type="colorScale" priority="1341">
      <colorScale>
        <cfvo type="min"/>
        <cfvo type="max"/>
        <color rgb="FFFCFCFF"/>
        <color rgb="FF63BE7B"/>
      </colorScale>
    </cfRule>
    <cfRule type="colorScale" priority="1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:HN25 HN27:HN28 HN30:HN64">
    <cfRule type="colorScale" priority="959">
      <colorScale>
        <cfvo type="min"/>
        <cfvo type="max"/>
        <color rgb="FFFCFCFF"/>
        <color rgb="FF63BE7B"/>
      </colorScale>
    </cfRule>
    <cfRule type="colorScale" priority="9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:HO25 HO27:HO28 HO30:HO64">
    <cfRule type="colorScale" priority="939">
      <colorScale>
        <cfvo type="min"/>
        <cfvo type="max"/>
        <color rgb="FFFCFCFF"/>
        <color rgb="FF63BE7B"/>
      </colorScale>
    </cfRule>
    <cfRule type="colorScale" priority="9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P5:HP25 HP56:HP61 HP27:HP28 HP30:HP54">
    <cfRule type="cellIs" dxfId="1071" priority="1171" operator="greaterThan">
      <formula>1</formula>
    </cfRule>
    <cfRule type="colorScale" priority="1172">
      <colorScale>
        <cfvo type="min"/>
        <cfvo type="max"/>
        <color rgb="FFFCFCFF"/>
        <color rgb="FF63BE7B"/>
      </colorScale>
    </cfRule>
    <cfRule type="colorScale" priority="1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5:HQ25 HQ27:HQ28 HQ30:HQ64">
    <cfRule type="colorScale" priority="957">
      <colorScale>
        <cfvo type="min"/>
        <cfvo type="max"/>
        <color rgb="FFFCFCFF"/>
        <color rgb="FF63BE7B"/>
      </colorScale>
    </cfRule>
    <cfRule type="colorScale" priority="9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R5:HR25 HR27:HR28 HR30:HR64">
    <cfRule type="colorScale" priority="937">
      <colorScale>
        <cfvo type="min"/>
        <cfvo type="max"/>
        <color rgb="FFFCFCFF"/>
        <color rgb="FF63BE7B"/>
      </colorScale>
    </cfRule>
    <cfRule type="colorScale" priority="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S5:HS25 HS56:HS61 HS27:HS28 HS30:HS54">
    <cfRule type="cellIs" dxfId="1070" priority="1168" operator="greaterThan">
      <formula>1</formula>
    </cfRule>
    <cfRule type="colorScale" priority="1169">
      <colorScale>
        <cfvo type="min"/>
        <cfvo type="max"/>
        <color rgb="FFFCFCFF"/>
        <color rgb="FF63BE7B"/>
      </colorScale>
    </cfRule>
    <cfRule type="colorScale" priority="11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T5:HT25 HT27:HT28 HT30:HT64">
    <cfRule type="colorScale" priority="955">
      <colorScale>
        <cfvo type="min"/>
        <cfvo type="max"/>
        <color rgb="FFFCFCFF"/>
        <color rgb="FF63BE7B"/>
      </colorScale>
    </cfRule>
    <cfRule type="colorScale" priority="9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U5:HU25 HU27:HU28 HU30:HU64">
    <cfRule type="colorScale" priority="935">
      <colorScale>
        <cfvo type="min"/>
        <cfvo type="max"/>
        <color rgb="FFFCFCFF"/>
        <color rgb="FF63BE7B"/>
      </colorScale>
    </cfRule>
    <cfRule type="colorScale" priority="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:HV25 HV56:HV61 HV27:HV28 HV30:HV54">
    <cfRule type="cellIs" dxfId="1069" priority="1165" operator="greaterThan">
      <formula>1</formula>
    </cfRule>
    <cfRule type="colorScale" priority="1166">
      <colorScale>
        <cfvo type="min"/>
        <cfvo type="max"/>
        <color rgb="FFFCFCFF"/>
        <color rgb="FF63BE7B"/>
      </colorScale>
    </cfRule>
    <cfRule type="colorScale" priority="11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:HW25 HW27:HW28 HW30:HW64">
    <cfRule type="colorScale" priority="953">
      <colorScale>
        <cfvo type="min"/>
        <cfvo type="max"/>
        <color rgb="FFFCFCFF"/>
        <color rgb="FF63BE7B"/>
      </colorScale>
    </cfRule>
    <cfRule type="colorScale" priority="9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5:HX25 HX27:HX28 HX30:HX64">
    <cfRule type="colorScale" priority="933">
      <colorScale>
        <cfvo type="min"/>
        <cfvo type="max"/>
        <color rgb="FFFCFCFF"/>
        <color rgb="FF63BE7B"/>
      </colorScale>
    </cfRule>
    <cfRule type="colorScale" priority="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5:HY25 HY56:HY61 HY27:HY28 HY30:HY54">
    <cfRule type="cellIs" dxfId="1068" priority="1162" operator="greaterThan">
      <formula>1</formula>
    </cfRule>
    <cfRule type="colorScale" priority="1163">
      <colorScale>
        <cfvo type="min"/>
        <cfvo type="max"/>
        <color rgb="FFFCFCFF"/>
        <color rgb="FF63BE7B"/>
      </colorScale>
    </cfRule>
    <cfRule type="colorScale" priority="1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:HZ25 HZ27:HZ28 HZ30:HZ64">
    <cfRule type="colorScale" priority="951">
      <colorScale>
        <cfvo type="min"/>
        <cfvo type="max"/>
        <color rgb="FFFCFCFF"/>
        <color rgb="FF63BE7B"/>
      </colorScale>
    </cfRule>
    <cfRule type="colorScale" priority="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:IA25 IA27:IA28 IA30:IA64">
    <cfRule type="colorScale" priority="931">
      <colorScale>
        <cfvo type="min"/>
        <cfvo type="max"/>
        <color rgb="FFFCFCFF"/>
        <color rgb="FF63BE7B"/>
      </colorScale>
    </cfRule>
    <cfRule type="colorScale" priority="9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:IB25 IB56:IB61 IB27:IB28 IB30:IB54">
    <cfRule type="cellIs" dxfId="1067" priority="1159" operator="greaterThan">
      <formula>1</formula>
    </cfRule>
    <cfRule type="colorScale" priority="1160">
      <colorScale>
        <cfvo type="min"/>
        <cfvo type="max"/>
        <color rgb="FFFCFCFF"/>
        <color rgb="FF63BE7B"/>
      </colorScale>
    </cfRule>
    <cfRule type="colorScale" priority="11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:IC25 IC27:IC28 IC30:IC64">
    <cfRule type="colorScale" priority="949">
      <colorScale>
        <cfvo type="min"/>
        <cfvo type="max"/>
        <color rgb="FFFCFCFF"/>
        <color rgb="FF63BE7B"/>
      </colorScale>
    </cfRule>
    <cfRule type="colorScale" priority="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:ID25 ID27:ID28 ID30:ID64">
    <cfRule type="colorScale" priority="929">
      <colorScale>
        <cfvo type="min"/>
        <cfvo type="max"/>
        <color rgb="FFFCFCFF"/>
        <color rgb="FF63BE7B"/>
      </colorScale>
    </cfRule>
    <cfRule type="colorScale" priority="9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:IE25 IE56:IE61 IE27:IE28 IE30:IE54">
    <cfRule type="cellIs" dxfId="1066" priority="1156" operator="greaterThan">
      <formula>1</formula>
    </cfRule>
    <cfRule type="colorScale" priority="1157">
      <colorScale>
        <cfvo type="min"/>
        <cfvo type="max"/>
        <color rgb="FFFCFCFF"/>
        <color rgb="FF63BE7B"/>
      </colorScale>
    </cfRule>
    <cfRule type="colorScale" priority="1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:IF25 IF27:IF28 IF30:IF64">
    <cfRule type="colorScale" priority="947">
      <colorScale>
        <cfvo type="min"/>
        <cfvo type="max"/>
        <color rgb="FFFCFCFF"/>
        <color rgb="FF63BE7B"/>
      </colorScale>
    </cfRule>
    <cfRule type="colorScale" priority="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:IG25 IG27:IG28 IG30:IG64">
    <cfRule type="colorScale" priority="927">
      <colorScale>
        <cfvo type="min"/>
        <cfvo type="max"/>
        <color rgb="FFFCFCFF"/>
        <color rgb="FF63BE7B"/>
      </colorScale>
    </cfRule>
    <cfRule type="colorScale" priority="9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:IH25 IH56:IH61 IH27:IH28 IH30:IH54">
    <cfRule type="cellIs" dxfId="1065" priority="1153" operator="greaterThan">
      <formula>1</formula>
    </cfRule>
    <cfRule type="colorScale" priority="1154">
      <colorScale>
        <cfvo type="min"/>
        <cfvo type="max"/>
        <color rgb="FFFCFCFF"/>
        <color rgb="FF63BE7B"/>
      </colorScale>
    </cfRule>
    <cfRule type="colorScale" priority="1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:II25 II27:II28 II30:II64">
    <cfRule type="colorScale" priority="945">
      <colorScale>
        <cfvo type="min"/>
        <cfvo type="max"/>
        <color rgb="FFFCFCFF"/>
        <color rgb="FF63BE7B"/>
      </colorScale>
    </cfRule>
    <cfRule type="colorScale" priority="9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:IJ25 IJ27:IJ28 IJ30:IJ64">
    <cfRule type="colorScale" priority="925">
      <colorScale>
        <cfvo type="min"/>
        <cfvo type="max"/>
        <color rgb="FFFCFCFF"/>
        <color rgb="FF63BE7B"/>
      </colorScale>
    </cfRule>
    <cfRule type="colorScale" priority="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:IK25 IK56:IK61 IK27:IK28 IK30:IK54">
    <cfRule type="cellIs" dxfId="1064" priority="1150" operator="greaterThan">
      <formula>1</formula>
    </cfRule>
    <cfRule type="colorScale" priority="1151">
      <colorScale>
        <cfvo type="min"/>
        <cfvo type="max"/>
        <color rgb="FFFCFCFF"/>
        <color rgb="FF63BE7B"/>
      </colorScale>
    </cfRule>
    <cfRule type="colorScale" priority="1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:IL25 IL27:IL28 IL30:IL64">
    <cfRule type="colorScale" priority="943">
      <colorScale>
        <cfvo type="min"/>
        <cfvo type="max"/>
        <color rgb="FFFCFCFF"/>
        <color rgb="FF63BE7B"/>
      </colorScale>
    </cfRule>
    <cfRule type="colorScale" priority="9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:IM25 IM27:IM28 IM30:IM64">
    <cfRule type="colorScale" priority="923">
      <colorScale>
        <cfvo type="min"/>
        <cfvo type="max"/>
        <color rgb="FFFCFCFF"/>
        <color rgb="FF63BE7B"/>
      </colorScale>
    </cfRule>
    <cfRule type="colorScale" priority="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:IN25 IN56:IN61 IN27:IN28 IN30:IN54">
    <cfRule type="cellIs" dxfId="1063" priority="1147" operator="greaterThan">
      <formula>1</formula>
    </cfRule>
    <cfRule type="colorScale" priority="1148">
      <colorScale>
        <cfvo type="min"/>
        <cfvo type="max"/>
        <color rgb="FFFCFCFF"/>
        <color rgb="FF63BE7B"/>
      </colorScale>
    </cfRule>
    <cfRule type="colorScale" priority="11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:JL25 IS48:JL64 IS47:IZ47 IS27:JL28 IS30:JL46">
    <cfRule type="cellIs" dxfId="1062" priority="1385" operator="greaterThan">
      <formula>0.31</formula>
    </cfRule>
    <cfRule type="cellIs" dxfId="1061" priority="1386" operator="greaterThan">
      <formula>0.31</formula>
    </cfRule>
    <cfRule type="cellIs" dxfId="1060" priority="1387" operator="greaterThan">
      <formula>0.3</formula>
    </cfRule>
    <cfRule type="cellIs" dxfId="1059" priority="1388" operator="greaterThan">
      <formula>1</formula>
    </cfRule>
    <cfRule type="cellIs" dxfId="1058" priority="1444" operator="equal">
      <formula>0</formula>
    </cfRule>
  </conditionalFormatting>
  <conditionalFormatting sqref="IS5:JL25 IS48:JL64 IS47:JK47 IS27:JL28 IS30:JL46">
    <cfRule type="cellIs" dxfId="1057" priority="1383" operator="greaterThan">
      <formula>0.31</formula>
    </cfRule>
  </conditionalFormatting>
  <conditionalFormatting sqref="IS5:JL25 IS27:JL28 IS30:JL64">
    <cfRule type="cellIs" dxfId="1056" priority="1380" operator="greaterThan">
      <formula>0.31</formula>
    </cfRule>
  </conditionalFormatting>
  <conditionalFormatting sqref="KB27:KB28 JQ31:JT57 KB30:KB57 JT6:JT25 JY7:KB7 KB8:KB25 JY8:KA57 JT30 JT27:JT28 KB6 JY5:KA6 KJ6:KJ25 KJ30:KJ57 KJ27:KJ28 KR27:KR28 KR30:KR57 KR6:KR25 KZ6:KZ25 KZ30:KZ57 KZ27:KZ28">
    <cfRule type="containsText" dxfId="1055" priority="127" operator="containsText" text=" ">
      <formula>NOT(ISERROR(SEARCH(" ",JQ5)))</formula>
    </cfRule>
    <cfRule type="containsText" dxfId="1054" priority="128" operator="containsText" text=" ">
      <formula>NOT(ISERROR(SEARCH(" ",JQ5)))</formula>
    </cfRule>
  </conditionalFormatting>
  <conditionalFormatting sqref="KG5:KI57">
    <cfRule type="containsText" dxfId="1053" priority="117" operator="containsText" text=" ">
      <formula>NOT(ISERROR(SEARCH(" ",KG5)))</formula>
    </cfRule>
    <cfRule type="containsText" dxfId="1052" priority="118" operator="containsText" text=" ">
      <formula>NOT(ISERROR(SEARCH(" ",KG5)))</formula>
    </cfRule>
  </conditionalFormatting>
  <conditionalFormatting sqref="KO5:KQ57">
    <cfRule type="containsText" dxfId="1051" priority="111" operator="containsText" text=" ">
      <formula>NOT(ISERROR(SEARCH(" ",KO5)))</formula>
    </cfRule>
    <cfRule type="containsText" dxfId="1050" priority="112" operator="containsText" text=" ">
      <formula>NOT(ISERROR(SEARCH(" ",KO5)))</formula>
    </cfRule>
  </conditionalFormatting>
  <conditionalFormatting sqref="KW5:KY57">
    <cfRule type="containsText" dxfId="1049" priority="105" operator="containsText" text=" ">
      <formula>NOT(ISERROR(SEARCH(" ",KW5)))</formula>
    </cfRule>
    <cfRule type="containsText" dxfId="1048" priority="106" operator="containsText" text=" ">
      <formula>NOT(ISERROR(SEARCH(" ",KW5)))</formula>
    </cfRule>
  </conditionalFormatting>
  <conditionalFormatting sqref="LE5:LG57">
    <cfRule type="containsText" dxfId="1047" priority="99" operator="containsText" text=" ">
      <formula>NOT(ISERROR(SEARCH(" ",LE5)))</formula>
    </cfRule>
    <cfRule type="containsText" dxfId="1046" priority="100" operator="containsText" text=" ">
      <formula>NOT(ISERROR(SEARCH(" ",LE5)))</formula>
    </cfRule>
  </conditionalFormatting>
  <conditionalFormatting sqref="Y50:Y53 Y6:Y25 Y28 Y55:Y61 Y30:Y48">
    <cfRule type="cellIs" dxfId="1045" priority="2455" operator="greaterThan">
      <formula>1</formula>
    </cfRule>
    <cfRule type="containsText" dxfId="1044" priority="2456" operator="containsText" text=" ">
      <formula>NOT(ISERROR(SEARCH(" ",Y6)))</formula>
    </cfRule>
    <cfRule type="containsText" dxfId="1043" priority="2457" operator="containsText" text=" ">
      <formula>NOT(ISERROR(SEARCH(" ",Y6)))</formula>
    </cfRule>
  </conditionalFormatting>
  <conditionalFormatting sqref="CX6:CX25 CX27:CX28 CX30:CX61">
    <cfRule type="colorScale" priority="2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Y6:DY25 DY27:DY28 DY30:DY61">
    <cfRule type="colorScale" priority="1861">
      <colorScale>
        <cfvo type="min"/>
        <cfvo type="max"/>
        <color rgb="FFFCFCFF"/>
        <color rgb="FF63BE7B"/>
      </colorScale>
    </cfRule>
    <cfRule type="colorScale" priority="18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:GN25 GN27:GN28 GN30:GN61">
    <cfRule type="colorScale" priority="1143">
      <colorScale>
        <cfvo type="min"/>
        <cfvo type="max"/>
        <color rgb="FFFCFCFF"/>
        <color rgb="FF63BE7B"/>
      </colorScale>
    </cfRule>
    <cfRule type="colorScale" priority="11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7:DV25 DV27:DV28 DV30:DV61">
    <cfRule type="colorScale" priority="2045">
      <colorScale>
        <cfvo type="min"/>
        <cfvo type="max"/>
        <color rgb="FFFCFCFF"/>
        <color rgb="FF63BE7B"/>
      </colorScale>
    </cfRule>
    <cfRule type="colorScale" priority="20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:GK25 GK27:GK28 GK30:GK61">
    <cfRule type="colorScale" priority="1311">
      <colorScale>
        <cfvo type="min"/>
        <cfvo type="max"/>
        <color rgb="FFFCFCFF"/>
        <color rgb="FF63BE7B"/>
      </colorScale>
    </cfRule>
    <cfRule type="colorScale" priority="1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0 BU20">
    <cfRule type="containsText" dxfId="1042" priority="2728" operator="containsText" text=" ">
      <formula>NOT(ISERROR(SEARCH(" ",B20)))</formula>
    </cfRule>
    <cfRule type="containsText" dxfId="1041" priority="2729" operator="containsText" text=" ">
      <formula>NOT(ISERROR(SEARCH(" ",B20)))</formula>
    </cfRule>
  </conditionalFormatting>
  <conditionalFormatting sqref="E21:E25 E31 E28">
    <cfRule type="containsText" dxfId="1040" priority="149" operator="containsText" text=" ">
      <formula>NOT(ISERROR(SEARCH(" ",E21)))</formula>
    </cfRule>
    <cfRule type="containsText" dxfId="1039" priority="150" operator="containsText" text=" ">
      <formula>NOT(ISERROR(SEARCH(" ",E21)))</formula>
    </cfRule>
  </conditionalFormatting>
  <conditionalFormatting sqref="A26:D26 X26 AP26 BU26:BV26 CM26:CP26 CI26:CK26 BN26:BR26 CT26 CR26">
    <cfRule type="containsText" dxfId="1038" priority="913" operator="containsText" text=" ">
      <formula>NOT(ISERROR(SEARCH(" ",A26)))</formula>
    </cfRule>
    <cfRule type="containsText" dxfId="1037" priority="914" operator="containsText" text=" ">
      <formula>NOT(ISERROR(SEARCH(" ",A26)))</formula>
    </cfRule>
  </conditionalFormatting>
  <conditionalFormatting sqref="J26:L26 O26:P26 BS26:BT26">
    <cfRule type="containsText" dxfId="1036" priority="903" operator="containsText" text=" ">
      <formula>NOT(ISERROR(SEARCH(" ",J26)))</formula>
    </cfRule>
    <cfRule type="containsText" dxfId="1035" priority="904" operator="containsText" text=" ">
      <formula>NOT(ISERROR(SEARCH(" ",J26)))</formula>
    </cfRule>
  </conditionalFormatting>
  <conditionalFormatting sqref="Z26:AC26 AG26:AI26">
    <cfRule type="cellIs" dxfId="1034" priority="850" operator="equal">
      <formula>0</formula>
    </cfRule>
  </conditionalFormatting>
  <conditionalFormatting sqref="BF26:BG26 AQ26:AS26">
    <cfRule type="containsText" dxfId="1033" priority="911" operator="containsText" text=" ">
      <formula>NOT(ISERROR(SEARCH(" ",AQ26)))</formula>
    </cfRule>
    <cfRule type="containsText" dxfId="1032" priority="912" operator="containsText" text=" ">
      <formula>NOT(ISERROR(SEARCH(" ",AQ26)))</formula>
    </cfRule>
  </conditionalFormatting>
  <conditionalFormatting sqref="AW26 AU26">
    <cfRule type="containsText" dxfId="1031" priority="897" operator="containsText" text=" ">
      <formula>NOT(ISERROR(SEARCH(" ",AU26)))</formula>
    </cfRule>
    <cfRule type="containsText" dxfId="1030" priority="898" operator="containsText" text=" ">
      <formula>NOT(ISERROR(SEARCH(" ",AU26)))</formula>
    </cfRule>
  </conditionalFormatting>
  <conditionalFormatting sqref="BB26 AZ26">
    <cfRule type="containsText" dxfId="1029" priority="895" operator="containsText" text=" ">
      <formula>NOT(ISERROR(SEARCH(" ",AZ26)))</formula>
    </cfRule>
    <cfRule type="containsText" dxfId="1028" priority="896" operator="containsText" text=" ">
      <formula>NOT(ISERROR(SEARCH(" ",AZ26)))</formula>
    </cfRule>
  </conditionalFormatting>
  <conditionalFormatting sqref="BW26 CE26:CF26">
    <cfRule type="containsText" dxfId="1027" priority="875" operator="containsText" text=" ">
      <formula>NOT(ISERROR(SEARCH(" ",BW26)))</formula>
    </cfRule>
    <cfRule type="containsText" dxfId="1026" priority="876" operator="containsText" text=" ">
      <formula>NOT(ISERROR(SEARCH(" ",BW26)))</formula>
    </cfRule>
  </conditionalFormatting>
  <conditionalFormatting sqref="CL26 CV26:CW26 DK26:DP26 CG26:CH26 CQ26">
    <cfRule type="containsText" dxfId="1025" priority="879" operator="containsText" text=" ">
      <formula>NOT(ISERROR(SEARCH(" ",CG26)))</formula>
    </cfRule>
    <cfRule type="containsText" dxfId="1024" priority="880" operator="containsText" text=" ">
      <formula>NOT(ISERROR(SEARCH(" ",CG26)))</formula>
    </cfRule>
  </conditionalFormatting>
  <conditionalFormatting sqref="DD26 DA26:DB26">
    <cfRule type="cellIs" dxfId="1023" priority="862" operator="greaterThan">
      <formula>1</formula>
    </cfRule>
  </conditionalFormatting>
  <conditionalFormatting sqref="FZ26 IP26:JP26 LH26:XFD26">
    <cfRule type="containsText" dxfId="1022" priority="905" operator="containsText" text=" ">
      <formula>NOT(ISERROR(SEARCH(" ",FZ26)))</formula>
    </cfRule>
    <cfRule type="containsText" dxfId="1021" priority="906" operator="containsText" text=" ">
      <formula>NOT(ISERROR(SEARCH(" ",FZ26)))</formula>
    </cfRule>
  </conditionalFormatting>
  <conditionalFormatting sqref="KB26 JT26 KJ26 KR26 KZ26">
    <cfRule type="containsText" dxfId="1020" priority="121" operator="containsText" text=" ">
      <formula>NOT(ISERROR(SEARCH(" ",JT26)))</formula>
    </cfRule>
    <cfRule type="containsText" dxfId="1019" priority="122" operator="containsText" text=" ">
      <formula>NOT(ISERROR(SEARCH(" ",JT26)))</formula>
    </cfRule>
  </conditionalFormatting>
  <conditionalFormatting sqref="BY31 CC31:CD31 BX28:CD28 CA31 BX30 BZ30 CB30 CD30 BX32:BZ32 BX33:BX37 BZ33:BZ37 BY33:BY40 CB32:CB37 CD32:CD40">
    <cfRule type="containsText" dxfId="1018" priority="2217" operator="containsText" text=" ">
      <formula>NOT(ISERROR(SEARCH(" ",BX28)))</formula>
    </cfRule>
    <cfRule type="containsText" dxfId="1017" priority="2218" operator="containsText" text=" ">
      <formula>NOT(ISERROR(SEARCH(" ",BX28)))</formula>
    </cfRule>
  </conditionalFormatting>
  <conditionalFormatting sqref="AP29 X29 B29:D29 CI29:CK29 CT29 CR29 BN29:BR29 BU29:BV29 CM29:CP29">
    <cfRule type="containsText" dxfId="1016" priority="553" operator="containsText" text=" ">
      <formula>NOT(ISERROR(SEARCH(" ",B29)))</formula>
    </cfRule>
    <cfRule type="containsText" dxfId="1015" priority="554" operator="containsText" text=" ">
      <formula>NOT(ISERROR(SEARCH(" ",B29)))</formula>
    </cfRule>
  </conditionalFormatting>
  <conditionalFormatting sqref="J29:L29 O29:P29 BS29:BT29">
    <cfRule type="containsText" dxfId="1014" priority="543" operator="containsText" text=" ">
      <formula>NOT(ISERROR(SEARCH(" ",J29)))</formula>
    </cfRule>
    <cfRule type="containsText" dxfId="1013" priority="544" operator="containsText" text=" ">
      <formula>NOT(ISERROR(SEARCH(" ",J29)))</formula>
    </cfRule>
  </conditionalFormatting>
  <conditionalFormatting sqref="Z29:AC29 AG29:AI29">
    <cfRule type="cellIs" dxfId="1012" priority="490" operator="equal">
      <formula>0</formula>
    </cfRule>
  </conditionalFormatting>
  <conditionalFormatting sqref="AQ29:AS29 BF29:BG29">
    <cfRule type="containsText" dxfId="1011" priority="551" operator="containsText" text=" ">
      <formula>NOT(ISERROR(SEARCH(" ",AQ29)))</formula>
    </cfRule>
    <cfRule type="containsText" dxfId="1010" priority="552" operator="containsText" text=" ">
      <formula>NOT(ISERROR(SEARCH(" ",AQ29)))</formula>
    </cfRule>
  </conditionalFormatting>
  <conditionalFormatting sqref="AW29 AU29">
    <cfRule type="containsText" dxfId="1009" priority="537" operator="containsText" text=" ">
      <formula>NOT(ISERROR(SEARCH(" ",AU29)))</formula>
    </cfRule>
    <cfRule type="containsText" dxfId="1008" priority="538" operator="containsText" text=" ">
      <formula>NOT(ISERROR(SEARCH(" ",AU29)))</formula>
    </cfRule>
  </conditionalFormatting>
  <conditionalFormatting sqref="BB29 AZ29">
    <cfRule type="containsText" dxfId="1007" priority="535" operator="containsText" text=" ">
      <formula>NOT(ISERROR(SEARCH(" ",AZ29)))</formula>
    </cfRule>
    <cfRule type="containsText" dxfId="1006" priority="536" operator="containsText" text=" ">
      <formula>NOT(ISERROR(SEARCH(" ",AZ29)))</formula>
    </cfRule>
  </conditionalFormatting>
  <conditionalFormatting sqref="CE29:CF29 BW29">
    <cfRule type="containsText" dxfId="1005" priority="515" operator="containsText" text=" ">
      <formula>NOT(ISERROR(SEARCH(" ",BW29)))</formula>
    </cfRule>
    <cfRule type="containsText" dxfId="1004" priority="516" operator="containsText" text=" ">
      <formula>NOT(ISERROR(SEARCH(" ",BW29)))</formula>
    </cfRule>
  </conditionalFormatting>
  <conditionalFormatting sqref="CQ29 CG29:CH29 DK29:DP29 CV29:CW29 CL29">
    <cfRule type="containsText" dxfId="1003" priority="519" operator="containsText" text=" ">
      <formula>NOT(ISERROR(SEARCH(" ",CG29)))</formula>
    </cfRule>
    <cfRule type="containsText" dxfId="1002" priority="520" operator="containsText" text=" ">
      <formula>NOT(ISERROR(SEARCH(" ",CG29)))</formula>
    </cfRule>
  </conditionalFormatting>
  <conditionalFormatting sqref="DA29:DB29 DD29">
    <cfRule type="cellIs" dxfId="1001" priority="502" operator="greaterThan">
      <formula>1</formula>
    </cfRule>
  </conditionalFormatting>
  <conditionalFormatting sqref="IP29:JP29 FZ29 LH29:XFD29">
    <cfRule type="containsText" dxfId="1000" priority="545" operator="containsText" text=" ">
      <formula>NOT(ISERROR(SEARCH(" ",FZ29)))</formula>
    </cfRule>
    <cfRule type="containsText" dxfId="999" priority="546" operator="containsText" text=" ">
      <formula>NOT(ISERROR(SEARCH(" ",FZ29)))</formula>
    </cfRule>
  </conditionalFormatting>
  <conditionalFormatting sqref="KB29 JT29 KJ29 KR29 KZ29">
    <cfRule type="containsText" dxfId="998" priority="119" operator="containsText" text=" ">
      <formula>NOT(ISERROR(SEARCH(" ",JT29)))</formula>
    </cfRule>
    <cfRule type="containsText" dxfId="997" priority="120" operator="containsText" text=" ">
      <formula>NOT(ISERROR(SEARCH(" ",JT29)))</formula>
    </cfRule>
  </conditionalFormatting>
  <conditionalFormatting sqref="C32:C40 BU32">
    <cfRule type="containsText" dxfId="996" priority="2752" operator="containsText" text=" ">
      <formula>NOT(ISERROR(SEARCH(" ",C32)))</formula>
    </cfRule>
    <cfRule type="containsText" dxfId="995" priority="2753" operator="containsText" text=" ">
      <formula>NOT(ISERROR(SEARCH(" ",C32)))</formula>
    </cfRule>
  </conditionalFormatting>
  <conditionalFormatting sqref="BI32:BJ32 BJ33:BJ40">
    <cfRule type="containsText" dxfId="994" priority="2421" operator="containsText" text=" ">
      <formula>NOT(ISERROR(SEARCH(" ",BI32)))</formula>
    </cfRule>
    <cfRule type="containsText" dxfId="993" priority="2422" operator="containsText" text=" ">
      <formula>NOT(ISERROR(SEARCH(" ",BI32)))</formula>
    </cfRule>
  </conditionalFormatting>
  <conditionalFormatting sqref="BX38:BX40 BZ38:BZ39 CB40">
    <cfRule type="containsText" dxfId="992" priority="2215" operator="containsText" text=" ">
      <formula>NOT(ISERROR(SEARCH(" ",BX38)))</formula>
    </cfRule>
    <cfRule type="containsText" dxfId="991" priority="2216" operator="containsText" text=" ">
      <formula>NOT(ISERROR(SEARCH(" ",BX38)))</formula>
    </cfRule>
  </conditionalFormatting>
  <conditionalFormatting sqref="BI43:BK43 BJ45 BJ47 BJ49 BK44:BK48 BL43:BM48">
    <cfRule type="containsText" dxfId="990" priority="2389" operator="containsText" text=" ">
      <formula>NOT(ISERROR(SEARCH(" ",BI43)))</formula>
    </cfRule>
    <cfRule type="containsText" dxfId="989" priority="2390" operator="containsText" text=" ">
      <formula>NOT(ISERROR(SEARCH(" ",BI43)))</formula>
    </cfRule>
  </conditionalFormatting>
  <conditionalFormatting sqref="J49:L49 BS49:BT49 BT48">
    <cfRule type="containsText" dxfId="988" priority="2353" operator="containsText" text=" ">
      <formula>NOT(ISERROR(SEARCH(" ",J48)))</formula>
    </cfRule>
    <cfRule type="containsText" dxfId="987" priority="2354" operator="containsText" text=" ">
      <formula>NOT(ISERROR(SEARCH(" ",J48)))</formula>
    </cfRule>
  </conditionalFormatting>
  <conditionalFormatting sqref="D49 AP49 BO49:BQ49">
    <cfRule type="containsText" dxfId="986" priority="2365" operator="containsText" text=" ">
      <formula>NOT(ISERROR(SEARCH(" ",D49)))</formula>
    </cfRule>
    <cfRule type="containsText" dxfId="985" priority="2366" operator="containsText" text=" ">
      <formula>NOT(ISERROR(SEARCH(" ",D49)))</formula>
    </cfRule>
  </conditionalFormatting>
  <conditionalFormatting sqref="BI49 BK49:BM49">
    <cfRule type="containsText" dxfId="984" priority="2331" operator="containsText" text=" ">
      <formula>NOT(ISERROR(SEARCH(" ",BI49)))</formula>
    </cfRule>
    <cfRule type="containsText" dxfId="983" priority="2332" operator="containsText" text=" ">
      <formula>NOT(ISERROR(SEARCH(" ",BI49)))</formula>
    </cfRule>
  </conditionalFormatting>
  <conditionalFormatting sqref="C51:D51 C55">
    <cfRule type="containsText" dxfId="982" priority="2740" operator="containsText" text=" ">
      <formula>NOT(ISERROR(SEARCH(" ",C51)))</formula>
    </cfRule>
    <cfRule type="containsText" dxfId="981" priority="2741" operator="containsText" text=" ">
      <formula>NOT(ISERROR(SEARCH(" ",C51)))</formula>
    </cfRule>
  </conditionalFormatting>
  <conditionalFormatting sqref="C52:D52 C56 BU52">
    <cfRule type="containsText" dxfId="980" priority="2750" operator="containsText" text=" ">
      <formula>NOT(ISERROR(SEARCH(" ",C52)))</formula>
    </cfRule>
    <cfRule type="containsText" dxfId="979" priority="2751" operator="containsText" text=" ">
      <formula>NOT(ISERROR(SEARCH(" ",C52)))</formula>
    </cfRule>
  </conditionalFormatting>
  <conditionalFormatting sqref="J54:L54 O54:P54">
    <cfRule type="containsText" dxfId="978" priority="1424" operator="containsText" text=" ">
      <formula>NOT(ISERROR(SEARCH(" ",J54)))</formula>
    </cfRule>
    <cfRule type="containsText" dxfId="977" priority="1425" operator="containsText" text=" ">
      <formula>NOT(ISERROR(SEARCH(" ",J54)))</formula>
    </cfRule>
  </conditionalFormatting>
  <conditionalFormatting sqref="AP54 X54 BN54">
    <cfRule type="containsText" dxfId="976" priority="1434" operator="containsText" text=" ">
      <formula>NOT(ISERROR(SEARCH(" ",X54)))</formula>
    </cfRule>
    <cfRule type="containsText" dxfId="975" priority="1435" operator="containsText" text=" ">
      <formula>NOT(ISERROR(SEARCH(" ",X54)))</formula>
    </cfRule>
  </conditionalFormatting>
  <conditionalFormatting sqref="Z54:AC54 AJ54 AG54:AH54">
    <cfRule type="cellIs" dxfId="974" priority="1393" operator="equal">
      <formula>0</formula>
    </cfRule>
  </conditionalFormatting>
  <conditionalFormatting sqref="AG54:AH54 AJ54">
    <cfRule type="containsText" dxfId="973" priority="1406" operator="containsText" text=" ">
      <formula>NOT(ISERROR(SEARCH(" ",AG54)))</formula>
    </cfRule>
    <cfRule type="containsText" dxfId="972" priority="1407" operator="containsText" text=" ">
      <formula>NOT(ISERROR(SEARCH(" ",AG54)))</formula>
    </cfRule>
  </conditionalFormatting>
  <conditionalFormatting sqref="AQ54:AS54 BF54:BG54">
    <cfRule type="containsText" dxfId="971" priority="1432" operator="containsText" text=" ">
      <formula>NOT(ISERROR(SEARCH(" ",AQ54)))</formula>
    </cfRule>
    <cfRule type="containsText" dxfId="970" priority="1433" operator="containsText" text=" ">
      <formula>NOT(ISERROR(SEARCH(" ",AQ54)))</formula>
    </cfRule>
  </conditionalFormatting>
  <conditionalFormatting sqref="AW54 AU54">
    <cfRule type="containsText" dxfId="969" priority="1418" operator="containsText" text=" ">
      <formula>NOT(ISERROR(SEARCH(" ",AU54)))</formula>
    </cfRule>
    <cfRule type="containsText" dxfId="968" priority="1419" operator="containsText" text=" ">
      <formula>NOT(ISERROR(SEARCH(" ",AU54)))</formula>
    </cfRule>
  </conditionalFormatting>
  <conditionalFormatting sqref="A57:B57 AP57 BO57 BU57">
    <cfRule type="containsText" dxfId="967" priority="2720" operator="containsText" text=" ">
      <formula>NOT(ISERROR(SEARCH(" ",A57)))</formula>
    </cfRule>
    <cfRule type="containsText" dxfId="966" priority="2721" operator="containsText" text=" ">
      <formula>NOT(ISERROR(SEARCH(" ",A57)))</formula>
    </cfRule>
  </conditionalFormatting>
  <conditionalFormatting sqref="X59:X61 A62:A64 A58:D61 AP58:AP61 BO58:BQ61 BU58:CC58 BU59:CB59 BU60:CC61">
    <cfRule type="containsText" dxfId="965" priority="2559" operator="containsText" text=" ">
      <formula>NOT(ISERROR(SEARCH(" ",A58)))</formula>
    </cfRule>
    <cfRule type="containsText" dxfId="964" priority="2560" operator="containsText" text=" ">
      <formula>NOT(ISERROR(SEARCH(" ",A58)))</formula>
    </cfRule>
  </conditionalFormatting>
  <conditionalFormatting sqref="J58:K61 BS58:BT61">
    <cfRule type="containsText" dxfId="963" priority="2551" operator="containsText" text=" ">
      <formula>NOT(ISERROR(SEARCH(" ",J58)))</formula>
    </cfRule>
    <cfRule type="containsText" dxfId="962" priority="2552" operator="containsText" text=" ">
      <formula>NOT(ISERROR(SEARCH(" ",J58)))</formula>
    </cfRule>
  </conditionalFormatting>
  <conditionalFormatting sqref="AQ58:AR61">
    <cfRule type="containsText" dxfId="961" priority="2557" operator="containsText" text=" ">
      <formula>NOT(ISERROR(SEARCH(" ",AQ58)))</formula>
    </cfRule>
    <cfRule type="containsText" dxfId="960" priority="2558" operator="containsText" text=" ">
      <formula>NOT(ISERROR(SEARCH(" ",AQ58)))</formula>
    </cfRule>
  </conditionalFormatting>
  <conditionalFormatting sqref="X62:X64 B62:D64 AP62:AP64 BO62:BQ64 BU62:CB62 BU63:CC64">
    <cfRule type="containsText" dxfId="959" priority="1800" operator="containsText" text=" ">
      <formula>NOT(ISERROR(SEARCH(" ",B62)))</formula>
    </cfRule>
    <cfRule type="containsText" dxfId="958" priority="1801" operator="containsText" text=" ">
      <formula>NOT(ISERROR(SEARCH(" ",B62)))</formula>
    </cfRule>
  </conditionalFormatting>
  <conditionalFormatting sqref="J62:K64 BS62:BT64">
    <cfRule type="containsText" dxfId="957" priority="1792" operator="containsText" text=" ">
      <formula>NOT(ISERROR(SEARCH(" ",J62)))</formula>
    </cfRule>
    <cfRule type="containsText" dxfId="956" priority="1793" operator="containsText" text=" ">
      <formula>NOT(ISERROR(SEARCH(" ",J62)))</formula>
    </cfRule>
  </conditionalFormatting>
  <conditionalFormatting sqref="L62:L64 O62:P64">
    <cfRule type="containsText" dxfId="955" priority="1804" operator="containsText" text=" ">
      <formula>NOT(ISERROR(SEARCH(" ",L62)))</formula>
    </cfRule>
    <cfRule type="containsText" dxfId="954" priority="1805" operator="containsText" text=" ">
      <formula>NOT(ISERROR(SEARCH(" ",L62)))</formula>
    </cfRule>
  </conditionalFormatting>
  <conditionalFormatting sqref="Z62:AB64">
    <cfRule type="cellIs" dxfId="953" priority="1742" operator="equal">
      <formula>0</formula>
    </cfRule>
    <cfRule type="cellIs" dxfId="952" priority="1747" operator="greaterThan">
      <formula>1</formula>
    </cfRule>
    <cfRule type="containsText" dxfId="951" priority="1748" operator="containsText" text=" ">
      <formula>NOT(ISERROR(SEARCH(" ",Z62)))</formula>
    </cfRule>
    <cfRule type="containsText" dxfId="950" priority="1749" operator="containsText" text=" ">
      <formula>NOT(ISERROR(SEARCH(" ",Z62)))</formula>
    </cfRule>
  </conditionalFormatting>
  <conditionalFormatting sqref="Z62:AB64 AG62:AH64">
    <cfRule type="cellIs" dxfId="949" priority="1725" operator="equal">
      <formula>0</formula>
    </cfRule>
  </conditionalFormatting>
  <conditionalFormatting sqref="AG62:AH64">
    <cfRule type="containsText" dxfId="948" priority="1764" operator="containsText" text=" ">
      <formula>NOT(ISERROR(SEARCH(" ",AG62)))</formula>
    </cfRule>
    <cfRule type="containsText" dxfId="947" priority="1765" operator="containsText" text=" ">
      <formula>NOT(ISERROR(SEARCH(" ",AG62)))</formula>
    </cfRule>
  </conditionalFormatting>
  <conditionalFormatting sqref="AQ62:AR64">
    <cfRule type="containsText" dxfId="946" priority="1798" operator="containsText" text=" ">
      <formula>NOT(ISERROR(SEARCH(" ",AQ62)))</formula>
    </cfRule>
    <cfRule type="containsText" dxfId="945" priority="1799" operator="containsText" text=" ">
      <formula>NOT(ISERROR(SEARCH(" ",AQ62)))</formula>
    </cfRule>
  </conditionalFormatting>
  <conditionalFormatting sqref="AX62:AY64">
    <cfRule type="containsText" dxfId="944" priority="1766" operator="containsText" text=" ">
      <formula>NOT(ISERROR(SEARCH(" ",AX62)))</formula>
    </cfRule>
    <cfRule type="containsText" dxfId="943" priority="1767" operator="containsText" text=" ">
      <formula>NOT(ISERROR(SEARCH(" ",AX62)))</formula>
    </cfRule>
  </conditionalFormatting>
  <conditionalFormatting sqref="BR62:BR64 CR62:CR64 CT62:CT64 CM62:CP64 CI62:CK64 BN62:BN64">
    <cfRule type="containsText" dxfId="942" priority="1812" operator="containsText" text=" ">
      <formula>NOT(ISERROR(SEARCH(" ",BN62)))</formula>
    </cfRule>
    <cfRule type="containsText" dxfId="941" priority="1813" operator="containsText" text=" ">
      <formula>NOT(ISERROR(SEARCH(" ",BN62)))</formula>
    </cfRule>
  </conditionalFormatting>
  <conditionalFormatting sqref="CD62:CF64">
    <cfRule type="containsText" dxfId="940" priority="1750" operator="containsText" text=" ">
      <formula>NOT(ISERROR(SEARCH(" ",CD62)))</formula>
    </cfRule>
    <cfRule type="containsText" dxfId="939" priority="1751" operator="containsText" text=" ">
      <formula>NOT(ISERROR(SEARCH(" ",CD62)))</formula>
    </cfRule>
  </conditionalFormatting>
  <conditionalFormatting sqref="CL62:CL64 CV62:CW64 DK62:DP64 CG62:CH64">
    <cfRule type="containsText" dxfId="938" priority="1758" operator="containsText" text=" ">
      <formula>NOT(ISERROR(SEARCH(" ",CG62)))</formula>
    </cfRule>
    <cfRule type="containsText" dxfId="937" priority="1759" operator="containsText" text=" ">
      <formula>NOT(ISERROR(SEARCH(" ",CG62)))</formula>
    </cfRule>
  </conditionalFormatting>
  <conditionalFormatting sqref="DD62:DD64 DA62:DB64">
    <cfRule type="cellIs" dxfId="936" priority="1737" operator="greaterThan">
      <formula>1</formula>
    </cfRule>
  </conditionalFormatting>
  <conditionalFormatting sqref="DS62:DT64">
    <cfRule type="colorScale" priority="1720">
      <colorScale>
        <cfvo type="min"/>
        <cfvo type="max"/>
        <color rgb="FFFCFCFF"/>
        <color rgb="FF63BE7B"/>
      </colorScale>
    </cfRule>
    <cfRule type="colorScale" priority="17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2:GE64">
    <cfRule type="containsText" dxfId="935" priority="1104" operator="containsText" text=" ">
      <formula>NOT(ISERROR(SEARCH(" ",GA62)))</formula>
    </cfRule>
    <cfRule type="containsText" dxfId="934" priority="1105" operator="containsText" text=" ">
      <formula>NOT(ISERROR(SEARCH(" ",GA62)))</formula>
    </cfRule>
  </conditionalFormatting>
  <conditionalFormatting sqref="GH62:GI64">
    <cfRule type="colorScale" priority="1102">
      <colorScale>
        <cfvo type="min"/>
        <cfvo type="max"/>
        <color rgb="FFFCFCFF"/>
        <color rgb="FF63BE7B"/>
      </colorScale>
    </cfRule>
    <cfRule type="colorScale" priority="1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65:AF1048576">
    <cfRule type="containsText" dxfId="933" priority="93" operator="containsText" text=" ">
      <formula>NOT(ISERROR(SEARCH(" ",AD65)))</formula>
    </cfRule>
    <cfRule type="containsText" dxfId="932" priority="94" operator="containsText" text=" ">
      <formula>NOT(ISERROR(SEARCH(" ",AD65)))</formula>
    </cfRule>
  </conditionalFormatting>
  <conditionalFormatting sqref="AX65:AY1048576">
    <cfRule type="containsText" dxfId="931" priority="2469" operator="containsText" text=" ">
      <formula>NOT(ISERROR(SEARCH(" ",AX65)))</formula>
    </cfRule>
    <cfRule type="containsText" dxfId="930" priority="2470" operator="containsText" text=" ">
      <formula>NOT(ISERROR(SEARCH(" ",AX65)))</formula>
    </cfRule>
  </conditionalFormatting>
  <conditionalFormatting sqref="GL65:GM1048576 GO65:GP1048576 GR65:GS1048576 GU65:GV1048576 GX65:GY1048576 HA65:HB1048576 HD65:HE1048576 HG65:HH1048576 HJ65:HK1048576 HM65:HN1048576 HP65:HQ1048576 HS65:HT1048576 HV65:HW1048576 HY65:HZ1048576 IB65:IC1048576 IE65:IF1048576 IH65:II1048576 IK65:IL1048576">
    <cfRule type="containsText" dxfId="929" priority="1372" operator="containsText" text=" ">
      <formula>NOT(ISERROR(SEARCH(" ",GL65)))</formula>
    </cfRule>
    <cfRule type="containsText" dxfId="928" priority="1373" operator="containsText" text=" ">
      <formula>NOT(ISERROR(SEARCH(" ",GL65)))</formula>
    </cfRule>
  </conditionalFormatting>
  <conditionalFormatting sqref="AM3">
    <cfRule type="containsText" dxfId="927" priority="7" operator="containsText" text=" ">
      <formula>NOT(ISERROR(SEARCH(" ",AM3)))</formula>
    </cfRule>
    <cfRule type="containsText" dxfId="926" priority="8" operator="containsText" text=" ">
      <formula>NOT(ISERROR(SEARCH(" ",AM3)))</formula>
    </cfRule>
  </conditionalFormatting>
  <conditionalFormatting sqref="AN3">
    <cfRule type="containsText" dxfId="925" priority="3" operator="containsText" text=" ">
      <formula>NOT(ISERROR(SEARCH(" ",AN3)))</formula>
    </cfRule>
    <cfRule type="containsText" dxfId="924" priority="4" operator="containsText" text=" ">
      <formula>NOT(ISERROR(SEARCH(" ",AN3)))</formula>
    </cfRule>
  </conditionalFormatting>
  <conditionalFormatting sqref="AM1:AM2">
    <cfRule type="containsText" dxfId="923" priority="5" operator="containsText" text=" ">
      <formula>NOT(ISERROR(SEARCH(" ",AM1)))</formula>
    </cfRule>
    <cfRule type="containsText" dxfId="922" priority="6" operator="containsText" text=" ">
      <formula>NOT(ISERROR(SEARCH(" ",AM1)))</formula>
    </cfRule>
  </conditionalFormatting>
  <conditionalFormatting sqref="AN1:AN2">
    <cfRule type="containsText" dxfId="921" priority="1" operator="containsText" text=" ">
      <formula>NOT(ISERROR(SEARCH(" ",AN1)))</formula>
    </cfRule>
    <cfRule type="containsText" dxfId="920" priority="2" operator="containsText" text=" ">
      <formula>NOT(ISERROR(SEARCH(" ",AN1)))</formula>
    </cfRule>
  </conditionalFormatting>
  <conditionalFormatting sqref="AM4:AN1048576">
    <cfRule type="containsText" dxfId="919" priority="10" operator="containsText" text=" ">
      <formula>NOT(ISERROR(SEARCH(" ",AM4)))</formula>
    </cfRule>
    <cfRule type="containsText" dxfId="918" priority="11" operator="containsText" text=" ">
      <formula>NOT(ISERROR(SEARCH(" ",AM4)))</formula>
    </cfRule>
  </conditionalFormatting>
  <conditionalFormatting sqref="AM5:AN64">
    <cfRule type="cellIs" dxfId="917" priority="9" operator="equal">
      <formula>0</formula>
    </cfRule>
  </conditionalFormatting>
  <dataValidations count="2">
    <dataValidation type="list" allowBlank="1" showInputMessage="1" showErrorMessage="1" sqref="BP5:BP26 BP28:BP64">
      <formula1>"是,否"</formula1>
    </dataValidation>
    <dataValidation type="custom" allowBlank="1" showInputMessage="1" showErrorMessage="1" sqref="BZ23:BZ26">
      <formula1>"MOD(BF23,1)=0"</formula1>
    </dataValidation>
  </dataValidations>
  <pageMargins left="0.69930555555555596" right="0.69930555555555596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8"/>
  <sheetViews>
    <sheetView workbookViewId="0">
      <selection activeCell="C6" sqref="C6"/>
    </sheetView>
  </sheetViews>
  <sheetFormatPr defaultColWidth="9" defaultRowHeight="15.6" x14ac:dyDescent="0.35"/>
  <cols>
    <col min="1" max="1" width="9" style="241"/>
    <col min="2" max="2" width="12.21875" style="241" customWidth="1"/>
    <col min="3" max="3" width="25.109375" style="241" customWidth="1"/>
    <col min="4" max="4" width="12.88671875" style="241" customWidth="1"/>
  </cols>
  <sheetData>
    <row r="1" spans="1:8" x14ac:dyDescent="0.35">
      <c r="A1" s="2" t="s">
        <v>1</v>
      </c>
      <c r="B1" s="2" t="s">
        <v>1</v>
      </c>
      <c r="C1" s="2" t="s">
        <v>1</v>
      </c>
    </row>
    <row r="2" spans="1:8" x14ac:dyDescent="0.35">
      <c r="A2" s="2" t="s">
        <v>11</v>
      </c>
      <c r="B2" s="2" t="s">
        <v>11</v>
      </c>
      <c r="C2" s="2" t="s">
        <v>11</v>
      </c>
    </row>
    <row r="3" spans="1:8" x14ac:dyDescent="0.35">
      <c r="A3" s="2" t="s">
        <v>113</v>
      </c>
      <c r="B3" s="2" t="s">
        <v>142</v>
      </c>
      <c r="C3" s="2" t="s">
        <v>1806</v>
      </c>
    </row>
    <row r="4" spans="1:8" ht="39.6" x14ac:dyDescent="0.35">
      <c r="A4" s="79" t="s">
        <v>130</v>
      </c>
      <c r="B4" s="79" t="s">
        <v>1807</v>
      </c>
      <c r="C4" s="79" t="s">
        <v>1808</v>
      </c>
      <c r="G4">
        <v>1000</v>
      </c>
      <c r="H4">
        <v>10000</v>
      </c>
    </row>
    <row r="5" spans="1:8" x14ac:dyDescent="0.35">
      <c r="A5" s="1">
        <v>1005</v>
      </c>
      <c r="B5" s="241" t="str">
        <f>RIGHT('道具|Item'!W17,LEN('道具|Item'!W17)-4)</f>
        <v>1000000</v>
      </c>
      <c r="C5" s="241" t="str">
        <f>B5</f>
        <v>1000000</v>
      </c>
      <c r="D5" s="241">
        <f>B5*5</f>
        <v>5000000</v>
      </c>
      <c r="F5" s="5" t="str">
        <f>C5</f>
        <v>1000000</v>
      </c>
      <c r="G5">
        <f>150*1000</f>
        <v>150000</v>
      </c>
    </row>
    <row r="6" spans="1:8" x14ac:dyDescent="0.35">
      <c r="A6" s="1">
        <v>1006</v>
      </c>
      <c r="B6" s="241" t="str">
        <f>RIGHT('道具|Item'!W18,LEN('道具|Item'!W18)-4)</f>
        <v>2000000</v>
      </c>
      <c r="C6" s="39">
        <f>D5</f>
        <v>5000000</v>
      </c>
      <c r="D6" s="241">
        <f t="shared" ref="D6:D7" si="0">B6*5</f>
        <v>10000000</v>
      </c>
      <c r="F6" s="5">
        <f>B5*5</f>
        <v>5000000</v>
      </c>
    </row>
    <row r="7" spans="1:8" x14ac:dyDescent="0.35">
      <c r="A7" s="1">
        <v>1007</v>
      </c>
      <c r="B7" s="241" t="str">
        <f>RIGHT('道具|Item'!W19,LEN('道具|Item'!W19)-4)</f>
        <v>5000000</v>
      </c>
      <c r="C7" s="39">
        <f t="shared" ref="C7:C8" si="1">D6</f>
        <v>10000000</v>
      </c>
      <c r="D7" s="241">
        <f t="shared" si="0"/>
        <v>25000000</v>
      </c>
      <c r="F7" s="5">
        <f>B6*5</f>
        <v>10000000</v>
      </c>
      <c r="H7">
        <f>150*10000</f>
        <v>1500000</v>
      </c>
    </row>
    <row r="8" spans="1:8" x14ac:dyDescent="0.35">
      <c r="A8" s="1">
        <v>1008</v>
      </c>
      <c r="B8" s="241" t="str">
        <f>RIGHT('道具|Item'!W20,LEN('道具|Item'!W20)-4)</f>
        <v>10000000</v>
      </c>
      <c r="C8" s="39">
        <f t="shared" si="1"/>
        <v>25000000</v>
      </c>
      <c r="F8" s="5">
        <f>B7*5</f>
        <v>25000000</v>
      </c>
    </row>
  </sheetData>
  <phoneticPr fontId="64" type="noConversion"/>
  <conditionalFormatting sqref="A5:A8">
    <cfRule type="containsText" dxfId="916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DZ84"/>
  <sheetViews>
    <sheetView zoomScale="70" zoomScaleNormal="70" workbookViewId="0">
      <pane xSplit="6" ySplit="4" topLeftCell="CQ5" activePane="bottomRight" state="frozen"/>
      <selection pane="topRight"/>
      <selection pane="bottomLeft"/>
      <selection pane="bottomRight" activeCell="CX51" sqref="CX51"/>
    </sheetView>
  </sheetViews>
  <sheetFormatPr defaultColWidth="9" defaultRowHeight="15.6" x14ac:dyDescent="0.25"/>
  <cols>
    <col min="1" max="1" width="15.33203125" style="1" customWidth="1"/>
    <col min="2" max="2" width="15.88671875" style="1" customWidth="1"/>
    <col min="3" max="3" width="15.77734375" style="1" customWidth="1"/>
    <col min="4" max="4" width="10.77734375" style="1" customWidth="1"/>
    <col min="5" max="5" width="11.77734375" style="1" customWidth="1"/>
    <col min="6" max="6" width="14.33203125" style="1" customWidth="1"/>
    <col min="7" max="7" width="29.6640625" style="1" customWidth="1"/>
    <col min="8" max="8" width="11.44140625" style="181" hidden="1" customWidth="1"/>
    <col min="9" max="9" width="15.21875" style="181" hidden="1" customWidth="1"/>
    <col min="10" max="10" width="11.44140625" style="181" hidden="1" customWidth="1"/>
    <col min="11" max="11" width="9.77734375" style="1" customWidth="1"/>
    <col min="12" max="12" width="9.21875" style="181" hidden="1" customWidth="1"/>
    <col min="13" max="13" width="9.44140625" style="181" hidden="1" customWidth="1"/>
    <col min="14" max="15" width="9.109375" style="1" customWidth="1"/>
    <col min="16" max="16" width="14.21875" style="1" customWidth="1"/>
    <col min="17" max="17" width="14.21875" style="181" hidden="1" customWidth="1"/>
    <col min="18" max="18" width="16.21875" style="181" hidden="1" customWidth="1"/>
    <col min="19" max="19" width="10.21875" style="181" hidden="1" customWidth="1"/>
    <col min="20" max="20" width="9" style="1" customWidth="1"/>
    <col min="21" max="21" width="9.21875" style="181" hidden="1" customWidth="1"/>
    <col min="22" max="22" width="9.44140625" style="181" hidden="1" customWidth="1"/>
    <col min="23" max="23" width="6.6640625" style="1" customWidth="1"/>
    <col min="24" max="24" width="9.109375" style="1" customWidth="1"/>
    <col min="25" max="25" width="14.21875" style="1" customWidth="1"/>
    <col min="26" max="26" width="14.21875" style="181" hidden="1" customWidth="1"/>
    <col min="27" max="27" width="16.21875" style="181" hidden="1" customWidth="1"/>
    <col min="28" max="28" width="10.21875" style="181" hidden="1" customWidth="1"/>
    <col min="29" max="29" width="9.88671875" style="1" customWidth="1"/>
    <col min="30" max="30" width="9.21875" style="181" hidden="1" customWidth="1"/>
    <col min="31" max="31" width="9.44140625" style="181" hidden="1" customWidth="1"/>
    <col min="32" max="32" width="8.109375" style="1" customWidth="1"/>
    <col min="33" max="33" width="9.109375" style="1" customWidth="1"/>
    <col min="34" max="34" width="14.21875" style="1" customWidth="1"/>
    <col min="35" max="35" width="12.88671875" style="181" hidden="1" customWidth="1"/>
    <col min="36" max="36" width="16.21875" style="181" hidden="1" customWidth="1"/>
    <col min="37" max="37" width="10.21875" style="181" hidden="1" customWidth="1"/>
    <col min="38" max="38" width="9.33203125" style="1" customWidth="1"/>
    <col min="39" max="39" width="9.21875" style="181" hidden="1" customWidth="1"/>
    <col min="40" max="40" width="9.44140625" style="181" hidden="1" customWidth="1"/>
    <col min="41" max="41" width="4.44140625" style="1" customWidth="1"/>
    <col min="42" max="42" width="9.109375" style="1" customWidth="1"/>
    <col min="43" max="43" width="15.6640625" style="1" customWidth="1"/>
    <col min="44" max="44" width="11.44140625" style="181" hidden="1" customWidth="1"/>
    <col min="45" max="45" width="16.21875" style="181" hidden="1" customWidth="1"/>
    <col min="46" max="46" width="10.21875" style="181" hidden="1" customWidth="1"/>
    <col min="47" max="47" width="10.109375" style="1" customWidth="1"/>
    <col min="48" max="48" width="9.21875" style="181" hidden="1" customWidth="1"/>
    <col min="49" max="49" width="9.44140625" style="181" hidden="1" customWidth="1"/>
    <col min="50" max="50" width="4.21875" style="1" customWidth="1"/>
    <col min="51" max="51" width="9.109375" style="1" customWidth="1"/>
    <col min="52" max="52" width="15.6640625" style="1" customWidth="1"/>
    <col min="53" max="53" width="11.44140625" style="181" hidden="1" customWidth="1"/>
    <col min="54" max="54" width="15.88671875" style="181" hidden="1" customWidth="1"/>
    <col min="55" max="55" width="11.44140625" style="181" hidden="1" customWidth="1"/>
    <col min="56" max="56" width="9.44140625" style="1" customWidth="1"/>
    <col min="57" max="57" width="8.88671875" style="181" hidden="1" customWidth="1"/>
    <col min="58" max="58" width="9.44140625" style="181" hidden="1" customWidth="1"/>
    <col min="59" max="59" width="7.33203125" style="1" customWidth="1"/>
    <col min="60" max="60" width="9.109375" style="1" customWidth="1"/>
    <col min="61" max="61" width="29.6640625" style="1" customWidth="1"/>
    <col min="62" max="62" width="11.44140625" style="181" hidden="1" customWidth="1"/>
    <col min="63" max="63" width="15.21875" style="181" hidden="1" customWidth="1"/>
    <col min="64" max="64" width="11.44140625" style="181" hidden="1" customWidth="1"/>
    <col min="65" max="65" width="9.77734375" style="1" customWidth="1"/>
    <col min="66" max="66" width="9.21875" style="181" hidden="1" customWidth="1"/>
    <col min="67" max="67" width="9.44140625" style="181" hidden="1" customWidth="1"/>
    <col min="68" max="68" width="4.21875" style="1" customWidth="1"/>
    <col min="69" max="69" width="9.109375" style="1" customWidth="1"/>
    <col min="70" max="70" width="29.6640625" style="1" customWidth="1"/>
    <col min="71" max="71" width="11.44140625" style="181" hidden="1" customWidth="1"/>
    <col min="72" max="72" width="15.21875" style="181" hidden="1" customWidth="1"/>
    <col min="73" max="73" width="11.44140625" style="181" hidden="1" customWidth="1"/>
    <col min="74" max="74" width="9.44140625" style="1" customWidth="1"/>
    <col min="75" max="75" width="9.21875" style="181" hidden="1" customWidth="1"/>
    <col min="76" max="76" width="9.44140625" style="181" hidden="1" customWidth="1"/>
    <col min="77" max="77" width="4.6640625" style="1" customWidth="1"/>
    <col min="78" max="78" width="9.109375" style="1" customWidth="1"/>
    <col min="79" max="79" width="29.6640625" style="1" customWidth="1"/>
    <col min="80" max="80" width="11.44140625" style="181" hidden="1" customWidth="1"/>
    <col min="81" max="81" width="15.21875" style="181" hidden="1" customWidth="1"/>
    <col min="82" max="82" width="11.44140625" style="181" hidden="1" customWidth="1"/>
    <col min="83" max="83" width="10" style="1" customWidth="1"/>
    <col min="84" max="84" width="9.21875" style="181" hidden="1" customWidth="1"/>
    <col min="85" max="85" width="9.44140625" style="181" hidden="1" customWidth="1"/>
    <col min="86" max="86" width="4.6640625" style="1" customWidth="1"/>
    <col min="87" max="87" width="9.109375" style="1" customWidth="1"/>
    <col min="88" max="88" width="29.6640625" style="1" customWidth="1"/>
    <col min="89" max="89" width="11.44140625" style="181" hidden="1" customWidth="1"/>
    <col min="90" max="90" width="15.21875" style="181" hidden="1" customWidth="1"/>
    <col min="91" max="91" width="11.44140625" style="181" hidden="1" customWidth="1"/>
    <col min="92" max="92" width="10.88671875" style="1" customWidth="1"/>
    <col min="93" max="93" width="9.21875" style="181" hidden="1" customWidth="1"/>
    <col min="94" max="94" width="9.44140625" style="181" hidden="1" customWidth="1"/>
    <col min="95" max="95" width="4.77734375" style="1" customWidth="1"/>
    <col min="96" max="96" width="9.109375" style="1" customWidth="1"/>
    <col min="97" max="97" width="11.44140625" style="1" customWidth="1"/>
    <col min="98" max="98" width="11.44140625" style="180" customWidth="1"/>
    <col min="99" max="99" width="10.44140625" style="59" customWidth="1"/>
    <col min="100" max="101" width="6.44140625" style="1" customWidth="1"/>
    <col min="102" max="102" width="12.33203125" style="59" customWidth="1"/>
    <col min="103" max="103" width="10.44140625" style="59" hidden="1" customWidth="1"/>
    <col min="104" max="104" width="6.44140625" style="59" hidden="1" customWidth="1"/>
    <col min="105" max="105" width="6.109375" style="59" hidden="1" customWidth="1"/>
    <col min="106" max="106" width="10.44140625" style="59" hidden="1" customWidth="1"/>
    <col min="107" max="107" width="13.109375" style="86" hidden="1" customWidth="1"/>
    <col min="108" max="108" width="12.44140625" style="86" hidden="1" customWidth="1"/>
    <col min="109" max="109" width="11.6640625" style="1" customWidth="1"/>
    <col min="110" max="110" width="8.33203125" style="1" hidden="1" customWidth="1"/>
    <col min="111" max="111" width="9.33203125" style="1" hidden="1" customWidth="1"/>
    <col min="112" max="112" width="9.21875" style="1" hidden="1" customWidth="1"/>
    <col min="113" max="113" width="9" style="1"/>
    <col min="114" max="114" width="11.6640625" style="1" customWidth="1"/>
    <col min="115" max="115" width="10.109375" style="1" customWidth="1"/>
    <col min="116" max="116" width="11.44140625" style="1" customWidth="1"/>
    <col min="117" max="117" width="9" style="1"/>
    <col min="118" max="118" width="12.44140625" style="1" customWidth="1"/>
    <col min="119" max="119" width="14.44140625" style="1" customWidth="1"/>
    <col min="120" max="120" width="12.88671875" style="1" customWidth="1"/>
    <col min="121" max="121" width="8.77734375" style="1" customWidth="1"/>
    <col min="122" max="122" width="6.44140625" style="1" customWidth="1"/>
    <col min="123" max="123" width="8.77734375" style="1" customWidth="1"/>
    <col min="124" max="16384" width="9" style="1"/>
  </cols>
  <sheetData>
    <row r="1" spans="1:124" s="56" customFormat="1" x14ac:dyDescent="0.35">
      <c r="A1" s="3" t="s">
        <v>0</v>
      </c>
      <c r="B1" s="3" t="s">
        <v>0</v>
      </c>
      <c r="C1" s="3" t="s">
        <v>976</v>
      </c>
      <c r="D1" s="3" t="s">
        <v>0</v>
      </c>
      <c r="E1" s="3" t="s">
        <v>0</v>
      </c>
      <c r="F1" s="182" t="s">
        <v>1</v>
      </c>
      <c r="G1" s="77" t="s">
        <v>0</v>
      </c>
      <c r="H1" s="183" t="s">
        <v>0</v>
      </c>
      <c r="I1" s="183" t="s">
        <v>0</v>
      </c>
      <c r="J1" s="183" t="s">
        <v>0</v>
      </c>
      <c r="K1" s="77" t="s">
        <v>0</v>
      </c>
      <c r="L1" s="183" t="s">
        <v>976</v>
      </c>
      <c r="M1" s="183" t="s">
        <v>1</v>
      </c>
      <c r="N1" s="77" t="s">
        <v>0</v>
      </c>
      <c r="O1" s="77" t="s">
        <v>0</v>
      </c>
      <c r="P1" s="191" t="s">
        <v>0</v>
      </c>
      <c r="Q1" s="183" t="s">
        <v>0</v>
      </c>
      <c r="R1" s="183" t="s">
        <v>0</v>
      </c>
      <c r="S1" s="183" t="s">
        <v>0</v>
      </c>
      <c r="T1" s="191" t="s">
        <v>0</v>
      </c>
      <c r="U1" s="183" t="s">
        <v>976</v>
      </c>
      <c r="V1" s="183" t="s">
        <v>1</v>
      </c>
      <c r="W1" s="191" t="s">
        <v>0</v>
      </c>
      <c r="X1" s="191" t="s">
        <v>0</v>
      </c>
      <c r="Y1" s="77" t="s">
        <v>0</v>
      </c>
      <c r="Z1" s="183" t="s">
        <v>0</v>
      </c>
      <c r="AA1" s="183" t="s">
        <v>0</v>
      </c>
      <c r="AB1" s="183" t="s">
        <v>0</v>
      </c>
      <c r="AC1" s="77" t="s">
        <v>0</v>
      </c>
      <c r="AD1" s="183" t="s">
        <v>976</v>
      </c>
      <c r="AE1" s="183" t="s">
        <v>1</v>
      </c>
      <c r="AF1" s="77" t="s">
        <v>0</v>
      </c>
      <c r="AG1" s="77" t="s">
        <v>0</v>
      </c>
      <c r="AH1" s="191" t="s">
        <v>0</v>
      </c>
      <c r="AI1" s="183" t="s">
        <v>0</v>
      </c>
      <c r="AJ1" s="183" t="s">
        <v>0</v>
      </c>
      <c r="AK1" s="183" t="s">
        <v>0</v>
      </c>
      <c r="AL1" s="191" t="s">
        <v>0</v>
      </c>
      <c r="AM1" s="183" t="s">
        <v>976</v>
      </c>
      <c r="AN1" s="183" t="s">
        <v>1</v>
      </c>
      <c r="AO1" s="191" t="s">
        <v>0</v>
      </c>
      <c r="AP1" s="191" t="s">
        <v>0</v>
      </c>
      <c r="AQ1" s="77" t="s">
        <v>0</v>
      </c>
      <c r="AR1" s="183" t="s">
        <v>0</v>
      </c>
      <c r="AS1" s="183" t="s">
        <v>0</v>
      </c>
      <c r="AT1" s="183" t="s">
        <v>0</v>
      </c>
      <c r="AU1" s="77" t="s">
        <v>0</v>
      </c>
      <c r="AV1" s="183" t="s">
        <v>976</v>
      </c>
      <c r="AW1" s="183" t="s">
        <v>1</v>
      </c>
      <c r="AX1" s="77" t="s">
        <v>0</v>
      </c>
      <c r="AY1" s="77" t="s">
        <v>0</v>
      </c>
      <c r="AZ1" s="191" t="s">
        <v>0</v>
      </c>
      <c r="BA1" s="183" t="s">
        <v>0</v>
      </c>
      <c r="BB1" s="183" t="s">
        <v>0</v>
      </c>
      <c r="BC1" s="183" t="s">
        <v>0</v>
      </c>
      <c r="BD1" s="191" t="s">
        <v>0</v>
      </c>
      <c r="BE1" s="183" t="s">
        <v>976</v>
      </c>
      <c r="BF1" s="183" t="s">
        <v>1</v>
      </c>
      <c r="BG1" s="191" t="s">
        <v>0</v>
      </c>
      <c r="BH1" s="191" t="s">
        <v>0</v>
      </c>
      <c r="BI1" s="77" t="s">
        <v>0</v>
      </c>
      <c r="BJ1" s="183" t="s">
        <v>0</v>
      </c>
      <c r="BK1" s="183" t="s">
        <v>0</v>
      </c>
      <c r="BL1" s="183" t="s">
        <v>0</v>
      </c>
      <c r="BM1" s="77" t="s">
        <v>0</v>
      </c>
      <c r="BN1" s="183" t="s">
        <v>976</v>
      </c>
      <c r="BO1" s="183" t="s">
        <v>1</v>
      </c>
      <c r="BP1" s="77" t="s">
        <v>0</v>
      </c>
      <c r="BQ1" s="77" t="s">
        <v>0</v>
      </c>
      <c r="BR1" s="191" t="s">
        <v>0</v>
      </c>
      <c r="BS1" s="183" t="s">
        <v>0</v>
      </c>
      <c r="BT1" s="183" t="s">
        <v>0</v>
      </c>
      <c r="BU1" s="183" t="s">
        <v>0</v>
      </c>
      <c r="BV1" s="191" t="s">
        <v>0</v>
      </c>
      <c r="BW1" s="183" t="s">
        <v>976</v>
      </c>
      <c r="BX1" s="183" t="s">
        <v>1</v>
      </c>
      <c r="BY1" s="191" t="s">
        <v>0</v>
      </c>
      <c r="BZ1" s="191" t="s">
        <v>0</v>
      </c>
      <c r="CA1" s="77" t="s">
        <v>0</v>
      </c>
      <c r="CB1" s="183" t="s">
        <v>0</v>
      </c>
      <c r="CC1" s="183" t="s">
        <v>0</v>
      </c>
      <c r="CD1" s="183" t="s">
        <v>0</v>
      </c>
      <c r="CE1" s="77" t="s">
        <v>0</v>
      </c>
      <c r="CF1" s="183" t="s">
        <v>976</v>
      </c>
      <c r="CG1" s="183" t="s">
        <v>1</v>
      </c>
      <c r="CH1" s="77" t="s">
        <v>0</v>
      </c>
      <c r="CI1" s="77" t="s">
        <v>0</v>
      </c>
      <c r="CJ1" s="191" t="s">
        <v>0</v>
      </c>
      <c r="CK1" s="183" t="s">
        <v>0</v>
      </c>
      <c r="CL1" s="183" t="s">
        <v>0</v>
      </c>
      <c r="CM1" s="183" t="s">
        <v>0</v>
      </c>
      <c r="CN1" s="191" t="s">
        <v>0</v>
      </c>
      <c r="CO1" s="183" t="s">
        <v>976</v>
      </c>
      <c r="CP1" s="183" t="s">
        <v>1</v>
      </c>
      <c r="CQ1" s="191" t="s">
        <v>0</v>
      </c>
      <c r="CR1" s="191" t="s">
        <v>0</v>
      </c>
      <c r="CT1" s="201"/>
      <c r="CU1" s="12" t="s">
        <v>1809</v>
      </c>
      <c r="DC1" s="220"/>
      <c r="DD1" s="220"/>
      <c r="DN1" s="56" t="s">
        <v>1810</v>
      </c>
    </row>
    <row r="2" spans="1:124" s="56" customFormat="1" ht="16.2" customHeight="1" x14ac:dyDescent="0.35">
      <c r="A2" s="3" t="s">
        <v>11</v>
      </c>
      <c r="B2" s="3" t="s">
        <v>14</v>
      </c>
      <c r="C2" s="3" t="s">
        <v>14</v>
      </c>
      <c r="D2" s="3" t="s">
        <v>11</v>
      </c>
      <c r="E2" s="3" t="s">
        <v>11</v>
      </c>
      <c r="F2" s="182" t="s">
        <v>11</v>
      </c>
      <c r="G2" s="77" t="s">
        <v>14</v>
      </c>
      <c r="H2" s="183" t="s">
        <v>14</v>
      </c>
      <c r="I2" s="183" t="s">
        <v>11</v>
      </c>
      <c r="J2" s="183" t="s">
        <v>11</v>
      </c>
      <c r="K2" s="77" t="s">
        <v>11</v>
      </c>
      <c r="L2" s="183" t="s">
        <v>13</v>
      </c>
      <c r="M2" s="183" t="s">
        <v>13</v>
      </c>
      <c r="N2" s="77" t="s">
        <v>11</v>
      </c>
      <c r="O2" s="77" t="s">
        <v>14</v>
      </c>
      <c r="P2" s="191" t="s">
        <v>14</v>
      </c>
      <c r="Q2" s="183" t="s">
        <v>14</v>
      </c>
      <c r="R2" s="183" t="s">
        <v>11</v>
      </c>
      <c r="S2" s="183" t="s">
        <v>11</v>
      </c>
      <c r="T2" s="191" t="s">
        <v>11</v>
      </c>
      <c r="U2" s="183" t="s">
        <v>13</v>
      </c>
      <c r="V2" s="183" t="s">
        <v>13</v>
      </c>
      <c r="W2" s="191" t="s">
        <v>11</v>
      </c>
      <c r="X2" s="191" t="s">
        <v>14</v>
      </c>
      <c r="Y2" s="77" t="s">
        <v>14</v>
      </c>
      <c r="Z2" s="183" t="s">
        <v>14</v>
      </c>
      <c r="AA2" s="183" t="s">
        <v>11</v>
      </c>
      <c r="AB2" s="183" t="s">
        <v>11</v>
      </c>
      <c r="AC2" s="77" t="s">
        <v>11</v>
      </c>
      <c r="AD2" s="183" t="s">
        <v>13</v>
      </c>
      <c r="AE2" s="183" t="s">
        <v>13</v>
      </c>
      <c r="AF2" s="77" t="s">
        <v>11</v>
      </c>
      <c r="AG2" s="77" t="s">
        <v>14</v>
      </c>
      <c r="AH2" s="191" t="s">
        <v>14</v>
      </c>
      <c r="AI2" s="183" t="s">
        <v>14</v>
      </c>
      <c r="AJ2" s="183" t="s">
        <v>11</v>
      </c>
      <c r="AK2" s="183" t="s">
        <v>11</v>
      </c>
      <c r="AL2" s="191" t="s">
        <v>11</v>
      </c>
      <c r="AM2" s="183" t="s">
        <v>13</v>
      </c>
      <c r="AN2" s="183" t="s">
        <v>13</v>
      </c>
      <c r="AO2" s="191" t="s">
        <v>11</v>
      </c>
      <c r="AP2" s="191" t="s">
        <v>14</v>
      </c>
      <c r="AQ2" s="77" t="s">
        <v>14</v>
      </c>
      <c r="AR2" s="183" t="s">
        <v>14</v>
      </c>
      <c r="AS2" s="183" t="s">
        <v>11</v>
      </c>
      <c r="AT2" s="183" t="s">
        <v>11</v>
      </c>
      <c r="AU2" s="77" t="s">
        <v>11</v>
      </c>
      <c r="AV2" s="183" t="s">
        <v>13</v>
      </c>
      <c r="AW2" s="183" t="s">
        <v>13</v>
      </c>
      <c r="AX2" s="77" t="s">
        <v>11</v>
      </c>
      <c r="AY2" s="77" t="s">
        <v>14</v>
      </c>
      <c r="AZ2" s="191" t="s">
        <v>14</v>
      </c>
      <c r="BA2" s="183" t="s">
        <v>14</v>
      </c>
      <c r="BB2" s="183" t="s">
        <v>11</v>
      </c>
      <c r="BC2" s="183" t="s">
        <v>11</v>
      </c>
      <c r="BD2" s="191" t="s">
        <v>11</v>
      </c>
      <c r="BE2" s="183" t="s">
        <v>13</v>
      </c>
      <c r="BF2" s="183" t="s">
        <v>13</v>
      </c>
      <c r="BG2" s="191" t="s">
        <v>11</v>
      </c>
      <c r="BH2" s="191" t="s">
        <v>14</v>
      </c>
      <c r="BI2" s="77" t="s">
        <v>14</v>
      </c>
      <c r="BJ2" s="183" t="s">
        <v>14</v>
      </c>
      <c r="BK2" s="183" t="s">
        <v>11</v>
      </c>
      <c r="BL2" s="183" t="s">
        <v>11</v>
      </c>
      <c r="BM2" s="77" t="s">
        <v>11</v>
      </c>
      <c r="BN2" s="183" t="s">
        <v>13</v>
      </c>
      <c r="BO2" s="183" t="s">
        <v>13</v>
      </c>
      <c r="BP2" s="77" t="s">
        <v>11</v>
      </c>
      <c r="BQ2" s="77" t="s">
        <v>14</v>
      </c>
      <c r="BR2" s="191" t="s">
        <v>14</v>
      </c>
      <c r="BS2" s="183" t="s">
        <v>14</v>
      </c>
      <c r="BT2" s="183" t="s">
        <v>11</v>
      </c>
      <c r="BU2" s="183" t="s">
        <v>11</v>
      </c>
      <c r="BV2" s="191" t="s">
        <v>11</v>
      </c>
      <c r="BW2" s="183" t="s">
        <v>13</v>
      </c>
      <c r="BX2" s="183" t="s">
        <v>13</v>
      </c>
      <c r="BY2" s="191" t="s">
        <v>11</v>
      </c>
      <c r="BZ2" s="191" t="s">
        <v>14</v>
      </c>
      <c r="CA2" s="77" t="s">
        <v>14</v>
      </c>
      <c r="CB2" s="183" t="s">
        <v>14</v>
      </c>
      <c r="CC2" s="183" t="s">
        <v>11</v>
      </c>
      <c r="CD2" s="183" t="s">
        <v>11</v>
      </c>
      <c r="CE2" s="77" t="s">
        <v>11</v>
      </c>
      <c r="CF2" s="183" t="s">
        <v>13</v>
      </c>
      <c r="CG2" s="183" t="s">
        <v>13</v>
      </c>
      <c r="CH2" s="77" t="s">
        <v>11</v>
      </c>
      <c r="CI2" s="77" t="s">
        <v>14</v>
      </c>
      <c r="CJ2" s="191" t="s">
        <v>14</v>
      </c>
      <c r="CK2" s="183" t="s">
        <v>14</v>
      </c>
      <c r="CL2" s="183" t="s">
        <v>11</v>
      </c>
      <c r="CM2" s="183" t="s">
        <v>11</v>
      </c>
      <c r="CN2" s="191" t="s">
        <v>11</v>
      </c>
      <c r="CO2" s="183" t="s">
        <v>13</v>
      </c>
      <c r="CP2" s="183" t="s">
        <v>13</v>
      </c>
      <c r="CQ2" s="191" t="s">
        <v>11</v>
      </c>
      <c r="CR2" s="191" t="s">
        <v>14</v>
      </c>
      <c r="CT2" s="201"/>
      <c r="CU2" s="1" t="s">
        <v>1811</v>
      </c>
      <c r="DC2" s="220"/>
      <c r="DD2" s="220"/>
      <c r="DN2" s="12" t="s">
        <v>1812</v>
      </c>
    </row>
    <row r="3" spans="1:124" s="56" customFormat="1" ht="16.95" customHeight="1" x14ac:dyDescent="0.25">
      <c r="A3" s="184" t="s">
        <v>1813</v>
      </c>
      <c r="B3" s="184" t="s">
        <v>1814</v>
      </c>
      <c r="C3" s="184" t="s">
        <v>1437</v>
      </c>
      <c r="D3" s="184" t="s">
        <v>1815</v>
      </c>
      <c r="E3" s="184" t="s">
        <v>1816</v>
      </c>
      <c r="F3" s="185" t="s">
        <v>1817</v>
      </c>
      <c r="G3" s="186" t="s">
        <v>1818</v>
      </c>
      <c r="H3" s="187" t="s">
        <v>1819</v>
      </c>
      <c r="I3" s="192" t="s">
        <v>1820</v>
      </c>
      <c r="J3" s="192" t="s">
        <v>1821</v>
      </c>
      <c r="K3" s="78" t="s">
        <v>1822</v>
      </c>
      <c r="L3" s="192" t="s">
        <v>1823</v>
      </c>
      <c r="M3" s="192" t="s">
        <v>1824</v>
      </c>
      <c r="N3" s="78" t="s">
        <v>1825</v>
      </c>
      <c r="O3" s="78" t="s">
        <v>1826</v>
      </c>
      <c r="P3" s="193" t="s">
        <v>1827</v>
      </c>
      <c r="Q3" s="187" t="s">
        <v>1828</v>
      </c>
      <c r="R3" s="192" t="s">
        <v>1829</v>
      </c>
      <c r="S3" s="192" t="s">
        <v>1830</v>
      </c>
      <c r="T3" s="195" t="s">
        <v>1831</v>
      </c>
      <c r="U3" s="192" t="s">
        <v>1832</v>
      </c>
      <c r="V3" s="192" t="s">
        <v>1833</v>
      </c>
      <c r="W3" s="195" t="s">
        <v>1834</v>
      </c>
      <c r="X3" s="195" t="s">
        <v>1835</v>
      </c>
      <c r="Y3" s="196" t="s">
        <v>1836</v>
      </c>
      <c r="Z3" s="187" t="s">
        <v>1837</v>
      </c>
      <c r="AA3" s="192" t="s">
        <v>1838</v>
      </c>
      <c r="AB3" s="192" t="s">
        <v>1839</v>
      </c>
      <c r="AC3" s="78" t="s">
        <v>1840</v>
      </c>
      <c r="AD3" s="192" t="s">
        <v>1841</v>
      </c>
      <c r="AE3" s="192" t="s">
        <v>1842</v>
      </c>
      <c r="AF3" s="78" t="s">
        <v>1843</v>
      </c>
      <c r="AG3" s="78" t="s">
        <v>1844</v>
      </c>
      <c r="AH3" s="193" t="s">
        <v>1845</v>
      </c>
      <c r="AI3" s="187" t="s">
        <v>1846</v>
      </c>
      <c r="AJ3" s="192" t="s">
        <v>1847</v>
      </c>
      <c r="AK3" s="192" t="s">
        <v>1848</v>
      </c>
      <c r="AL3" s="195" t="s">
        <v>1849</v>
      </c>
      <c r="AM3" s="192" t="s">
        <v>1850</v>
      </c>
      <c r="AN3" s="192" t="s">
        <v>1851</v>
      </c>
      <c r="AO3" s="195" t="s">
        <v>1852</v>
      </c>
      <c r="AP3" s="195" t="s">
        <v>1853</v>
      </c>
      <c r="AQ3" s="196" t="s">
        <v>1854</v>
      </c>
      <c r="AR3" s="187" t="s">
        <v>1855</v>
      </c>
      <c r="AS3" s="192" t="s">
        <v>1856</v>
      </c>
      <c r="AT3" s="192" t="s">
        <v>1857</v>
      </c>
      <c r="AU3" s="78" t="s">
        <v>1858</v>
      </c>
      <c r="AV3" s="192" t="s">
        <v>1859</v>
      </c>
      <c r="AW3" s="192" t="s">
        <v>1860</v>
      </c>
      <c r="AX3" s="78" t="s">
        <v>1861</v>
      </c>
      <c r="AY3" s="78" t="s">
        <v>1862</v>
      </c>
      <c r="AZ3" s="193" t="s">
        <v>1863</v>
      </c>
      <c r="BA3" s="187" t="s">
        <v>1864</v>
      </c>
      <c r="BB3" s="187" t="s">
        <v>1865</v>
      </c>
      <c r="BC3" s="192" t="s">
        <v>1866</v>
      </c>
      <c r="BD3" s="193" t="s">
        <v>1867</v>
      </c>
      <c r="BE3" s="187" t="s">
        <v>1868</v>
      </c>
      <c r="BF3" s="187" t="s">
        <v>1869</v>
      </c>
      <c r="BG3" s="193" t="s">
        <v>1870</v>
      </c>
      <c r="BH3" s="195" t="s">
        <v>1871</v>
      </c>
      <c r="BI3" s="196" t="s">
        <v>1872</v>
      </c>
      <c r="BJ3" s="187" t="s">
        <v>1873</v>
      </c>
      <c r="BK3" s="192" t="s">
        <v>1874</v>
      </c>
      <c r="BL3" s="192" t="s">
        <v>1875</v>
      </c>
      <c r="BM3" s="78" t="s">
        <v>1876</v>
      </c>
      <c r="BN3" s="192" t="s">
        <v>1877</v>
      </c>
      <c r="BO3" s="192" t="s">
        <v>1878</v>
      </c>
      <c r="BP3" s="78" t="s">
        <v>1879</v>
      </c>
      <c r="BQ3" s="78" t="s">
        <v>1880</v>
      </c>
      <c r="BR3" s="193" t="s">
        <v>1881</v>
      </c>
      <c r="BS3" s="187" t="s">
        <v>1882</v>
      </c>
      <c r="BT3" s="192" t="s">
        <v>1883</v>
      </c>
      <c r="BU3" s="192" t="s">
        <v>1884</v>
      </c>
      <c r="BV3" s="195" t="s">
        <v>1885</v>
      </c>
      <c r="BW3" s="192" t="s">
        <v>1886</v>
      </c>
      <c r="BX3" s="192" t="s">
        <v>1887</v>
      </c>
      <c r="BY3" s="195" t="s">
        <v>1888</v>
      </c>
      <c r="BZ3" s="195" t="s">
        <v>1889</v>
      </c>
      <c r="CA3" s="196" t="s">
        <v>1890</v>
      </c>
      <c r="CB3" s="187" t="s">
        <v>1891</v>
      </c>
      <c r="CC3" s="192" t="s">
        <v>1892</v>
      </c>
      <c r="CD3" s="192" t="s">
        <v>1893</v>
      </c>
      <c r="CE3" s="78" t="s">
        <v>1894</v>
      </c>
      <c r="CF3" s="192" t="s">
        <v>1895</v>
      </c>
      <c r="CG3" s="192" t="s">
        <v>1896</v>
      </c>
      <c r="CH3" s="78" t="s">
        <v>1897</v>
      </c>
      <c r="CI3" s="78" t="s">
        <v>1898</v>
      </c>
      <c r="CJ3" s="200" t="s">
        <v>1899</v>
      </c>
      <c r="CK3" s="187" t="s">
        <v>1900</v>
      </c>
      <c r="CL3" s="192" t="s">
        <v>1901</v>
      </c>
      <c r="CM3" s="192" t="s">
        <v>1902</v>
      </c>
      <c r="CN3" s="195" t="s">
        <v>1903</v>
      </c>
      <c r="CO3" s="192" t="s">
        <v>1904</v>
      </c>
      <c r="CP3" s="192" t="s">
        <v>1905</v>
      </c>
      <c r="CQ3" s="195" t="s">
        <v>1906</v>
      </c>
      <c r="CR3" s="195" t="s">
        <v>1907</v>
      </c>
      <c r="CT3" s="201"/>
      <c r="CU3" s="782" t="s">
        <v>1908</v>
      </c>
      <c r="CV3" s="783"/>
      <c r="CW3" s="783"/>
      <c r="CX3" s="784"/>
      <c r="CY3" s="785" t="s">
        <v>1909</v>
      </c>
      <c r="CZ3" s="786"/>
      <c r="DA3" s="786"/>
      <c r="DB3" s="787"/>
      <c r="DC3" s="220"/>
      <c r="DD3" s="220"/>
      <c r="DN3" s="126" t="s">
        <v>1910</v>
      </c>
      <c r="DS3" s="126" t="s">
        <v>1911</v>
      </c>
    </row>
    <row r="4" spans="1:124" s="56" customFormat="1" ht="132.75" customHeight="1" x14ac:dyDescent="0.35">
      <c r="A4" s="79" t="s">
        <v>1912</v>
      </c>
      <c r="B4" s="79" t="s">
        <v>1913</v>
      </c>
      <c r="C4" s="60" t="s">
        <v>1914</v>
      </c>
      <c r="D4" s="79" t="s">
        <v>1915</v>
      </c>
      <c r="E4" s="79" t="s">
        <v>1916</v>
      </c>
      <c r="F4" s="188" t="s">
        <v>1917</v>
      </c>
      <c r="G4" s="4" t="s">
        <v>1918</v>
      </c>
      <c r="H4" s="189" t="s">
        <v>1919</v>
      </c>
      <c r="I4" s="194" t="s">
        <v>1920</v>
      </c>
      <c r="J4" s="194" t="s">
        <v>1921</v>
      </c>
      <c r="K4" s="78" t="s">
        <v>1922</v>
      </c>
      <c r="L4" s="192" t="s">
        <v>1923</v>
      </c>
      <c r="M4" s="194" t="s">
        <v>1924</v>
      </c>
      <c r="N4" s="78" t="s">
        <v>1925</v>
      </c>
      <c r="O4" s="78" t="s">
        <v>1926</v>
      </c>
      <c r="P4" s="195"/>
      <c r="Q4" s="192"/>
      <c r="R4" s="194" t="s">
        <v>1927</v>
      </c>
      <c r="S4" s="192"/>
      <c r="T4" s="195"/>
      <c r="U4" s="192" t="s">
        <v>1928</v>
      </c>
      <c r="V4" s="192" t="s">
        <v>1924</v>
      </c>
      <c r="W4" s="78" t="s">
        <v>1925</v>
      </c>
      <c r="X4" s="195" t="s">
        <v>1926</v>
      </c>
      <c r="Y4" s="4"/>
      <c r="Z4" s="194"/>
      <c r="AA4" s="194" t="s">
        <v>1929</v>
      </c>
      <c r="AB4" s="194"/>
      <c r="AC4" s="197"/>
      <c r="AD4" s="194"/>
      <c r="AE4" s="194"/>
      <c r="AF4" s="78" t="s">
        <v>1925</v>
      </c>
      <c r="AG4" s="78" t="s">
        <v>1930</v>
      </c>
      <c r="AH4" s="195"/>
      <c r="AI4" s="192"/>
      <c r="AJ4" s="194" t="s">
        <v>1931</v>
      </c>
      <c r="AK4" s="192"/>
      <c r="AL4" s="195"/>
      <c r="AM4" s="192"/>
      <c r="AN4" s="192"/>
      <c r="AO4" s="78" t="s">
        <v>1925</v>
      </c>
      <c r="AP4" s="195" t="s">
        <v>1926</v>
      </c>
      <c r="AQ4" s="4"/>
      <c r="AR4" s="189"/>
      <c r="AS4" s="194" t="s">
        <v>1932</v>
      </c>
      <c r="AT4" s="194"/>
      <c r="AU4" s="197"/>
      <c r="AV4" s="194"/>
      <c r="AW4" s="194"/>
      <c r="AX4" s="78" t="s">
        <v>1925</v>
      </c>
      <c r="AY4" s="78" t="s">
        <v>1926</v>
      </c>
      <c r="AZ4" s="195"/>
      <c r="BA4" s="192"/>
      <c r="BB4" s="198" t="s">
        <v>1933</v>
      </c>
      <c r="BC4" s="192"/>
      <c r="BD4" s="191"/>
      <c r="BE4" s="183"/>
      <c r="BF4" s="183"/>
      <c r="BG4" s="78" t="s">
        <v>1925</v>
      </c>
      <c r="BH4" s="195" t="s">
        <v>1926</v>
      </c>
      <c r="BI4" s="4" t="s">
        <v>1934</v>
      </c>
      <c r="BJ4" s="189" t="s">
        <v>1919</v>
      </c>
      <c r="BK4" s="194" t="s">
        <v>1935</v>
      </c>
      <c r="BL4" s="194" t="s">
        <v>1936</v>
      </c>
      <c r="BM4" s="78" t="s">
        <v>1922</v>
      </c>
      <c r="BN4" s="192" t="s">
        <v>1937</v>
      </c>
      <c r="BO4" s="194" t="s">
        <v>1924</v>
      </c>
      <c r="BP4" s="78" t="s">
        <v>1925</v>
      </c>
      <c r="BQ4" s="78" t="s">
        <v>1926</v>
      </c>
      <c r="BR4" s="199" t="s">
        <v>1938</v>
      </c>
      <c r="BS4" s="189" t="s">
        <v>1919</v>
      </c>
      <c r="BT4" s="194" t="s">
        <v>1939</v>
      </c>
      <c r="BU4" s="194" t="s">
        <v>1940</v>
      </c>
      <c r="BV4" s="195" t="s">
        <v>1922</v>
      </c>
      <c r="BW4" s="192" t="s">
        <v>1937</v>
      </c>
      <c r="BX4" s="194" t="s">
        <v>1924</v>
      </c>
      <c r="BY4" s="78" t="s">
        <v>1925</v>
      </c>
      <c r="BZ4" s="195" t="s">
        <v>1941</v>
      </c>
      <c r="CA4" s="4" t="s">
        <v>1942</v>
      </c>
      <c r="CB4" s="189" t="s">
        <v>1919</v>
      </c>
      <c r="CC4" s="194" t="s">
        <v>1943</v>
      </c>
      <c r="CD4" s="194" t="s">
        <v>1944</v>
      </c>
      <c r="CE4" s="78" t="s">
        <v>1922</v>
      </c>
      <c r="CF4" s="192" t="s">
        <v>1937</v>
      </c>
      <c r="CG4" s="194" t="s">
        <v>1924</v>
      </c>
      <c r="CH4" s="78" t="s">
        <v>1925</v>
      </c>
      <c r="CI4" s="78" t="s">
        <v>1930</v>
      </c>
      <c r="CJ4" s="199" t="s">
        <v>1945</v>
      </c>
      <c r="CK4" s="189" t="s">
        <v>1919</v>
      </c>
      <c r="CL4" s="194" t="s">
        <v>1946</v>
      </c>
      <c r="CM4" s="194" t="s">
        <v>1947</v>
      </c>
      <c r="CN4" s="195" t="s">
        <v>1922</v>
      </c>
      <c r="CO4" s="192" t="s">
        <v>1937</v>
      </c>
      <c r="CP4" s="194" t="s">
        <v>1924</v>
      </c>
      <c r="CQ4" s="78" t="s">
        <v>1925</v>
      </c>
      <c r="CR4" s="195" t="s">
        <v>1948</v>
      </c>
      <c r="CT4" s="201"/>
      <c r="CU4" s="202" t="s">
        <v>1949</v>
      </c>
      <c r="CV4" s="203" t="s">
        <v>1396</v>
      </c>
      <c r="CW4" s="203" t="s">
        <v>1950</v>
      </c>
      <c r="CX4" s="204" t="s">
        <v>114</v>
      </c>
      <c r="CY4" s="205" t="s">
        <v>1949</v>
      </c>
      <c r="CZ4" s="203" t="s">
        <v>1396</v>
      </c>
      <c r="DA4" s="203" t="s">
        <v>1397</v>
      </c>
      <c r="DB4" s="204" t="s">
        <v>1951</v>
      </c>
      <c r="DC4" s="221" t="s">
        <v>1952</v>
      </c>
      <c r="DD4" s="221" t="s">
        <v>1953</v>
      </c>
      <c r="DE4" s="222" t="s">
        <v>1954</v>
      </c>
      <c r="DF4" s="223" t="s">
        <v>1955</v>
      </c>
      <c r="DG4" s="224" t="s">
        <v>1937</v>
      </c>
      <c r="DH4" s="225" t="s">
        <v>1956</v>
      </c>
      <c r="DI4" s="121" t="s">
        <v>1957</v>
      </c>
      <c r="DJ4" s="232"/>
      <c r="DK4" s="121"/>
      <c r="DL4" s="121"/>
      <c r="DM4" s="121"/>
      <c r="DN4" s="233"/>
      <c r="DO4" s="49" t="s">
        <v>1958</v>
      </c>
      <c r="DP4" s="49" t="s">
        <v>1959</v>
      </c>
      <c r="DQ4" s="49" t="s">
        <v>1396</v>
      </c>
      <c r="DR4" s="238" t="s">
        <v>113</v>
      </c>
      <c r="DS4" s="56" t="s">
        <v>1960</v>
      </c>
    </row>
    <row r="5" spans="1:124" x14ac:dyDescent="0.35">
      <c r="A5" s="1">
        <v>1</v>
      </c>
      <c r="B5" s="1" t="s">
        <v>1961</v>
      </c>
      <c r="C5" s="56" t="s">
        <v>1962</v>
      </c>
      <c r="D5" s="99">
        <v>0</v>
      </c>
      <c r="E5" s="6">
        <f>D6</f>
        <v>100000</v>
      </c>
      <c r="F5" s="99">
        <v>5000</v>
      </c>
      <c r="G5" s="39" t="str">
        <f>CV5&amp;"|"&amp;CW5&amp;"|"&amp;CX5</f>
        <v>1|2|120000</v>
      </c>
      <c r="H5" s="190" t="str">
        <f>CZ5&amp;"|"&amp;DA5&amp;"|"&amp;DB5</f>
        <v>1|2|24000</v>
      </c>
      <c r="I5" s="181">
        <f>DC5</f>
        <v>127200</v>
      </c>
      <c r="J5" s="181">
        <f>DE5</f>
        <v>120000</v>
      </c>
      <c r="K5" s="1">
        <f>AC14</f>
        <v>0</v>
      </c>
      <c r="L5" s="181">
        <f t="shared" ref="L5:N5" si="0">DG5</f>
        <v>1</v>
      </c>
      <c r="M5" s="181">
        <f t="shared" si="0"/>
        <v>0.3</v>
      </c>
      <c r="N5" s="1">
        <f t="shared" si="0"/>
        <v>6</v>
      </c>
      <c r="O5" s="1" t="s">
        <v>1323</v>
      </c>
      <c r="P5" s="39" t="str">
        <f>CV6&amp;"|"&amp;CW6&amp;"|"&amp;CX6</f>
        <v>1|2|2000</v>
      </c>
      <c r="Q5" s="190" t="str">
        <f>CZ6&amp;"|"&amp;DA6&amp;"|"&amp;DB6</f>
        <v>1|2|400</v>
      </c>
      <c r="R5" s="181">
        <f>DC6</f>
        <v>2300</v>
      </c>
      <c r="S5" s="181">
        <f>DE6</f>
        <v>2000</v>
      </c>
      <c r="T5" s="1">
        <f>DF6</f>
        <v>0</v>
      </c>
      <c r="U5" s="181">
        <f t="shared" ref="U5:W5" si="1">DG6</f>
        <v>0.5</v>
      </c>
      <c r="V5" s="181">
        <f t="shared" si="1"/>
        <v>0.75</v>
      </c>
      <c r="W5" s="86">
        <f t="shared" si="1"/>
        <v>2</v>
      </c>
      <c r="X5" s="1" t="s">
        <v>1323</v>
      </c>
      <c r="Y5" s="39" t="str">
        <f>CV7&amp;"|"&amp;CW7&amp;"|"&amp;CX7</f>
        <v>1|2|5000</v>
      </c>
      <c r="Z5" s="181" t="str">
        <f>CZ7&amp;"|"&amp;DA7&amp;"|"&amp;DB7</f>
        <v>1|2|1000</v>
      </c>
      <c r="AA5" s="181">
        <f>DC7</f>
        <v>5750</v>
      </c>
      <c r="AB5" s="181">
        <f>DE7</f>
        <v>5000</v>
      </c>
      <c r="AC5" s="1">
        <f>DF7</f>
        <v>0</v>
      </c>
      <c r="AD5" s="181">
        <f t="shared" ref="AD5:AF5" si="2">DG7</f>
        <v>1</v>
      </c>
      <c r="AE5" s="181">
        <f t="shared" si="2"/>
        <v>0.75</v>
      </c>
      <c r="AF5" s="86">
        <f t="shared" si="2"/>
        <v>4</v>
      </c>
      <c r="AG5" s="1" t="s">
        <v>1323</v>
      </c>
      <c r="AH5" s="39" t="str">
        <f>CV8&amp;"|"&amp;CW8&amp;"|"&amp;CX8</f>
        <v>1|2|10000</v>
      </c>
      <c r="AI5" s="190" t="str">
        <f>CZ8&amp;"|"&amp;DA8&amp;"|"&amp;DB8</f>
        <v>1|2|2000</v>
      </c>
      <c r="AJ5" s="181">
        <f>DC8</f>
        <v>11500</v>
      </c>
      <c r="AK5" s="181">
        <f>DE8</f>
        <v>10000</v>
      </c>
      <c r="AL5" s="1">
        <f>DF8</f>
        <v>0</v>
      </c>
      <c r="AM5" s="181">
        <f t="shared" ref="AM5:AO5" si="3">DG8</f>
        <v>0.8</v>
      </c>
      <c r="AN5" s="181">
        <f t="shared" si="3"/>
        <v>0.75</v>
      </c>
      <c r="AO5" s="86">
        <f t="shared" si="3"/>
        <v>7</v>
      </c>
      <c r="AP5" s="1" t="s">
        <v>1323</v>
      </c>
      <c r="AQ5" s="39" t="str">
        <f>CV9&amp;"|"&amp;CW9&amp;"|"&amp;CX9</f>
        <v>1|2|20000</v>
      </c>
      <c r="AR5" s="190" t="str">
        <f>CZ9&amp;"|"&amp;DA9&amp;"|"&amp;DB9</f>
        <v>1|2|4000</v>
      </c>
      <c r="AS5" s="181">
        <f>DC9</f>
        <v>22000</v>
      </c>
      <c r="AT5" s="181">
        <f>DE9</f>
        <v>20000</v>
      </c>
      <c r="AU5" s="1">
        <f>DF9</f>
        <v>0</v>
      </c>
      <c r="AV5" s="181">
        <f t="shared" ref="AV5:AX5" si="4">DG9</f>
        <v>0.5</v>
      </c>
      <c r="AW5" s="181">
        <f t="shared" si="4"/>
        <v>0.5</v>
      </c>
      <c r="AX5" s="86">
        <f t="shared" si="4"/>
        <v>9</v>
      </c>
      <c r="AY5" s="1" t="s">
        <v>1323</v>
      </c>
      <c r="AZ5" s="39" t="str">
        <f>CV10&amp;"|"&amp;CW10&amp;"|"&amp;CX10</f>
        <v>1|2|40000</v>
      </c>
      <c r="BA5" s="190" t="str">
        <f>CZ10&amp;"|"&amp;DA10&amp;"|"&amp;DB10</f>
        <v>1|2|8000</v>
      </c>
      <c r="BB5" s="181">
        <f>DC10</f>
        <v>42400</v>
      </c>
      <c r="BC5" s="181">
        <f>DE10</f>
        <v>40000</v>
      </c>
      <c r="BD5" s="1">
        <f>DF10</f>
        <v>0</v>
      </c>
      <c r="BE5" s="181">
        <f>DG10</f>
        <v>1</v>
      </c>
      <c r="BF5" s="181">
        <f>DH10</f>
        <v>0.3</v>
      </c>
      <c r="BG5" s="86">
        <f>DI10</f>
        <v>10</v>
      </c>
      <c r="BH5" s="1" t="s">
        <v>1323</v>
      </c>
      <c r="BI5" s="39" t="str">
        <f>CV11&amp;"|"&amp;CW11&amp;"|"&amp;CX11</f>
        <v>1|2|60000</v>
      </c>
      <c r="BJ5" s="190" t="str">
        <f>CZ11&amp;"|"&amp;DA11&amp;"|"&amp;DB11</f>
        <v>1|2|250</v>
      </c>
      <c r="BK5" s="181">
        <f>DC11</f>
        <v>60000</v>
      </c>
      <c r="BL5" s="181">
        <f>DE11</f>
        <v>60000</v>
      </c>
      <c r="BM5" s="1">
        <f>DF11</f>
        <v>0</v>
      </c>
      <c r="BN5" s="181">
        <f>DG11</f>
        <v>0</v>
      </c>
      <c r="BO5" s="181">
        <f>DH11</f>
        <v>0</v>
      </c>
      <c r="BP5" s="86">
        <f>DI11</f>
        <v>8</v>
      </c>
      <c r="BQ5" s="1" t="s">
        <v>1323</v>
      </c>
      <c r="BR5" s="39" t="str">
        <f>CV12&amp;"|"&amp;CW12&amp;"|"&amp;CX12</f>
        <v>1|2|80000</v>
      </c>
      <c r="BS5" s="190" t="str">
        <f>CZ12&amp;"|"&amp;DA12&amp;"|"&amp;DB12</f>
        <v>1|2|260</v>
      </c>
      <c r="BT5" s="181">
        <f>DC12</f>
        <v>80000</v>
      </c>
      <c r="BU5" s="181">
        <f>DE12</f>
        <v>80000</v>
      </c>
      <c r="BV5" s="1">
        <f>DF12</f>
        <v>0</v>
      </c>
      <c r="BW5" s="181">
        <f>DG12</f>
        <v>0</v>
      </c>
      <c r="BX5" s="181">
        <f>DH12</f>
        <v>0</v>
      </c>
      <c r="BY5" s="86">
        <f>DI12</f>
        <v>5</v>
      </c>
      <c r="BZ5" s="1" t="s">
        <v>1323</v>
      </c>
      <c r="CA5" s="39" t="str">
        <f>CV13&amp;"|"&amp;CW13&amp;"|"&amp;CX13</f>
        <v>1|2|100000</v>
      </c>
      <c r="CB5" s="190" t="str">
        <f>CZ13&amp;"|"&amp;DA13&amp;"|"&amp;DB13</f>
        <v>1|2|270</v>
      </c>
      <c r="CC5" s="181">
        <f>DC13</f>
        <v>100000</v>
      </c>
      <c r="CD5" s="181">
        <f>DE13</f>
        <v>100000</v>
      </c>
      <c r="CE5" s="1">
        <f>DF13</f>
        <v>0</v>
      </c>
      <c r="CF5" s="181">
        <f>DG13</f>
        <v>0</v>
      </c>
      <c r="CG5" s="181">
        <f>DH13</f>
        <v>0</v>
      </c>
      <c r="CH5" s="86">
        <f>DI13</f>
        <v>3</v>
      </c>
      <c r="CI5" s="1" t="s">
        <v>1121</v>
      </c>
      <c r="CJ5" s="39" t="str">
        <f>CV14&amp;"|"&amp;CW14&amp;"|"&amp;CX14</f>
        <v>2|1204|1000</v>
      </c>
      <c r="CK5" s="190" t="str">
        <f>CZ14&amp;"|"&amp;DA14&amp;"|"&amp;DB14</f>
        <v>2|1204|280</v>
      </c>
      <c r="CL5" s="181">
        <f>DC14</f>
        <v>150000</v>
      </c>
      <c r="CM5" s="181">
        <f>DE14</f>
        <v>150000</v>
      </c>
      <c r="CN5" s="1">
        <v>1</v>
      </c>
      <c r="CO5" s="181">
        <f>DG14</f>
        <v>0</v>
      </c>
      <c r="CP5" s="181">
        <f>DH14</f>
        <v>0</v>
      </c>
      <c r="CQ5" s="86">
        <f>DI14</f>
        <v>1</v>
      </c>
      <c r="CR5" s="1" t="s">
        <v>1780</v>
      </c>
      <c r="CS5" s="6"/>
      <c r="CT5" s="779" t="str">
        <f>"抽奖
第1档
"&amp;D5&amp;"~
"&amp;E5</f>
        <v>抽奖
第1档
0~
100000</v>
      </c>
      <c r="CU5" s="206" t="s">
        <v>177</v>
      </c>
      <c r="CV5" s="207">
        <f t="shared" ref="CV5:CV36" si="5">VLOOKUP(CU5,DN:DR,4,0)</f>
        <v>1</v>
      </c>
      <c r="CW5" s="207">
        <f t="shared" ref="CW5:CW36" si="6">VLOOKUP(CU5,DN:DR,5,0)</f>
        <v>2</v>
      </c>
      <c r="CX5" s="208">
        <v>120000</v>
      </c>
      <c r="CY5" s="206" t="str">
        <f t="shared" ref="CY5:CY36" si="7">CU5</f>
        <v>金币</v>
      </c>
      <c r="CZ5" s="209">
        <f t="shared" ref="CZ5:CZ36" si="8">VLOOKUP(CY5,DN:DR,4,0)</f>
        <v>1</v>
      </c>
      <c r="DA5" s="209">
        <f t="shared" ref="DA5:DA36" si="9">VLOOKUP(CY5,DN:DR,5,0)</f>
        <v>2</v>
      </c>
      <c r="DB5" s="208">
        <f t="shared" ref="DB5:DB10" si="10">ROUNDUP(CX5/5,0)</f>
        <v>24000</v>
      </c>
      <c r="DC5" s="209">
        <f t="shared" ref="DC5:DC36" si="11">DD5*DH5+DE5</f>
        <v>127200</v>
      </c>
      <c r="DD5" s="209">
        <f t="shared" ref="DD5:DD36" si="12">VLOOKUP(CY5,DN:DR,3,0)/$DP$7*DB5*VLOOKUP(CY5,DN:DS,6,0)</f>
        <v>24000</v>
      </c>
      <c r="DE5" s="226">
        <f t="shared" ref="DE5:DE36" si="13">VLOOKUP(CU5,DN:DR,3,0)/$DP$7*CX5*VLOOKUP(CU5,DN:DS,6,0)</f>
        <v>120000</v>
      </c>
      <c r="DF5" s="227">
        <v>1</v>
      </c>
      <c r="DG5" s="228">
        <v>1</v>
      </c>
      <c r="DH5" s="228">
        <v>0.3</v>
      </c>
      <c r="DI5" s="139">
        <v>6</v>
      </c>
      <c r="DJ5" s="234"/>
      <c r="DK5" s="1">
        <f>CX5*VLOOKUP(CU5,DN:DS,6,0)</f>
        <v>120000</v>
      </c>
      <c r="DL5" s="1">
        <f>VLOOKUP(CU5,DN:DR,3,0)</f>
        <v>1E-4</v>
      </c>
      <c r="DN5" s="10" t="s">
        <v>1963</v>
      </c>
      <c r="DO5" s="11">
        <v>1</v>
      </c>
      <c r="DP5" s="11">
        <v>20</v>
      </c>
      <c r="DQ5" s="11">
        <v>1</v>
      </c>
      <c r="DR5" s="19"/>
      <c r="DS5" s="239">
        <v>1</v>
      </c>
    </row>
    <row r="6" spans="1:124" x14ac:dyDescent="0.35">
      <c r="A6" s="1">
        <v>2</v>
      </c>
      <c r="B6" s="1" t="s">
        <v>1961</v>
      </c>
      <c r="C6" s="56" t="s">
        <v>1964</v>
      </c>
      <c r="D6" s="99">
        <v>100000</v>
      </c>
      <c r="E6" s="6">
        <f>D7</f>
        <v>500000</v>
      </c>
      <c r="F6" s="99">
        <v>100000</v>
      </c>
      <c r="G6" s="39" t="str">
        <f>CV15&amp;"|"&amp;CW15&amp;"|"&amp;CX15</f>
        <v>1|2|250000</v>
      </c>
      <c r="H6" s="190" t="str">
        <f>CZ15&amp;"|"&amp;DA15&amp;"|"&amp;DB15</f>
        <v>1|2|50000</v>
      </c>
      <c r="I6" s="181">
        <f>DC15</f>
        <v>265000</v>
      </c>
      <c r="J6" s="181">
        <f>DE15</f>
        <v>250000</v>
      </c>
      <c r="K6" s="1">
        <f>AC24</f>
        <v>0</v>
      </c>
      <c r="L6" s="181">
        <f t="shared" ref="L6:N6" si="14">DG15</f>
        <v>1</v>
      </c>
      <c r="M6" s="181">
        <f t="shared" si="14"/>
        <v>0.3</v>
      </c>
      <c r="N6" s="1">
        <f t="shared" si="14"/>
        <v>8</v>
      </c>
      <c r="O6" s="1" t="s">
        <v>1323</v>
      </c>
      <c r="P6" s="39" t="str">
        <f>CV16&amp;"|"&amp;CW16&amp;"|"&amp;CX16</f>
        <v>2|1003|2</v>
      </c>
      <c r="Q6" s="190" t="str">
        <f>CZ16&amp;"|"&amp;DA16&amp;"|"&amp;DB16</f>
        <v>2|1003|1</v>
      </c>
      <c r="R6" s="181">
        <f>DC16</f>
        <v>275000</v>
      </c>
      <c r="S6" s="181">
        <f>DE16</f>
        <v>200000</v>
      </c>
      <c r="T6" s="1">
        <f>DF16</f>
        <v>0</v>
      </c>
      <c r="U6" s="181">
        <f t="shared" ref="U6:W6" si="15">DG16</f>
        <v>0.5</v>
      </c>
      <c r="V6" s="181">
        <f t="shared" si="15"/>
        <v>0.75</v>
      </c>
      <c r="W6" s="86">
        <f t="shared" si="15"/>
        <v>10</v>
      </c>
      <c r="X6" s="1" t="s">
        <v>1323</v>
      </c>
      <c r="Y6" s="39" t="str">
        <f>CV17&amp;"|"&amp;CW17&amp;"|"&amp;CX17</f>
        <v>1|2|60000</v>
      </c>
      <c r="Z6" s="181" t="str">
        <f>CZ17&amp;"|"&amp;DA17&amp;"|"&amp;DB17</f>
        <v>1|2|12000</v>
      </c>
      <c r="AA6" s="181">
        <f>DC17</f>
        <v>69000</v>
      </c>
      <c r="AB6" s="181">
        <f>DE17</f>
        <v>60000</v>
      </c>
      <c r="AC6" s="1">
        <f>DF17</f>
        <v>0</v>
      </c>
      <c r="AD6" s="181">
        <f t="shared" ref="AD6:AF6" si="16">DG17</f>
        <v>1</v>
      </c>
      <c r="AE6" s="181">
        <f t="shared" si="16"/>
        <v>0.75</v>
      </c>
      <c r="AF6" s="86">
        <f t="shared" si="16"/>
        <v>2</v>
      </c>
      <c r="AG6" s="1" t="s">
        <v>1323</v>
      </c>
      <c r="AH6" s="39" t="str">
        <f>CV18&amp;"|"&amp;CW18&amp;"|"&amp;CX18</f>
        <v>1|2|100000</v>
      </c>
      <c r="AI6" s="190" t="str">
        <f>CZ18&amp;"|"&amp;DA18&amp;"|"&amp;DB18</f>
        <v>1|2|20000</v>
      </c>
      <c r="AJ6" s="181">
        <f>DC18</f>
        <v>115000</v>
      </c>
      <c r="AK6" s="181">
        <f>DE18</f>
        <v>100000</v>
      </c>
      <c r="AL6" s="1">
        <f>DF18</f>
        <v>0</v>
      </c>
      <c r="AM6" s="181">
        <f t="shared" ref="AM6:AO6" si="17">DG18</f>
        <v>0.5</v>
      </c>
      <c r="AN6" s="181">
        <f t="shared" si="17"/>
        <v>0.75</v>
      </c>
      <c r="AO6" s="86">
        <f t="shared" si="17"/>
        <v>4</v>
      </c>
      <c r="AP6" s="1" t="s">
        <v>1323</v>
      </c>
      <c r="AQ6" s="39" t="str">
        <f>CV19&amp;"|"&amp;CW19&amp;"|"&amp;CX19</f>
        <v>1|2|200000</v>
      </c>
      <c r="AR6" s="190" t="str">
        <f>CZ19&amp;"|"&amp;DA19&amp;"|"&amp;DB19</f>
        <v>1|2|40000</v>
      </c>
      <c r="AS6" s="181">
        <f>DC19</f>
        <v>220000</v>
      </c>
      <c r="AT6" s="181">
        <f>DE19</f>
        <v>200000</v>
      </c>
      <c r="AU6" s="1">
        <f>DF19</f>
        <v>0</v>
      </c>
      <c r="AV6" s="181">
        <f t="shared" ref="AV6:AX6" si="18">DG19</f>
        <v>0.5</v>
      </c>
      <c r="AW6" s="181">
        <f t="shared" si="18"/>
        <v>0.5</v>
      </c>
      <c r="AX6" s="86">
        <f t="shared" si="18"/>
        <v>7</v>
      </c>
      <c r="AY6" s="1" t="s">
        <v>1323</v>
      </c>
      <c r="AZ6" s="39" t="str">
        <f>CV20&amp;"|"&amp;CW20&amp;"|"&amp;CX20</f>
        <v>1|2|350000</v>
      </c>
      <c r="BA6" s="190" t="str">
        <f>CZ20&amp;"|"&amp;DA20&amp;"|"&amp;DB20</f>
        <v>1|2|70000</v>
      </c>
      <c r="BB6" s="181">
        <f>DC20</f>
        <v>371000</v>
      </c>
      <c r="BC6" s="181">
        <f>DE20</f>
        <v>350000</v>
      </c>
      <c r="BD6" s="1">
        <f>DF20</f>
        <v>0</v>
      </c>
      <c r="BE6" s="181">
        <f t="shared" ref="BE6:BG6" si="19">DG20</f>
        <v>1</v>
      </c>
      <c r="BF6" s="181">
        <f t="shared" si="19"/>
        <v>0.3</v>
      </c>
      <c r="BG6" s="86">
        <f t="shared" si="19"/>
        <v>5</v>
      </c>
      <c r="BH6" s="1" t="s">
        <v>1323</v>
      </c>
      <c r="BI6" s="39" t="str">
        <f>CV21&amp;"|"&amp;CW21&amp;"|"&amp;CX21</f>
        <v>1|2|500000</v>
      </c>
      <c r="BJ6" s="190" t="str">
        <f>CZ21&amp;"|"&amp;DA21&amp;"|"&amp;DB21</f>
        <v>1|2|100000</v>
      </c>
      <c r="BK6" s="181">
        <f>DC21</f>
        <v>500000</v>
      </c>
      <c r="BL6" s="181">
        <f>DE21</f>
        <v>500000</v>
      </c>
      <c r="BM6" s="1">
        <f>DF21</f>
        <v>0</v>
      </c>
      <c r="BN6" s="181">
        <f>DG21</f>
        <v>0</v>
      </c>
      <c r="BO6" s="181">
        <f>DH21</f>
        <v>0</v>
      </c>
      <c r="BP6" s="86">
        <f>DI21</f>
        <v>3</v>
      </c>
      <c r="BQ6" s="1" t="s">
        <v>1323</v>
      </c>
      <c r="BR6" s="39" t="str">
        <f>CV22&amp;"|"&amp;CW22&amp;"|"&amp;CX22</f>
        <v>1|1|10</v>
      </c>
      <c r="BS6" s="190" t="str">
        <f>CZ22&amp;"|"&amp;DA22&amp;"|"&amp;DB22</f>
        <v>1|1|2</v>
      </c>
      <c r="BT6" s="181">
        <f>DC22</f>
        <v>200000</v>
      </c>
      <c r="BU6" s="181">
        <f>DE22</f>
        <v>200000</v>
      </c>
      <c r="BV6" s="1">
        <f>DF22</f>
        <v>0</v>
      </c>
      <c r="BW6" s="181">
        <f>DG22</f>
        <v>0</v>
      </c>
      <c r="BX6" s="181">
        <f>DH22</f>
        <v>0</v>
      </c>
      <c r="BY6" s="86">
        <f>DI22</f>
        <v>9</v>
      </c>
      <c r="BZ6" s="1" t="s">
        <v>1323</v>
      </c>
      <c r="CA6" s="39" t="str">
        <f>CV23&amp;"|"&amp;CW23&amp;"|"&amp;CX23</f>
        <v>1|1|25</v>
      </c>
      <c r="CB6" s="190" t="str">
        <f>CZ23&amp;"|"&amp;DA23&amp;"|"&amp;DB23</f>
        <v>1|1|5</v>
      </c>
      <c r="CC6" s="181">
        <f>DC23</f>
        <v>500000</v>
      </c>
      <c r="CD6" s="181">
        <f>DE23</f>
        <v>500000</v>
      </c>
      <c r="CE6" s="1">
        <f>DF23</f>
        <v>0</v>
      </c>
      <c r="CF6" s="181">
        <f>DG23</f>
        <v>0</v>
      </c>
      <c r="CG6" s="181">
        <f>DH23</f>
        <v>0</v>
      </c>
      <c r="CH6" s="86">
        <f>DI23</f>
        <v>6</v>
      </c>
      <c r="CI6" s="1" t="s">
        <v>1121</v>
      </c>
      <c r="CJ6" s="39" t="str">
        <f>CV24&amp;"|"&amp;CW24&amp;"|"&amp;CX24</f>
        <v>2|1204|5000</v>
      </c>
      <c r="CK6" s="190" t="str">
        <f>CZ24&amp;"|"&amp;DA24&amp;"|"&amp;DB24</f>
        <v>2|1204|1000</v>
      </c>
      <c r="CL6" s="181">
        <f>DC24</f>
        <v>750000</v>
      </c>
      <c r="CM6" s="181">
        <f>DE24</f>
        <v>750000</v>
      </c>
      <c r="CN6" s="1">
        <v>1</v>
      </c>
      <c r="CO6" s="181">
        <f>DG24</f>
        <v>0</v>
      </c>
      <c r="CP6" s="181">
        <f>DH24</f>
        <v>0</v>
      </c>
      <c r="CQ6" s="86">
        <f>DI24</f>
        <v>1</v>
      </c>
      <c r="CR6" s="1" t="s">
        <v>1780</v>
      </c>
      <c r="CS6" s="6"/>
      <c r="CT6" s="780"/>
      <c r="CU6" s="210" t="s">
        <v>177</v>
      </c>
      <c r="CV6" s="70">
        <f t="shared" si="5"/>
        <v>1</v>
      </c>
      <c r="CW6" s="70">
        <f t="shared" si="6"/>
        <v>2</v>
      </c>
      <c r="CX6" s="211">
        <v>2000</v>
      </c>
      <c r="CY6" s="210" t="str">
        <f t="shared" si="7"/>
        <v>金币</v>
      </c>
      <c r="CZ6" s="212">
        <f t="shared" si="8"/>
        <v>1</v>
      </c>
      <c r="DA6" s="212">
        <f t="shared" si="9"/>
        <v>2</v>
      </c>
      <c r="DB6" s="211">
        <f t="shared" si="10"/>
        <v>400</v>
      </c>
      <c r="DC6" s="212">
        <f t="shared" si="11"/>
        <v>2300</v>
      </c>
      <c r="DD6" s="212">
        <f t="shared" si="12"/>
        <v>400</v>
      </c>
      <c r="DE6" s="70">
        <f t="shared" si="13"/>
        <v>2000</v>
      </c>
      <c r="DF6" s="70">
        <v>0</v>
      </c>
      <c r="DG6" s="229">
        <v>0.5</v>
      </c>
      <c r="DH6" s="229">
        <v>0.75</v>
      </c>
      <c r="DI6" s="11">
        <v>2</v>
      </c>
      <c r="DJ6" s="235"/>
      <c r="DL6" s="1">
        <f>200*50*6%*5</f>
        <v>3000</v>
      </c>
      <c r="DN6" s="10" t="s">
        <v>1369</v>
      </c>
      <c r="DO6" s="11">
        <f>DO7*20000</f>
        <v>0.1</v>
      </c>
      <c r="DP6" s="11">
        <f>DP7*20000</f>
        <v>2</v>
      </c>
      <c r="DQ6" s="11">
        <v>1</v>
      </c>
      <c r="DR6" s="19">
        <v>1</v>
      </c>
      <c r="DS6" s="239">
        <v>1</v>
      </c>
    </row>
    <row r="7" spans="1:124" x14ac:dyDescent="0.35">
      <c r="A7" s="1">
        <v>3</v>
      </c>
      <c r="B7" s="1" t="s">
        <v>1961</v>
      </c>
      <c r="C7" s="56" t="s">
        <v>1965</v>
      </c>
      <c r="D7" s="99">
        <v>500000</v>
      </c>
      <c r="E7" s="6">
        <f>D8</f>
        <v>1000000</v>
      </c>
      <c r="F7" s="6">
        <v>-1</v>
      </c>
      <c r="G7" s="39" t="str">
        <f>CV25&amp;"|"&amp;CW25&amp;"|"&amp;CX25</f>
        <v>1|2|200000</v>
      </c>
      <c r="H7" s="190" t="str">
        <f t="shared" ref="H7" si="20">CZ7&amp;"|"&amp;DA7&amp;"|"&amp;DB7</f>
        <v>1|2|1000</v>
      </c>
      <c r="I7" s="181">
        <f>DC25</f>
        <v>212000</v>
      </c>
      <c r="J7" s="181">
        <f>DE25</f>
        <v>200000</v>
      </c>
      <c r="K7" s="1">
        <f>AC34</f>
        <v>0</v>
      </c>
      <c r="L7" s="181">
        <f t="shared" ref="L7:N7" si="21">DG25</f>
        <v>1</v>
      </c>
      <c r="M7" s="181">
        <f t="shared" si="21"/>
        <v>0.3</v>
      </c>
      <c r="N7" s="1">
        <f t="shared" si="21"/>
        <v>2</v>
      </c>
      <c r="O7" s="1" t="s">
        <v>1323</v>
      </c>
      <c r="P7" s="39" t="str">
        <f>CV26&amp;"|"&amp;CW26&amp;"|"&amp;CX26</f>
        <v>2|1003|3</v>
      </c>
      <c r="Q7" s="190" t="str">
        <f>CZ26&amp;"|"&amp;DA26&amp;"|"&amp;DB26</f>
        <v>2|1003|1</v>
      </c>
      <c r="R7" s="181">
        <f>DC26</f>
        <v>375000</v>
      </c>
      <c r="S7" s="181">
        <f>DE26</f>
        <v>300000</v>
      </c>
      <c r="T7" s="1">
        <f>DF26</f>
        <v>0</v>
      </c>
      <c r="U7" s="181">
        <f t="shared" ref="U7:W7" si="22">DG26</f>
        <v>1</v>
      </c>
      <c r="V7" s="181">
        <f t="shared" si="22"/>
        <v>0.75</v>
      </c>
      <c r="W7" s="86">
        <f t="shared" si="22"/>
        <v>9</v>
      </c>
      <c r="X7" s="1" t="s">
        <v>1323</v>
      </c>
      <c r="Y7" s="39" t="str">
        <f>CV27&amp;"|"&amp;CW27&amp;"|"&amp;CX27</f>
        <v>2|1003|4</v>
      </c>
      <c r="Z7" s="181" t="str">
        <f>CZ27&amp;"|"&amp;DA27&amp;"|"&amp;DB27</f>
        <v>2|1003|1</v>
      </c>
      <c r="AA7" s="181">
        <f>DC27</f>
        <v>475000</v>
      </c>
      <c r="AB7" s="181">
        <f>DE27</f>
        <v>400000</v>
      </c>
      <c r="AC7" s="1">
        <f>DF27</f>
        <v>0</v>
      </c>
      <c r="AD7" s="181">
        <f t="shared" ref="AD7:AF7" si="23">DG27</f>
        <v>0.5</v>
      </c>
      <c r="AE7" s="181">
        <f t="shared" si="23"/>
        <v>0.75</v>
      </c>
      <c r="AF7" s="86">
        <f t="shared" si="23"/>
        <v>4</v>
      </c>
      <c r="AG7" s="1" t="s">
        <v>1323</v>
      </c>
      <c r="AH7" s="39" t="str">
        <f>CV28&amp;"|"&amp;CW28&amp;"|"&amp;CX28</f>
        <v>1|2|400000</v>
      </c>
      <c r="AI7" s="190" t="str">
        <f>CZ28&amp;"|"&amp;DA28&amp;"|"&amp;DB28</f>
        <v>1|2|80000</v>
      </c>
      <c r="AJ7" s="181">
        <f>DC28</f>
        <v>460000</v>
      </c>
      <c r="AK7" s="181">
        <f>DE28</f>
        <v>400000</v>
      </c>
      <c r="AL7" s="1">
        <f>DF28</f>
        <v>0</v>
      </c>
      <c r="AM7" s="181">
        <f t="shared" ref="AM7:AO7" si="24">DG28</f>
        <v>1</v>
      </c>
      <c r="AN7" s="181">
        <f t="shared" si="24"/>
        <v>0.75</v>
      </c>
      <c r="AO7" s="86">
        <f t="shared" si="24"/>
        <v>7</v>
      </c>
      <c r="AP7" s="1" t="s">
        <v>1323</v>
      </c>
      <c r="AQ7" s="39" t="str">
        <f>CV29&amp;"|"&amp;CW29&amp;"|"&amp;CX29</f>
        <v>1|2|600000</v>
      </c>
      <c r="AR7" s="190" t="str">
        <f>CZ29&amp;"|"&amp;DA29&amp;"|"&amp;DB29</f>
        <v>1|2|120000</v>
      </c>
      <c r="AS7" s="181">
        <f>DC29</f>
        <v>660000</v>
      </c>
      <c r="AT7" s="181">
        <f>DE29</f>
        <v>600000</v>
      </c>
      <c r="AU7" s="1">
        <f>DF29</f>
        <v>0</v>
      </c>
      <c r="AV7" s="181">
        <f t="shared" ref="AV7:AX7" si="25">DG29</f>
        <v>1</v>
      </c>
      <c r="AW7" s="181">
        <f t="shared" si="25"/>
        <v>0.5</v>
      </c>
      <c r="AX7" s="86">
        <f t="shared" si="25"/>
        <v>10</v>
      </c>
      <c r="AY7" s="1" t="s">
        <v>1323</v>
      </c>
      <c r="AZ7" s="39" t="str">
        <f>CV30&amp;"|"&amp;CW30&amp;"|"&amp;CX30</f>
        <v>1|2|800000</v>
      </c>
      <c r="BA7" s="190" t="str">
        <f>CZ30&amp;"|"&amp;DA30&amp;"|"&amp;DB30</f>
        <v>1|2|160000</v>
      </c>
      <c r="BB7" s="181">
        <f>DC30</f>
        <v>848000</v>
      </c>
      <c r="BC7" s="181">
        <f>DE30</f>
        <v>800000</v>
      </c>
      <c r="BD7" s="1">
        <f>DF30</f>
        <v>0</v>
      </c>
      <c r="BE7" s="181">
        <f t="shared" ref="BE7:BG7" si="26">DG30</f>
        <v>1</v>
      </c>
      <c r="BF7" s="181">
        <f t="shared" si="26"/>
        <v>0.3</v>
      </c>
      <c r="BG7" s="86">
        <f t="shared" si="26"/>
        <v>5</v>
      </c>
      <c r="BH7" s="1" t="s">
        <v>1323</v>
      </c>
      <c r="BI7" s="39" t="str">
        <f>CV31&amp;"|"&amp;CW31&amp;"|"&amp;CX31</f>
        <v>1|2|1000000</v>
      </c>
      <c r="BJ7" s="190" t="str">
        <f>CZ31&amp;"|"&amp;DA31&amp;"|"&amp;DB31</f>
        <v>1|2|100</v>
      </c>
      <c r="BK7" s="181">
        <f>DC31</f>
        <v>1000000</v>
      </c>
      <c r="BL7" s="181">
        <f>DE31</f>
        <v>1000000</v>
      </c>
      <c r="BM7" s="1">
        <f>DF31</f>
        <v>0</v>
      </c>
      <c r="BN7" s="181">
        <f>DG31</f>
        <v>0</v>
      </c>
      <c r="BO7" s="181">
        <f>DH31</f>
        <v>0</v>
      </c>
      <c r="BP7" s="86">
        <f>DI31</f>
        <v>3</v>
      </c>
      <c r="BQ7" s="1" t="s">
        <v>1323</v>
      </c>
      <c r="BR7" s="39" t="str">
        <f>CV32&amp;"|"&amp;CW32&amp;"|"&amp;CX32</f>
        <v>2|1204|10000</v>
      </c>
      <c r="BS7" s="190" t="str">
        <f>CZ32&amp;"|"&amp;DA32&amp;"|"&amp;DB32</f>
        <v>2|1204|101</v>
      </c>
      <c r="BT7" s="181">
        <f>DC32</f>
        <v>1500000</v>
      </c>
      <c r="BU7" s="181">
        <f>DE32</f>
        <v>1500000</v>
      </c>
      <c r="BV7" s="1">
        <f>DF32</f>
        <v>0</v>
      </c>
      <c r="BW7" s="181">
        <f>DG32</f>
        <v>0</v>
      </c>
      <c r="BX7" s="181">
        <f>DH32</f>
        <v>0</v>
      </c>
      <c r="BY7" s="86">
        <f>DI32</f>
        <v>1</v>
      </c>
      <c r="BZ7" s="1" t="s">
        <v>1780</v>
      </c>
      <c r="CA7" s="39" t="str">
        <f>CV33&amp;"|"&amp;CW33&amp;"|"&amp;CX33</f>
        <v>1|1|40</v>
      </c>
      <c r="CB7" s="190" t="str">
        <f>CZ33&amp;"|"&amp;DA33&amp;"|"&amp;DB33</f>
        <v>1|1|102</v>
      </c>
      <c r="CC7" s="181">
        <f>DC33</f>
        <v>800000</v>
      </c>
      <c r="CD7" s="181">
        <f>DE33</f>
        <v>800000</v>
      </c>
      <c r="CE7" s="1">
        <f>DF33</f>
        <v>0</v>
      </c>
      <c r="CF7" s="181">
        <f>DG33</f>
        <v>0</v>
      </c>
      <c r="CG7" s="181">
        <f>DH33</f>
        <v>0</v>
      </c>
      <c r="CH7" s="86">
        <f>DI33</f>
        <v>8</v>
      </c>
      <c r="CI7" s="1" t="s">
        <v>1323</v>
      </c>
      <c r="CJ7" s="39" t="str">
        <f>CV34&amp;"|"&amp;CW34&amp;"|"&amp;CX34</f>
        <v>2|1005|1</v>
      </c>
      <c r="CK7" s="190" t="str">
        <f>CZ34&amp;"|"&amp;DA34&amp;"|"&amp;DB34</f>
        <v>2|1005|103</v>
      </c>
      <c r="CL7" s="181">
        <f>DC34</f>
        <v>1000000</v>
      </c>
      <c r="CM7" s="181">
        <f>DE34</f>
        <v>1000000</v>
      </c>
      <c r="CN7" s="1">
        <v>1</v>
      </c>
      <c r="CO7" s="181">
        <f>DG34</f>
        <v>0</v>
      </c>
      <c r="CP7" s="181">
        <f>DH34</f>
        <v>0</v>
      </c>
      <c r="CQ7" s="86">
        <f>DI34</f>
        <v>6</v>
      </c>
      <c r="CR7" s="1" t="s">
        <v>1121</v>
      </c>
      <c r="CS7" s="6"/>
      <c r="CT7" s="780"/>
      <c r="CU7" s="210" t="s">
        <v>177</v>
      </c>
      <c r="CV7" s="70">
        <f t="shared" si="5"/>
        <v>1</v>
      </c>
      <c r="CW7" s="70">
        <f t="shared" si="6"/>
        <v>2</v>
      </c>
      <c r="CX7" s="211">
        <v>5000</v>
      </c>
      <c r="CY7" s="210" t="str">
        <f t="shared" si="7"/>
        <v>金币</v>
      </c>
      <c r="CZ7" s="212">
        <f t="shared" si="8"/>
        <v>1</v>
      </c>
      <c r="DA7" s="212">
        <f t="shared" si="9"/>
        <v>2</v>
      </c>
      <c r="DB7" s="211">
        <f t="shared" si="10"/>
        <v>1000</v>
      </c>
      <c r="DC7" s="212">
        <f t="shared" si="11"/>
        <v>5750</v>
      </c>
      <c r="DD7" s="212">
        <f t="shared" si="12"/>
        <v>1000</v>
      </c>
      <c r="DE7" s="70">
        <f t="shared" si="13"/>
        <v>5000</v>
      </c>
      <c r="DF7" s="70">
        <v>0</v>
      </c>
      <c r="DG7" s="229">
        <v>1</v>
      </c>
      <c r="DH7" s="229">
        <v>0.75</v>
      </c>
      <c r="DI7" s="11">
        <v>4</v>
      </c>
      <c r="DJ7" s="235"/>
      <c r="DL7" s="1">
        <f>1000*170*6%*10</f>
        <v>102000</v>
      </c>
      <c r="DN7" s="10" t="s">
        <v>177</v>
      </c>
      <c r="DO7" s="11">
        <f>1/200000</f>
        <v>5.0000000000000004E-6</v>
      </c>
      <c r="DP7" s="11">
        <f>1/10000</f>
        <v>1E-4</v>
      </c>
      <c r="DQ7" s="11">
        <v>1</v>
      </c>
      <c r="DR7" s="19">
        <v>2</v>
      </c>
      <c r="DS7" s="239">
        <v>1</v>
      </c>
    </row>
    <row r="8" spans="1:124" x14ac:dyDescent="0.35">
      <c r="A8" s="1">
        <v>4</v>
      </c>
      <c r="B8" s="1" t="s">
        <v>1961</v>
      </c>
      <c r="C8" s="56" t="s">
        <v>1966</v>
      </c>
      <c r="D8" s="99">
        <v>1000000</v>
      </c>
      <c r="E8" s="6">
        <f>D9</f>
        <v>2000000</v>
      </c>
      <c r="F8" s="6">
        <v>-1</v>
      </c>
      <c r="G8" s="39" t="str">
        <f>CV35&amp;"|"&amp;CW35&amp;"|"&amp;CX35</f>
        <v>1|2|750000</v>
      </c>
      <c r="H8" s="190" t="str">
        <f>CZ35&amp;"|"&amp;DA35&amp;"|"&amp;DB35</f>
        <v>1|2|150000</v>
      </c>
      <c r="I8" s="181">
        <f>DC35</f>
        <v>795000</v>
      </c>
      <c r="J8" s="181">
        <f>DE35</f>
        <v>750000</v>
      </c>
      <c r="K8" s="1">
        <f>AC44</f>
        <v>0</v>
      </c>
      <c r="L8" s="181">
        <f t="shared" ref="L8:N8" si="27">DG35</f>
        <v>1</v>
      </c>
      <c r="M8" s="181">
        <f t="shared" si="27"/>
        <v>0.3</v>
      </c>
      <c r="N8" s="1">
        <f t="shared" si="27"/>
        <v>4</v>
      </c>
      <c r="O8" s="1" t="s">
        <v>1323</v>
      </c>
      <c r="P8" s="39" t="str">
        <f>CV36&amp;"|"&amp;CW36&amp;"|"&amp;CX36</f>
        <v>2|1003|4</v>
      </c>
      <c r="Q8" s="190" t="str">
        <f>CZ36&amp;"|"&amp;DA36&amp;"|"&amp;DB36</f>
        <v>2|1003|1</v>
      </c>
      <c r="R8" s="181">
        <f>DC36</f>
        <v>475000</v>
      </c>
      <c r="S8" s="181">
        <f>DE36</f>
        <v>400000</v>
      </c>
      <c r="T8" s="1">
        <f>DF36</f>
        <v>0</v>
      </c>
      <c r="U8" s="181">
        <f t="shared" ref="U8:W8" si="28">DG36</f>
        <v>1</v>
      </c>
      <c r="V8" s="181">
        <f t="shared" si="28"/>
        <v>0.75</v>
      </c>
      <c r="W8" s="86">
        <f t="shared" si="28"/>
        <v>9</v>
      </c>
      <c r="X8" s="1" t="s">
        <v>1323</v>
      </c>
      <c r="Y8" s="39" t="str">
        <f>CV37&amp;"|"&amp;CW37&amp;"|"&amp;CX37</f>
        <v>2|1003|6</v>
      </c>
      <c r="Z8" s="181" t="str">
        <f>CZ37&amp;"|"&amp;DA37&amp;"|"&amp;DB37</f>
        <v>2|1003|2</v>
      </c>
      <c r="AA8" s="181">
        <f>DC37</f>
        <v>750000</v>
      </c>
      <c r="AB8" s="181">
        <f>DE37</f>
        <v>600000</v>
      </c>
      <c r="AC8" s="1">
        <f>DF37</f>
        <v>0</v>
      </c>
      <c r="AD8" s="181">
        <f t="shared" ref="AD8:AF8" si="29">DG37</f>
        <v>0.5</v>
      </c>
      <c r="AE8" s="181">
        <f t="shared" si="29"/>
        <v>0.75</v>
      </c>
      <c r="AF8" s="86">
        <f t="shared" si="29"/>
        <v>7</v>
      </c>
      <c r="AG8" s="1" t="s">
        <v>1323</v>
      </c>
      <c r="AH8" s="39" t="str">
        <f>CV38&amp;"|"&amp;CW38&amp;"|"&amp;CX38</f>
        <v>1|2|800000</v>
      </c>
      <c r="AI8" s="190" t="str">
        <f>CZ38&amp;"|"&amp;DA38&amp;"|"&amp;DB38</f>
        <v>1|2|160000</v>
      </c>
      <c r="AJ8" s="181">
        <f>DC38</f>
        <v>920000</v>
      </c>
      <c r="AK8" s="181">
        <f>DE38</f>
        <v>800000</v>
      </c>
      <c r="AL8" s="1">
        <f>DF38</f>
        <v>0</v>
      </c>
      <c r="AM8" s="181">
        <f t="shared" ref="AM8:AO8" si="30">DG38</f>
        <v>1</v>
      </c>
      <c r="AN8" s="181">
        <f t="shared" si="30"/>
        <v>0.75</v>
      </c>
      <c r="AO8" s="86">
        <f t="shared" si="30"/>
        <v>2</v>
      </c>
      <c r="AP8" s="1" t="s">
        <v>1323</v>
      </c>
      <c r="AQ8" s="39" t="str">
        <f>CV39&amp;"|"&amp;CW39&amp;"|"&amp;CX39</f>
        <v>1|2|1000000</v>
      </c>
      <c r="AR8" s="190" t="str">
        <f>CZ39&amp;"|"&amp;DA39&amp;"|"&amp;DB39</f>
        <v>1|2|200000</v>
      </c>
      <c r="AS8" s="181">
        <f>DC39</f>
        <v>1100000</v>
      </c>
      <c r="AT8" s="181">
        <f>DE39</f>
        <v>1000000</v>
      </c>
      <c r="AU8" s="1">
        <f>DF39</f>
        <v>0</v>
      </c>
      <c r="AV8" s="181">
        <f t="shared" ref="AV8:AX8" si="31">DG39</f>
        <v>1</v>
      </c>
      <c r="AW8" s="181">
        <f t="shared" si="31"/>
        <v>0.5</v>
      </c>
      <c r="AX8" s="86">
        <f t="shared" si="31"/>
        <v>10</v>
      </c>
      <c r="AY8" s="1" t="s">
        <v>1323</v>
      </c>
      <c r="AZ8" s="39" t="str">
        <f>CV40&amp;"|"&amp;CW40&amp;"|"&amp;CX40</f>
        <v>1|2|1500000</v>
      </c>
      <c r="BA8" s="190" t="str">
        <f>CZ40&amp;"|"&amp;DA40&amp;"|"&amp;DB40</f>
        <v>1|2|300000</v>
      </c>
      <c r="BB8" s="181">
        <f>DC40</f>
        <v>1590000</v>
      </c>
      <c r="BC8" s="181">
        <f>DE40</f>
        <v>1500000</v>
      </c>
      <c r="BD8" s="1">
        <f>DF40</f>
        <v>0</v>
      </c>
      <c r="BE8" s="181">
        <f t="shared" ref="BE8:BG8" si="32">DG40</f>
        <v>1</v>
      </c>
      <c r="BF8" s="181">
        <f t="shared" si="32"/>
        <v>0.3</v>
      </c>
      <c r="BG8" s="86">
        <f t="shared" si="32"/>
        <v>8</v>
      </c>
      <c r="BH8" s="1" t="s">
        <v>1323</v>
      </c>
      <c r="BI8" s="39" t="str">
        <f>CV41&amp;"|"&amp;CW41&amp;"|"&amp;CX41</f>
        <v>2|1204|20000</v>
      </c>
      <c r="BJ8" s="190" t="str">
        <f>CZ41&amp;"|"&amp;DA41&amp;"|"&amp;DB41</f>
        <v>2|1204|4000</v>
      </c>
      <c r="BK8" s="181">
        <f>DC41</f>
        <v>3000000</v>
      </c>
      <c r="BL8" s="181">
        <f>DE41</f>
        <v>3000000</v>
      </c>
      <c r="BM8" s="1">
        <f>DF41</f>
        <v>0</v>
      </c>
      <c r="BN8" s="181">
        <f>DG41</f>
        <v>0</v>
      </c>
      <c r="BO8" s="181">
        <f>DH41</f>
        <v>0</v>
      </c>
      <c r="BP8" s="86">
        <f>DI41</f>
        <v>3</v>
      </c>
      <c r="BQ8" s="1" t="s">
        <v>1323</v>
      </c>
      <c r="BR8" s="39" t="str">
        <f>CV42&amp;"|"&amp;CW42&amp;"|"&amp;CX42</f>
        <v>1|1|80</v>
      </c>
      <c r="BS8" s="190" t="str">
        <f>CZ42&amp;"|"&amp;DA42&amp;"|"&amp;DB42</f>
        <v>1|1|16</v>
      </c>
      <c r="BT8" s="181">
        <f>DC42</f>
        <v>1600000</v>
      </c>
      <c r="BU8" s="181">
        <f>DE42</f>
        <v>1600000</v>
      </c>
      <c r="BV8" s="1">
        <f>DF42</f>
        <v>0</v>
      </c>
      <c r="BW8" s="181">
        <f>DG42</f>
        <v>0</v>
      </c>
      <c r="BX8" s="181">
        <f>DH42</f>
        <v>0</v>
      </c>
      <c r="BY8" s="86">
        <f>DI42</f>
        <v>5</v>
      </c>
      <c r="BZ8" s="1" t="s">
        <v>1323</v>
      </c>
      <c r="CA8" s="39" t="str">
        <f>CV43&amp;"|"&amp;CW43&amp;"|"&amp;CX43</f>
        <v>2|1005|2</v>
      </c>
      <c r="CB8" s="190" t="str">
        <f>CZ43&amp;"|"&amp;DA43&amp;"|"&amp;DB43</f>
        <v>2|1005|1</v>
      </c>
      <c r="CC8" s="181">
        <f>DC43</f>
        <v>2000000</v>
      </c>
      <c r="CD8" s="181">
        <f>DE43</f>
        <v>2000000</v>
      </c>
      <c r="CE8" s="1">
        <f>DF43</f>
        <v>0</v>
      </c>
      <c r="CF8" s="181">
        <f>DG43</f>
        <v>0</v>
      </c>
      <c r="CG8" s="181">
        <f>DH43</f>
        <v>0</v>
      </c>
      <c r="CH8" s="86">
        <f>DI43</f>
        <v>6</v>
      </c>
      <c r="CI8" s="1" t="s">
        <v>1121</v>
      </c>
      <c r="CJ8" s="39" t="str">
        <f>CV44&amp;"|"&amp;CW44&amp;"|"&amp;CX44</f>
        <v>2|1005|3</v>
      </c>
      <c r="CK8" s="190" t="str">
        <f>CZ44&amp;"|"&amp;DA44&amp;"|"&amp;DB44</f>
        <v>2|1005|1</v>
      </c>
      <c r="CL8" s="181">
        <f>DC44</f>
        <v>3000000</v>
      </c>
      <c r="CM8" s="181">
        <f>DE44</f>
        <v>3000000</v>
      </c>
      <c r="CN8" s="1">
        <v>1</v>
      </c>
      <c r="CO8" s="181">
        <f>DG44</f>
        <v>0</v>
      </c>
      <c r="CP8" s="181">
        <f>DH44</f>
        <v>0</v>
      </c>
      <c r="CQ8" s="86">
        <f>DI44</f>
        <v>1</v>
      </c>
      <c r="CR8" s="1" t="s">
        <v>1780</v>
      </c>
      <c r="CS8" s="6"/>
      <c r="CT8" s="780"/>
      <c r="CU8" s="210" t="s">
        <v>177</v>
      </c>
      <c r="CV8" s="70">
        <f t="shared" si="5"/>
        <v>1</v>
      </c>
      <c r="CW8" s="70">
        <f t="shared" si="6"/>
        <v>2</v>
      </c>
      <c r="CX8" s="211">
        <v>10000</v>
      </c>
      <c r="CY8" s="210" t="str">
        <f t="shared" si="7"/>
        <v>金币</v>
      </c>
      <c r="CZ8" s="212">
        <f t="shared" si="8"/>
        <v>1</v>
      </c>
      <c r="DA8" s="212">
        <f t="shared" si="9"/>
        <v>2</v>
      </c>
      <c r="DB8" s="211">
        <f t="shared" si="10"/>
        <v>2000</v>
      </c>
      <c r="DC8" s="212">
        <f t="shared" si="11"/>
        <v>11500</v>
      </c>
      <c r="DD8" s="212">
        <f t="shared" si="12"/>
        <v>2000</v>
      </c>
      <c r="DE8" s="70">
        <f t="shared" si="13"/>
        <v>10000</v>
      </c>
      <c r="DF8" s="70">
        <v>0</v>
      </c>
      <c r="DG8" s="229">
        <v>0.8</v>
      </c>
      <c r="DH8" s="229">
        <v>0.75</v>
      </c>
      <c r="DI8" s="11">
        <v>7</v>
      </c>
      <c r="DJ8" s="235"/>
      <c r="DN8" s="10" t="s">
        <v>1401</v>
      </c>
      <c r="DO8" s="11">
        <f>DP8/20</f>
        <v>0.1</v>
      </c>
      <c r="DP8" s="11">
        <v>2</v>
      </c>
      <c r="DQ8" s="11">
        <v>2</v>
      </c>
      <c r="DR8" s="19">
        <v>1001</v>
      </c>
      <c r="DS8" s="239">
        <v>1</v>
      </c>
    </row>
    <row r="9" spans="1:124" x14ac:dyDescent="0.35">
      <c r="A9" s="1">
        <v>5</v>
      </c>
      <c r="B9" s="1" t="s">
        <v>1961</v>
      </c>
      <c r="C9" s="56" t="s">
        <v>1967</v>
      </c>
      <c r="D9" s="99">
        <v>2000000</v>
      </c>
      <c r="E9" s="6">
        <f>D10</f>
        <v>6000000</v>
      </c>
      <c r="F9" s="6">
        <v>-1</v>
      </c>
      <c r="G9" s="39" t="str">
        <f>CV45&amp;"|"&amp;CW45&amp;"|"&amp;CX45</f>
        <v>1|2|2000000</v>
      </c>
      <c r="H9" s="190" t="str">
        <f>CZ45&amp;"|"&amp;DA45&amp;"|"&amp;DB45</f>
        <v>1|2|400000</v>
      </c>
      <c r="I9" s="181">
        <f>DC45</f>
        <v>2120000</v>
      </c>
      <c r="J9" s="181">
        <f>DE45</f>
        <v>2000000</v>
      </c>
      <c r="K9" s="1">
        <f>AC54</f>
        <v>0</v>
      </c>
      <c r="L9" s="181">
        <f t="shared" ref="L9:N9" si="33">DG45</f>
        <v>1</v>
      </c>
      <c r="M9" s="181">
        <f t="shared" si="33"/>
        <v>0.3</v>
      </c>
      <c r="N9" s="1">
        <f t="shared" si="33"/>
        <v>7</v>
      </c>
      <c r="O9" s="1" t="s">
        <v>1780</v>
      </c>
      <c r="P9" s="39" t="str">
        <f>CV46&amp;"|"&amp;CW46&amp;"|"&amp;CX46</f>
        <v>1|2|1000000</v>
      </c>
      <c r="Q9" s="190" t="str">
        <f>CZ46&amp;"|"&amp;DA46&amp;"|"&amp;DB46</f>
        <v>1|2|200000</v>
      </c>
      <c r="R9" s="181">
        <f>DC46</f>
        <v>1150000</v>
      </c>
      <c r="S9" s="181">
        <f>DE46</f>
        <v>1000000</v>
      </c>
      <c r="T9" s="1">
        <f>DF46</f>
        <v>0</v>
      </c>
      <c r="U9" s="181">
        <f t="shared" ref="U9:W9" si="34">DG46</f>
        <v>1</v>
      </c>
      <c r="V9" s="181">
        <f t="shared" si="34"/>
        <v>0.75</v>
      </c>
      <c r="W9" s="86">
        <f t="shared" si="34"/>
        <v>2</v>
      </c>
      <c r="X9" s="1" t="s">
        <v>1323</v>
      </c>
      <c r="Y9" s="39" t="str">
        <f>CV47&amp;"|"&amp;CW47&amp;"|"&amp;CX47</f>
        <v>1|2|1500000</v>
      </c>
      <c r="Z9" s="181" t="str">
        <f>CZ47&amp;"|"&amp;DA47&amp;"|"&amp;DB47</f>
        <v>1|2|300000</v>
      </c>
      <c r="AA9" s="181">
        <f>DC47</f>
        <v>1725000</v>
      </c>
      <c r="AB9" s="181">
        <f>DE47</f>
        <v>1500000</v>
      </c>
      <c r="AC9" s="1">
        <f>DF47</f>
        <v>0</v>
      </c>
      <c r="AD9" s="181">
        <f t="shared" ref="AD9:AF9" si="35">DG47</f>
        <v>0.5</v>
      </c>
      <c r="AE9" s="181">
        <f t="shared" si="35"/>
        <v>0.75</v>
      </c>
      <c r="AF9" s="86">
        <f t="shared" si="35"/>
        <v>4</v>
      </c>
      <c r="AG9" s="1" t="s">
        <v>1323</v>
      </c>
      <c r="AH9" s="39" t="str">
        <f>CV48&amp;"|"&amp;CW48&amp;"|"&amp;CX48</f>
        <v>1|2|2500000</v>
      </c>
      <c r="AI9" s="190" t="str">
        <f>CZ48&amp;"|"&amp;DA48&amp;"|"&amp;DB48</f>
        <v>1|2|500000</v>
      </c>
      <c r="AJ9" s="181">
        <f>DC48</f>
        <v>2875000</v>
      </c>
      <c r="AK9" s="181">
        <f>DE48</f>
        <v>2500000</v>
      </c>
      <c r="AL9" s="1">
        <f>DF48</f>
        <v>0</v>
      </c>
      <c r="AM9" s="181">
        <f t="shared" ref="AM9:AO9" si="36">DG48</f>
        <v>1</v>
      </c>
      <c r="AN9" s="181">
        <f t="shared" si="36"/>
        <v>0.75</v>
      </c>
      <c r="AO9" s="86">
        <f t="shared" si="36"/>
        <v>9</v>
      </c>
      <c r="AP9" s="1" t="s">
        <v>1323</v>
      </c>
      <c r="AQ9" s="39" t="str">
        <f>CV49&amp;"|"&amp;CW49&amp;"|"&amp;CX49</f>
        <v>1|2|3500000</v>
      </c>
      <c r="AR9" s="190" t="str">
        <f>CZ49&amp;"|"&amp;DA49&amp;"|"&amp;DB49</f>
        <v>1|2|700000</v>
      </c>
      <c r="AS9" s="181">
        <f>DC49</f>
        <v>3850000</v>
      </c>
      <c r="AT9" s="181">
        <f>DE49</f>
        <v>3500000</v>
      </c>
      <c r="AU9" s="1">
        <f>DF49</f>
        <v>0</v>
      </c>
      <c r="AV9" s="181">
        <f t="shared" ref="AV9:AX9" si="37">DG49</f>
        <v>1</v>
      </c>
      <c r="AW9" s="181">
        <f t="shared" si="37"/>
        <v>0.5</v>
      </c>
      <c r="AX9" s="86">
        <f t="shared" si="37"/>
        <v>10</v>
      </c>
      <c r="AY9" s="1" t="s">
        <v>1323</v>
      </c>
      <c r="AZ9" s="39" t="str">
        <f>CV50&amp;"|"&amp;CW50&amp;"|"&amp;CX50</f>
        <v>1|2|4500000</v>
      </c>
      <c r="BA9" s="190" t="str">
        <f>CZ50&amp;"|"&amp;DA50&amp;"|"&amp;DB50</f>
        <v>1|2|900000</v>
      </c>
      <c r="BB9" s="181">
        <f>DC50</f>
        <v>4770000</v>
      </c>
      <c r="BC9" s="181">
        <f>DE50</f>
        <v>4500000</v>
      </c>
      <c r="BD9" s="1">
        <f>DF50</f>
        <v>0</v>
      </c>
      <c r="BE9" s="181">
        <f t="shared" ref="BE9:BG9" si="38">DG50</f>
        <v>1</v>
      </c>
      <c r="BF9" s="181">
        <f t="shared" si="38"/>
        <v>0.3</v>
      </c>
      <c r="BG9" s="86">
        <f t="shared" si="38"/>
        <v>5</v>
      </c>
      <c r="BH9" s="1" t="s">
        <v>1121</v>
      </c>
      <c r="BI9" s="39" t="str">
        <f>CV51&amp;"|"&amp;CW51&amp;"|"&amp;CX51</f>
        <v>2|1204|35000</v>
      </c>
      <c r="BJ9" s="190" t="str">
        <f>CZ51&amp;"|"&amp;DA51&amp;"|"&amp;DB51</f>
        <v>2|1204|7000</v>
      </c>
      <c r="BK9" s="181">
        <f>DC51</f>
        <v>5250000</v>
      </c>
      <c r="BL9" s="181">
        <f>DE51</f>
        <v>5250000</v>
      </c>
      <c r="BM9" s="1">
        <f>DF51</f>
        <v>0</v>
      </c>
      <c r="BN9" s="181">
        <f>DG51</f>
        <v>0</v>
      </c>
      <c r="BO9" s="181">
        <f>DH51</f>
        <v>0</v>
      </c>
      <c r="BP9" s="86">
        <f>DI51</f>
        <v>3</v>
      </c>
      <c r="BQ9" s="1" t="s">
        <v>582</v>
      </c>
      <c r="BR9" s="39" t="str">
        <f>CV52&amp;"|"&amp;CW52&amp;"|"&amp;CX52</f>
        <v>1|1|200</v>
      </c>
      <c r="BS9" s="190" t="str">
        <f>CZ52&amp;"|"&amp;DA52&amp;"|"&amp;DB52</f>
        <v>1|1|40</v>
      </c>
      <c r="BT9" s="181">
        <f>DC52</f>
        <v>4000000</v>
      </c>
      <c r="BU9" s="181">
        <f>DE52</f>
        <v>4000000</v>
      </c>
      <c r="BV9" s="1">
        <f>DF52</f>
        <v>0</v>
      </c>
      <c r="BW9" s="181">
        <f>DG52</f>
        <v>0</v>
      </c>
      <c r="BX9" s="181">
        <f>DH52</f>
        <v>0</v>
      </c>
      <c r="BY9" s="86">
        <f>DI52</f>
        <v>8</v>
      </c>
      <c r="BZ9" s="1" t="s">
        <v>1121</v>
      </c>
      <c r="CA9" s="39" t="str">
        <f>CV53&amp;"|"&amp;CW53&amp;"|"&amp;CX53</f>
        <v>2|1006|3</v>
      </c>
      <c r="CB9" s="190" t="str">
        <f>CZ53&amp;"|"&amp;DA53&amp;"|"&amp;DB53</f>
        <v>2|1006|1</v>
      </c>
      <c r="CC9" s="181">
        <f>DC53</f>
        <v>6000000</v>
      </c>
      <c r="CD9" s="181">
        <f>DE53</f>
        <v>6000000</v>
      </c>
      <c r="CE9" s="1">
        <f>DF53</f>
        <v>0</v>
      </c>
      <c r="CF9" s="181">
        <f>DG53</f>
        <v>0</v>
      </c>
      <c r="CG9" s="181">
        <f>DH53</f>
        <v>0</v>
      </c>
      <c r="CH9" s="86">
        <f>DI53</f>
        <v>6</v>
      </c>
      <c r="CI9" s="1" t="s">
        <v>582</v>
      </c>
      <c r="CJ9" s="39" t="str">
        <f>CV54&amp;"|"&amp;CW54&amp;"|"&amp;CX54</f>
        <v>2|1007|2</v>
      </c>
      <c r="CK9" s="190" t="str">
        <f>CZ54&amp;"|"&amp;DA54&amp;"|"&amp;DB54</f>
        <v>2|1007|1</v>
      </c>
      <c r="CL9" s="181">
        <f>DC54</f>
        <v>10000000</v>
      </c>
      <c r="CM9" s="181">
        <f>DE54</f>
        <v>10000000</v>
      </c>
      <c r="CN9" s="1">
        <v>1</v>
      </c>
      <c r="CO9" s="181">
        <f>DG54</f>
        <v>0</v>
      </c>
      <c r="CP9" s="181">
        <f>DH54</f>
        <v>0</v>
      </c>
      <c r="CQ9" s="86">
        <f>DI54</f>
        <v>1</v>
      </c>
      <c r="CR9" s="59" t="s">
        <v>1780</v>
      </c>
      <c r="CS9" s="6"/>
      <c r="CT9" s="780"/>
      <c r="CU9" s="210" t="s">
        <v>177</v>
      </c>
      <c r="CV9" s="70">
        <f t="shared" si="5"/>
        <v>1</v>
      </c>
      <c r="CW9" s="70">
        <f t="shared" si="6"/>
        <v>2</v>
      </c>
      <c r="CX9" s="211">
        <v>20000</v>
      </c>
      <c r="CY9" s="210" t="str">
        <f t="shared" si="7"/>
        <v>金币</v>
      </c>
      <c r="CZ9" s="212">
        <f t="shared" si="8"/>
        <v>1</v>
      </c>
      <c r="DA9" s="212">
        <f t="shared" si="9"/>
        <v>2</v>
      </c>
      <c r="DB9" s="211">
        <f t="shared" si="10"/>
        <v>4000</v>
      </c>
      <c r="DC9" s="212">
        <f t="shared" si="11"/>
        <v>22000</v>
      </c>
      <c r="DD9" s="212">
        <f t="shared" si="12"/>
        <v>4000</v>
      </c>
      <c r="DE9" s="70">
        <f t="shared" si="13"/>
        <v>20000</v>
      </c>
      <c r="DF9" s="70">
        <v>0</v>
      </c>
      <c r="DG9" s="229">
        <v>0.5</v>
      </c>
      <c r="DH9" s="230">
        <v>0.5</v>
      </c>
      <c r="DI9" s="11">
        <v>9</v>
      </c>
      <c r="DJ9" s="235"/>
      <c r="DN9" s="10" t="s">
        <v>1402</v>
      </c>
      <c r="DO9" s="11">
        <f t="shared" ref="DO9:DO11" si="39">DP9/20</f>
        <v>0.25</v>
      </c>
      <c r="DP9" s="11">
        <v>5</v>
      </c>
      <c r="DQ9" s="11">
        <v>2</v>
      </c>
      <c r="DR9" s="19">
        <v>1002</v>
      </c>
      <c r="DS9" s="239">
        <v>1</v>
      </c>
    </row>
    <row r="10" spans="1:124" x14ac:dyDescent="0.35">
      <c r="A10" s="1">
        <v>6</v>
      </c>
      <c r="B10" s="1" t="s">
        <v>1961</v>
      </c>
      <c r="C10" s="56" t="s">
        <v>1968</v>
      </c>
      <c r="D10" s="99">
        <v>6000000</v>
      </c>
      <c r="E10" s="6">
        <f t="shared" ref="E10:E11" si="40">D11</f>
        <v>12000000</v>
      </c>
      <c r="F10" s="6">
        <v>-1</v>
      </c>
      <c r="G10" s="39" t="str">
        <f>CV55&amp;"|"&amp;CW55&amp;"|"&amp;CX55</f>
        <v>1|2|4500000</v>
      </c>
      <c r="H10" s="190" t="str">
        <f>CZ55&amp;"|"&amp;DA55&amp;"|"&amp;DB55</f>
        <v>1|2|900000</v>
      </c>
      <c r="I10" s="181">
        <f>DC55</f>
        <v>4770000</v>
      </c>
      <c r="J10" s="181">
        <f>DE55</f>
        <v>4500000</v>
      </c>
      <c r="K10" s="1">
        <f>AC64</f>
        <v>0</v>
      </c>
      <c r="L10" s="181">
        <f t="shared" ref="L10:N10" si="41">DG55</f>
        <v>1</v>
      </c>
      <c r="M10" s="181">
        <f t="shared" si="41"/>
        <v>0.3</v>
      </c>
      <c r="N10" s="1">
        <f t="shared" si="41"/>
        <v>4</v>
      </c>
      <c r="O10" s="1" t="s">
        <v>1780</v>
      </c>
      <c r="P10" s="39" t="str">
        <f>CV56&amp;"|"&amp;CW56&amp;"|"&amp;CX56</f>
        <v>1|2|4000000</v>
      </c>
      <c r="Q10" s="190" t="str">
        <f>CZ56&amp;"|"&amp;DA56&amp;"|"&amp;DB56</f>
        <v>1|2|800000</v>
      </c>
      <c r="R10" s="181">
        <f>DC56</f>
        <v>4600000</v>
      </c>
      <c r="S10" s="181">
        <f>DE56</f>
        <v>4000000</v>
      </c>
      <c r="T10" s="1">
        <f>DF56</f>
        <v>0</v>
      </c>
      <c r="U10" s="181">
        <f t="shared" ref="U10:W10" si="42">DG56</f>
        <v>0.5</v>
      </c>
      <c r="V10" s="181">
        <f t="shared" si="42"/>
        <v>0.75</v>
      </c>
      <c r="W10" s="86">
        <f t="shared" si="42"/>
        <v>2</v>
      </c>
      <c r="X10" s="1" t="s">
        <v>1323</v>
      </c>
      <c r="Y10" s="39" t="str">
        <f>CV57&amp;"|"&amp;CW57&amp;"|"&amp;CX57</f>
        <v>1|2|5000000</v>
      </c>
      <c r="Z10" s="181" t="str">
        <f>CZ57&amp;"|"&amp;DA57&amp;"|"&amp;DB57</f>
        <v>1|2|1000000</v>
      </c>
      <c r="AA10" s="181">
        <f>DC57</f>
        <v>5750000</v>
      </c>
      <c r="AB10" s="181">
        <f>DE57</f>
        <v>5000000</v>
      </c>
      <c r="AC10" s="1">
        <f>DF57</f>
        <v>0</v>
      </c>
      <c r="AD10" s="181">
        <f t="shared" ref="AD10:AF10" si="43">DG57</f>
        <v>1</v>
      </c>
      <c r="AE10" s="181">
        <f t="shared" si="43"/>
        <v>0.75</v>
      </c>
      <c r="AF10" s="86">
        <f t="shared" si="43"/>
        <v>7</v>
      </c>
      <c r="AG10" s="1" t="s">
        <v>1323</v>
      </c>
      <c r="AH10" s="39" t="str">
        <f>CV58&amp;"|"&amp;CW58&amp;"|"&amp;CX58</f>
        <v>1|2|6000000</v>
      </c>
      <c r="AI10" s="190" t="str">
        <f>CZ58&amp;"|"&amp;DA58&amp;"|"&amp;DB58</f>
        <v>1|2|1200000</v>
      </c>
      <c r="AJ10" s="181">
        <f>DC58</f>
        <v>6900000</v>
      </c>
      <c r="AK10" s="181">
        <f>DE58</f>
        <v>6000000</v>
      </c>
      <c r="AL10" s="1">
        <f>DF58</f>
        <v>0</v>
      </c>
      <c r="AM10" s="181">
        <f t="shared" ref="AM10:AO10" si="44">DG58</f>
        <v>1</v>
      </c>
      <c r="AN10" s="181">
        <f t="shared" si="44"/>
        <v>0.75</v>
      </c>
      <c r="AO10" s="86">
        <f t="shared" si="44"/>
        <v>9</v>
      </c>
      <c r="AP10" s="59" t="s">
        <v>1969</v>
      </c>
      <c r="AQ10" s="39" t="str">
        <f>CV59&amp;"|"&amp;CW59&amp;"|"&amp;CX59</f>
        <v>1|2|7000000</v>
      </c>
      <c r="AR10" s="190" t="str">
        <f>CZ59&amp;"|"&amp;DA59&amp;"|"&amp;DB59</f>
        <v>1|2|1400000</v>
      </c>
      <c r="AS10" s="181">
        <f>DC59</f>
        <v>7700000</v>
      </c>
      <c r="AT10" s="181">
        <f>DE59</f>
        <v>7000000</v>
      </c>
      <c r="AU10" s="1">
        <f>DF59</f>
        <v>0</v>
      </c>
      <c r="AV10" s="181">
        <f t="shared" ref="AV10:AX10" si="45">DG59</f>
        <v>1</v>
      </c>
      <c r="AW10" s="181">
        <f t="shared" si="45"/>
        <v>0.5</v>
      </c>
      <c r="AX10" s="86">
        <f t="shared" si="45"/>
        <v>10</v>
      </c>
      <c r="AY10" s="59" t="s">
        <v>1969</v>
      </c>
      <c r="AZ10" s="39" t="str">
        <f>CV60&amp;"|"&amp;CW60&amp;"|"&amp;CX60</f>
        <v>1|2|8000000</v>
      </c>
      <c r="BA10" s="190" t="str">
        <f>CZ60&amp;"|"&amp;DA60&amp;"|"&amp;DB60</f>
        <v>1|2|1600000</v>
      </c>
      <c r="BB10" s="181">
        <f>DC60</f>
        <v>8480000</v>
      </c>
      <c r="BC10" s="181">
        <f>DE60</f>
        <v>8000000</v>
      </c>
      <c r="BD10" s="1">
        <f>DF60</f>
        <v>0</v>
      </c>
      <c r="BE10" s="181">
        <f t="shared" ref="BE10:BG10" si="46">DG60</f>
        <v>1</v>
      </c>
      <c r="BF10" s="181">
        <f t="shared" si="46"/>
        <v>0.3</v>
      </c>
      <c r="BG10" s="86">
        <f t="shared" si="46"/>
        <v>8</v>
      </c>
      <c r="BH10" s="59" t="s">
        <v>1969</v>
      </c>
      <c r="BI10" s="39" t="str">
        <f>CV61&amp;"|"&amp;CW61&amp;"|"&amp;CX61</f>
        <v>2|1204|60000</v>
      </c>
      <c r="BJ10" s="190" t="str">
        <f>CZ61&amp;"|"&amp;DA61&amp;"|"&amp;DB61</f>
        <v>2|1204|12000</v>
      </c>
      <c r="BK10" s="181">
        <f>DC61</f>
        <v>9000000</v>
      </c>
      <c r="BL10" s="181">
        <f>DE61</f>
        <v>9000000</v>
      </c>
      <c r="BM10" s="1">
        <f>DF61</f>
        <v>0</v>
      </c>
      <c r="BN10" s="181">
        <f>DG61</f>
        <v>0</v>
      </c>
      <c r="BO10" s="181">
        <f>DH61</f>
        <v>0</v>
      </c>
      <c r="BP10" s="86">
        <f>DI61</f>
        <v>3</v>
      </c>
      <c r="BQ10" s="59" t="s">
        <v>582</v>
      </c>
      <c r="BR10" s="39" t="str">
        <f>CV62&amp;"|"&amp;CW62&amp;"|"&amp;CX62</f>
        <v>1|1|400</v>
      </c>
      <c r="BS10" s="190" t="str">
        <f>CZ62&amp;"|"&amp;DA62&amp;"|"&amp;DB62</f>
        <v>1|1|80</v>
      </c>
      <c r="BT10" s="181">
        <f>DC62</f>
        <v>8000000</v>
      </c>
      <c r="BU10" s="181">
        <f>DE62</f>
        <v>8000000</v>
      </c>
      <c r="BV10" s="1">
        <f>DF62</f>
        <v>0</v>
      </c>
      <c r="BW10" s="181">
        <f>DG62</f>
        <v>0</v>
      </c>
      <c r="BX10" s="181">
        <f>DH62</f>
        <v>0</v>
      </c>
      <c r="BY10" s="86">
        <f>DI62</f>
        <v>5</v>
      </c>
      <c r="BZ10" s="59" t="s">
        <v>582</v>
      </c>
      <c r="CA10" s="39" t="str">
        <f>CV63&amp;"|"&amp;CW63&amp;"|"&amp;CX63</f>
        <v>2|1007|2</v>
      </c>
      <c r="CB10" s="190" t="str">
        <f>CZ63&amp;"|"&amp;DA63&amp;"|"&amp;DB63</f>
        <v>2|1007|1</v>
      </c>
      <c r="CC10" s="181">
        <f>DC63</f>
        <v>10000000</v>
      </c>
      <c r="CD10" s="181">
        <f>DE63</f>
        <v>10000000</v>
      </c>
      <c r="CE10" s="1">
        <f>DF63</f>
        <v>0</v>
      </c>
      <c r="CF10" s="181">
        <f>DG63</f>
        <v>0</v>
      </c>
      <c r="CG10" s="181">
        <f>DH63</f>
        <v>0</v>
      </c>
      <c r="CH10" s="86">
        <f>DI63</f>
        <v>6</v>
      </c>
      <c r="CI10" s="1" t="s">
        <v>582</v>
      </c>
      <c r="CJ10" s="39" t="str">
        <f>CV64&amp;"|"&amp;CW64&amp;"|"&amp;CX64</f>
        <v>2|1008|2</v>
      </c>
      <c r="CK10" s="190" t="str">
        <f>CZ64&amp;"|"&amp;DA64&amp;"|"&amp;DB64</f>
        <v>2|1008|1</v>
      </c>
      <c r="CL10" s="181">
        <f>DC64</f>
        <v>20000000</v>
      </c>
      <c r="CM10" s="181">
        <f>DE64</f>
        <v>20000000</v>
      </c>
      <c r="CN10" s="1">
        <v>1</v>
      </c>
      <c r="CO10" s="181">
        <f>DG64</f>
        <v>0</v>
      </c>
      <c r="CP10" s="181">
        <f>DH64</f>
        <v>0</v>
      </c>
      <c r="CQ10" s="86">
        <f>DI64</f>
        <v>1</v>
      </c>
      <c r="CR10" s="59" t="s">
        <v>1780</v>
      </c>
      <c r="CS10" s="6"/>
      <c r="CT10" s="780"/>
      <c r="CU10" s="210" t="s">
        <v>177</v>
      </c>
      <c r="CV10" s="70">
        <f t="shared" si="5"/>
        <v>1</v>
      </c>
      <c r="CW10" s="70">
        <f t="shared" si="6"/>
        <v>2</v>
      </c>
      <c r="CX10" s="211">
        <v>40000</v>
      </c>
      <c r="CY10" s="210" t="str">
        <f t="shared" si="7"/>
        <v>金币</v>
      </c>
      <c r="CZ10" s="212">
        <f t="shared" si="8"/>
        <v>1</v>
      </c>
      <c r="DA10" s="212">
        <f t="shared" si="9"/>
        <v>2</v>
      </c>
      <c r="DB10" s="211">
        <f t="shared" si="10"/>
        <v>8000</v>
      </c>
      <c r="DC10" s="212">
        <f t="shared" si="11"/>
        <v>42400</v>
      </c>
      <c r="DD10" s="212">
        <f t="shared" si="12"/>
        <v>8000</v>
      </c>
      <c r="DE10" s="70">
        <f t="shared" si="13"/>
        <v>40000</v>
      </c>
      <c r="DF10" s="70">
        <v>0</v>
      </c>
      <c r="DG10" s="229">
        <v>1</v>
      </c>
      <c r="DH10" s="230">
        <v>0.3</v>
      </c>
      <c r="DI10" s="11">
        <v>10</v>
      </c>
      <c r="DJ10" s="235"/>
      <c r="DN10" s="10" t="s">
        <v>1406</v>
      </c>
      <c r="DO10" s="11">
        <f t="shared" si="39"/>
        <v>0.5</v>
      </c>
      <c r="DP10" s="11">
        <v>10</v>
      </c>
      <c r="DQ10" s="11">
        <v>2</v>
      </c>
      <c r="DR10" s="19">
        <v>1003</v>
      </c>
      <c r="DS10" s="239">
        <v>1</v>
      </c>
    </row>
    <row r="11" spans="1:124" ht="16.5" customHeight="1" x14ac:dyDescent="0.35">
      <c r="A11" s="1">
        <v>7</v>
      </c>
      <c r="B11" s="1" t="s">
        <v>1970</v>
      </c>
      <c r="C11" s="56" t="s">
        <v>1971</v>
      </c>
      <c r="D11" s="99">
        <v>12000000</v>
      </c>
      <c r="E11" s="6">
        <f t="shared" si="40"/>
        <v>24000000</v>
      </c>
      <c r="F11" s="6">
        <v>-1</v>
      </c>
      <c r="G11" s="39" t="str">
        <f>CV65&amp;"|"&amp;CW65&amp;"|"&amp;CX65</f>
        <v>2|1008|4</v>
      </c>
      <c r="H11" s="190" t="str">
        <f>CZ65&amp;"|"&amp;DA65&amp;"|"&amp;DB65</f>
        <v>2|1008|1</v>
      </c>
      <c r="I11" s="181">
        <f>DC65</f>
        <v>43000000</v>
      </c>
      <c r="J11" s="181">
        <f>DE65</f>
        <v>40000000</v>
      </c>
      <c r="K11" s="1">
        <v>1</v>
      </c>
      <c r="L11" s="181">
        <f>DG65</f>
        <v>1</v>
      </c>
      <c r="M11" s="181">
        <f>DH65</f>
        <v>0.3</v>
      </c>
      <c r="N11" s="1">
        <f>DI65</f>
        <v>1</v>
      </c>
      <c r="O11" s="1" t="s">
        <v>1780</v>
      </c>
      <c r="P11" s="39" t="str">
        <f>CV66&amp;"|"&amp;CW66&amp;"|"&amp;CX66</f>
        <v>1|2|8000000</v>
      </c>
      <c r="Q11" s="190" t="str">
        <f>CZ66&amp;"|"&amp;DA66&amp;"|"&amp;DB66</f>
        <v>1|2|1600000</v>
      </c>
      <c r="R11" s="181">
        <f>DC66</f>
        <v>9200000</v>
      </c>
      <c r="S11" s="181">
        <f>DE66</f>
        <v>8000000</v>
      </c>
      <c r="T11" s="1">
        <f>DF66</f>
        <v>0</v>
      </c>
      <c r="U11" s="181">
        <f>DG66</f>
        <v>0.5</v>
      </c>
      <c r="V11" s="181">
        <f>DH66</f>
        <v>0.75</v>
      </c>
      <c r="W11" s="86">
        <f>DI66</f>
        <v>2</v>
      </c>
      <c r="X11" s="59" t="s">
        <v>582</v>
      </c>
      <c r="Y11" s="39" t="str">
        <f>CV67&amp;"|"&amp;CW67&amp;"|"&amp;CX67</f>
        <v>1|2|10000000</v>
      </c>
      <c r="Z11" s="181" t="str">
        <f>CZ67&amp;"|"&amp;DA67&amp;"|"&amp;DB67</f>
        <v>1|2|2000000</v>
      </c>
      <c r="AA11" s="181">
        <f>DC67</f>
        <v>11500000</v>
      </c>
      <c r="AB11" s="181">
        <f>DE67</f>
        <v>10000000</v>
      </c>
      <c r="AC11" s="1">
        <f>DF67</f>
        <v>0</v>
      </c>
      <c r="AD11" s="181">
        <f>DG67</f>
        <v>1</v>
      </c>
      <c r="AE11" s="181">
        <f>DH67</f>
        <v>0.75</v>
      </c>
      <c r="AF11" s="86">
        <f>DI67</f>
        <v>4</v>
      </c>
      <c r="AG11" s="59" t="s">
        <v>582</v>
      </c>
      <c r="AH11" s="39" t="str">
        <f>CV68&amp;"|"&amp;CW68&amp;"|"&amp;CX68</f>
        <v>1|2|12000000</v>
      </c>
      <c r="AI11" s="190" t="str">
        <f>CZ68&amp;"|"&amp;DA68&amp;"|"&amp;DB68</f>
        <v>1|2|2400000</v>
      </c>
      <c r="AJ11" s="181">
        <f>DC68</f>
        <v>13800000</v>
      </c>
      <c r="AK11" s="181">
        <f>DE68</f>
        <v>12000000</v>
      </c>
      <c r="AL11" s="1">
        <f>DF68</f>
        <v>0</v>
      </c>
      <c r="AM11" s="181">
        <f>DG68</f>
        <v>1</v>
      </c>
      <c r="AN11" s="181">
        <f>DH68</f>
        <v>0.75</v>
      </c>
      <c r="AO11" s="86">
        <f>DI68</f>
        <v>7</v>
      </c>
      <c r="AP11" s="59" t="s">
        <v>582</v>
      </c>
      <c r="AQ11" s="39" t="str">
        <f>CV69&amp;"|"&amp;CW69&amp;"|"&amp;CX69</f>
        <v>1|2|14000000</v>
      </c>
      <c r="AR11" s="190" t="str">
        <f>CZ69&amp;"|"&amp;DA69&amp;"|"&amp;DB69</f>
        <v>1|2|2800000</v>
      </c>
      <c r="AS11" s="181">
        <f>DC69</f>
        <v>15400000</v>
      </c>
      <c r="AT11" s="181">
        <f>DE69</f>
        <v>14000000</v>
      </c>
      <c r="AU11" s="1">
        <f>DF69</f>
        <v>0</v>
      </c>
      <c r="AV11" s="181">
        <f>DG69</f>
        <v>1</v>
      </c>
      <c r="AW11" s="181">
        <f>DH69</f>
        <v>0.5</v>
      </c>
      <c r="AX11" s="86">
        <f>DI69</f>
        <v>9</v>
      </c>
      <c r="AY11" s="59" t="s">
        <v>582</v>
      </c>
      <c r="AZ11" s="39" t="str">
        <f>CV70&amp;"|"&amp;CW70&amp;"|"&amp;CX70</f>
        <v>1|2|16000000</v>
      </c>
      <c r="BA11" s="190" t="str">
        <f>CZ70&amp;"|"&amp;DA70&amp;"|"&amp;DB70</f>
        <v>1|2|3200000</v>
      </c>
      <c r="BB11" s="181">
        <f>DC70</f>
        <v>16960000</v>
      </c>
      <c r="BC11" s="181">
        <f>DE70</f>
        <v>16000000</v>
      </c>
      <c r="BD11" s="1">
        <f>DF70</f>
        <v>0</v>
      </c>
      <c r="BE11" s="181">
        <f>DG70</f>
        <v>1</v>
      </c>
      <c r="BF11" s="181">
        <f>DH70</f>
        <v>0.3</v>
      </c>
      <c r="BG11" s="86">
        <f>DI70</f>
        <v>10</v>
      </c>
      <c r="BH11" s="59" t="s">
        <v>1780</v>
      </c>
      <c r="BI11" s="39" t="str">
        <f>CV71&amp;"|"&amp;CW71&amp;"|"&amp;CX71</f>
        <v>1|2|18000000</v>
      </c>
      <c r="BJ11" s="190" t="str">
        <f>CZ71&amp;"|"&amp;DA71&amp;"|"&amp;DB71</f>
        <v>1|2|3600000</v>
      </c>
      <c r="BK11" s="181">
        <f>DC71</f>
        <v>18000000</v>
      </c>
      <c r="BL11" s="181">
        <f>DE71</f>
        <v>18000000</v>
      </c>
      <c r="BM11" s="1">
        <f>DF71</f>
        <v>0</v>
      </c>
      <c r="BN11" s="181">
        <f>DG71</f>
        <v>0</v>
      </c>
      <c r="BO11" s="181">
        <f>DH71</f>
        <v>0</v>
      </c>
      <c r="BP11" s="86">
        <f>DI71</f>
        <v>8</v>
      </c>
      <c r="BQ11" s="59" t="s">
        <v>1780</v>
      </c>
      <c r="BR11" s="39" t="str">
        <f>CV72&amp;"|"&amp;CW72&amp;"|"&amp;CX72</f>
        <v>1|2|20000000</v>
      </c>
      <c r="BS11" s="190" t="str">
        <f>CZ72&amp;"|"&amp;DA72&amp;"|"&amp;DB72</f>
        <v>1|2|4000000</v>
      </c>
      <c r="BT11" s="181">
        <f>DC72</f>
        <v>20000000</v>
      </c>
      <c r="BU11" s="181">
        <f>DE72</f>
        <v>20000000</v>
      </c>
      <c r="BV11" s="1">
        <f>DF72</f>
        <v>0</v>
      </c>
      <c r="BW11" s="181">
        <f>DG72</f>
        <v>0</v>
      </c>
      <c r="BX11" s="181">
        <f>DH72</f>
        <v>0</v>
      </c>
      <c r="BY11" s="86">
        <f>DI72</f>
        <v>5</v>
      </c>
      <c r="BZ11" s="59" t="s">
        <v>1780</v>
      </c>
      <c r="CA11" s="39" t="str">
        <f>CV73&amp;"|"&amp;CW73&amp;"|"&amp;CX73</f>
        <v>2|1007|4</v>
      </c>
      <c r="CB11" s="190" t="str">
        <f>CZ73&amp;"|"&amp;DA73&amp;"|"&amp;DB73</f>
        <v>2|1007|1</v>
      </c>
      <c r="CC11" s="181">
        <f>DC73</f>
        <v>20000000</v>
      </c>
      <c r="CD11" s="181">
        <f>DE73</f>
        <v>20000000</v>
      </c>
      <c r="CE11" s="1">
        <f>DF73</f>
        <v>0</v>
      </c>
      <c r="CF11" s="181">
        <f>DG73</f>
        <v>0</v>
      </c>
      <c r="CG11" s="181">
        <f>DH73</f>
        <v>0</v>
      </c>
      <c r="CH11" s="86">
        <f>DI73</f>
        <v>3</v>
      </c>
      <c r="CI11" s="1" t="s">
        <v>1780</v>
      </c>
      <c r="CJ11" s="39" t="str">
        <f>CV74&amp;"|"&amp;CW74&amp;"|"&amp;CX74</f>
        <v>2|1008|3</v>
      </c>
      <c r="CK11" s="190" t="str">
        <f>CZ74&amp;"|"&amp;DA74&amp;"|"&amp;DB74</f>
        <v>2|1008|1</v>
      </c>
      <c r="CL11" s="181">
        <f>DC74</f>
        <v>30000000</v>
      </c>
      <c r="CM11" s="181">
        <f>DE74</f>
        <v>30000000</v>
      </c>
      <c r="CN11" s="1">
        <v>0</v>
      </c>
      <c r="CO11" s="181">
        <f>DG74</f>
        <v>0</v>
      </c>
      <c r="CP11" s="181">
        <f>DH74</f>
        <v>0</v>
      </c>
      <c r="CQ11" s="86">
        <f>DI74</f>
        <v>6</v>
      </c>
      <c r="CR11" s="59" t="s">
        <v>1780</v>
      </c>
      <c r="CS11" s="6"/>
      <c r="CT11" s="780"/>
      <c r="CU11" s="210" t="s">
        <v>177</v>
      </c>
      <c r="CV11" s="70">
        <f t="shared" si="5"/>
        <v>1</v>
      </c>
      <c r="CW11" s="70">
        <f t="shared" si="6"/>
        <v>2</v>
      </c>
      <c r="CX11" s="211">
        <v>60000</v>
      </c>
      <c r="CY11" s="210" t="str">
        <f t="shared" si="7"/>
        <v>金币</v>
      </c>
      <c r="CZ11" s="212">
        <f t="shared" si="8"/>
        <v>1</v>
      </c>
      <c r="DA11" s="212">
        <f t="shared" si="9"/>
        <v>2</v>
      </c>
      <c r="DB11" s="211">
        <v>250</v>
      </c>
      <c r="DC11" s="212">
        <f t="shared" si="11"/>
        <v>60000</v>
      </c>
      <c r="DD11" s="212">
        <f t="shared" si="12"/>
        <v>250</v>
      </c>
      <c r="DE11" s="70">
        <f t="shared" si="13"/>
        <v>60000</v>
      </c>
      <c r="DF11" s="70">
        <v>0</v>
      </c>
      <c r="DG11" s="11"/>
      <c r="DH11" s="11"/>
      <c r="DI11" s="11">
        <v>8</v>
      </c>
      <c r="DJ11" s="235"/>
      <c r="DN11" s="10" t="s">
        <v>1405</v>
      </c>
      <c r="DO11" s="11">
        <f t="shared" si="39"/>
        <v>0.1</v>
      </c>
      <c r="DP11" s="11">
        <v>2</v>
      </c>
      <c r="DQ11" s="11">
        <v>2</v>
      </c>
      <c r="DR11" s="19">
        <v>1004</v>
      </c>
      <c r="DS11" s="239">
        <v>1</v>
      </c>
    </row>
    <row r="12" spans="1:124" ht="16.5" customHeight="1" x14ac:dyDescent="0.35">
      <c r="A12" s="1">
        <v>8</v>
      </c>
      <c r="B12" s="1" t="s">
        <v>1972</v>
      </c>
      <c r="C12" s="56" t="s">
        <v>1973</v>
      </c>
      <c r="D12" s="99">
        <v>24000000</v>
      </c>
      <c r="E12" s="6">
        <v>999999999</v>
      </c>
      <c r="F12" s="6">
        <v>-1</v>
      </c>
      <c r="G12" s="39" t="str">
        <f>CV75&amp;"|"&amp;CW75&amp;"|"&amp;CX75</f>
        <v>2|1008|6</v>
      </c>
      <c r="H12" s="190" t="str">
        <f>CZ75&amp;"|"&amp;DA75&amp;"|"&amp;DB75</f>
        <v>2|1008|2</v>
      </c>
      <c r="I12" s="181">
        <f>DC75</f>
        <v>66000000</v>
      </c>
      <c r="J12" s="181">
        <f>DE75</f>
        <v>60000000</v>
      </c>
      <c r="K12" s="1">
        <v>1</v>
      </c>
      <c r="L12" s="181">
        <f>DG75</f>
        <v>1</v>
      </c>
      <c r="M12" s="181">
        <f>DH75</f>
        <v>0.3</v>
      </c>
      <c r="N12" s="1">
        <f>DI75</f>
        <v>1</v>
      </c>
      <c r="O12" s="1" t="s">
        <v>1780</v>
      </c>
      <c r="P12" s="39" t="str">
        <f>CV76&amp;"|"&amp;CW76&amp;"|"&amp;CX76</f>
        <v>1|2|20000000</v>
      </c>
      <c r="Q12" s="190" t="str">
        <f>CZ76&amp;"|"&amp;DA76&amp;"|"&amp;DB76</f>
        <v>1|2|4000000</v>
      </c>
      <c r="R12" s="181">
        <f>DC76</f>
        <v>23000000</v>
      </c>
      <c r="S12" s="181">
        <f>DE76</f>
        <v>20000000</v>
      </c>
      <c r="T12" s="1">
        <f>DF76</f>
        <v>0</v>
      </c>
      <c r="U12" s="181">
        <f>DG76</f>
        <v>0.5</v>
      </c>
      <c r="V12" s="181">
        <f>DH76</f>
        <v>0.75</v>
      </c>
      <c r="W12" s="86">
        <f>DI76</f>
        <v>9</v>
      </c>
      <c r="X12" s="59" t="s">
        <v>1780</v>
      </c>
      <c r="Y12" s="39" t="str">
        <f>CV77&amp;"|"&amp;CW77&amp;"|"&amp;CX77</f>
        <v>1|2|25000000</v>
      </c>
      <c r="Z12" s="181" t="str">
        <f>CZ77&amp;"|"&amp;DA77&amp;"|"&amp;DB77</f>
        <v>1|2|5000000</v>
      </c>
      <c r="AA12" s="181">
        <f>DC77</f>
        <v>28750000</v>
      </c>
      <c r="AB12" s="181">
        <f>DE77</f>
        <v>25000000</v>
      </c>
      <c r="AC12" s="1">
        <f>DF77</f>
        <v>0</v>
      </c>
      <c r="AD12" s="181">
        <f>DG77</f>
        <v>1</v>
      </c>
      <c r="AE12" s="181">
        <f>DH77</f>
        <v>0.75</v>
      </c>
      <c r="AF12" s="86">
        <f>DI77</f>
        <v>7</v>
      </c>
      <c r="AG12" s="59" t="s">
        <v>1780</v>
      </c>
      <c r="AH12" s="39" t="str">
        <f>CV78&amp;"|"&amp;CW78&amp;"|"&amp;CX78</f>
        <v>1|2|30000000</v>
      </c>
      <c r="AI12" s="190" t="str">
        <f>CZ78&amp;"|"&amp;DA78&amp;"|"&amp;DB78</f>
        <v>1|2|6000000</v>
      </c>
      <c r="AJ12" s="181">
        <f>DC78</f>
        <v>34500000</v>
      </c>
      <c r="AK12" s="181">
        <f>DE78</f>
        <v>30000000</v>
      </c>
      <c r="AL12" s="1">
        <f>DF78</f>
        <v>0</v>
      </c>
      <c r="AM12" s="181">
        <f>DG78</f>
        <v>1</v>
      </c>
      <c r="AN12" s="181">
        <f>DH78</f>
        <v>0.75</v>
      </c>
      <c r="AO12" s="86">
        <f>DI78</f>
        <v>4</v>
      </c>
      <c r="AP12" s="59" t="s">
        <v>1780</v>
      </c>
      <c r="AQ12" s="39" t="str">
        <f>CV79&amp;"|"&amp;CW79&amp;"|"&amp;CX79</f>
        <v>1|2|35000000</v>
      </c>
      <c r="AR12" s="190" t="str">
        <f>CZ79&amp;"|"&amp;DA79&amp;"|"&amp;DB79</f>
        <v>1|2|7000000</v>
      </c>
      <c r="AS12" s="181">
        <f>DC79</f>
        <v>38500000</v>
      </c>
      <c r="AT12" s="181">
        <f>DE79</f>
        <v>35000000</v>
      </c>
      <c r="AU12" s="1">
        <f>DF79</f>
        <v>0</v>
      </c>
      <c r="AV12" s="181">
        <f>DG79</f>
        <v>1</v>
      </c>
      <c r="AW12" s="181">
        <f>DH79</f>
        <v>0.5</v>
      </c>
      <c r="AX12" s="86">
        <f>DI79</f>
        <v>2</v>
      </c>
      <c r="AY12" s="59" t="s">
        <v>1780</v>
      </c>
      <c r="AZ12" s="39" t="str">
        <f>CV80&amp;"|"&amp;CW80&amp;"|"&amp;CX80</f>
        <v>1|2|40000000</v>
      </c>
      <c r="BA12" s="190" t="str">
        <f>CZ80&amp;"|"&amp;DA80&amp;"|"&amp;DB80</f>
        <v>1|2|8000000</v>
      </c>
      <c r="BB12" s="181">
        <f>DC80</f>
        <v>42400000</v>
      </c>
      <c r="BC12" s="181">
        <f>DE80</f>
        <v>40000000</v>
      </c>
      <c r="BD12" s="1">
        <f>DF80</f>
        <v>0</v>
      </c>
      <c r="BE12" s="181">
        <f>DG80</f>
        <v>1</v>
      </c>
      <c r="BF12" s="181">
        <f>DH80</f>
        <v>0.3</v>
      </c>
      <c r="BG12" s="86">
        <f>DI80</f>
        <v>10</v>
      </c>
      <c r="BH12" s="59" t="s">
        <v>1780</v>
      </c>
      <c r="BI12" s="39" t="str">
        <f>CV81&amp;"|"&amp;CW81&amp;"|"&amp;CX81</f>
        <v>1|2|45000000</v>
      </c>
      <c r="BJ12" s="190" t="str">
        <f>CZ81&amp;"|"&amp;DA81&amp;"|"&amp;DB81</f>
        <v>1|2|9000000</v>
      </c>
      <c r="BK12" s="181">
        <f>DC81</f>
        <v>45000000</v>
      </c>
      <c r="BL12" s="181">
        <f>DE81</f>
        <v>45000000</v>
      </c>
      <c r="BM12" s="1">
        <f>DF81</f>
        <v>0</v>
      </c>
      <c r="BN12" s="181">
        <f>DG81</f>
        <v>0</v>
      </c>
      <c r="BO12" s="181">
        <f>DH81</f>
        <v>0</v>
      </c>
      <c r="BP12" s="86">
        <f>DI81</f>
        <v>8</v>
      </c>
      <c r="BQ12" s="59" t="s">
        <v>1780</v>
      </c>
      <c r="BR12" s="39" t="str">
        <f>CV82&amp;"|"&amp;CW82&amp;"|"&amp;CX82</f>
        <v>2|1007|7</v>
      </c>
      <c r="BS12" s="190" t="str">
        <f>CZ82&amp;"|"&amp;DA82&amp;"|"&amp;DB82</f>
        <v>2|1007|2</v>
      </c>
      <c r="BT12" s="181">
        <f>DC82</f>
        <v>35000000</v>
      </c>
      <c r="BU12" s="181">
        <f>DE82</f>
        <v>35000000</v>
      </c>
      <c r="BV12" s="1">
        <f>DF82</f>
        <v>0</v>
      </c>
      <c r="BW12" s="181">
        <f>DG82</f>
        <v>0</v>
      </c>
      <c r="BX12" s="181">
        <f>DH82</f>
        <v>0</v>
      </c>
      <c r="BY12" s="86">
        <f>DI82</f>
        <v>5</v>
      </c>
      <c r="BZ12" s="59" t="s">
        <v>1780</v>
      </c>
      <c r="CA12" s="39" t="str">
        <f>CV83&amp;"|"&amp;CW83&amp;"|"&amp;CX83</f>
        <v>2|1007|8</v>
      </c>
      <c r="CB12" s="190" t="str">
        <f>CZ83&amp;"|"&amp;DA83&amp;"|"&amp;DB83</f>
        <v>2|1007|2</v>
      </c>
      <c r="CC12" s="181">
        <f>DC83</f>
        <v>40000000</v>
      </c>
      <c r="CD12" s="181">
        <f>DE83</f>
        <v>40000000</v>
      </c>
      <c r="CE12" s="1">
        <f>DF83</f>
        <v>0</v>
      </c>
      <c r="CF12" s="181">
        <f>DG83</f>
        <v>0</v>
      </c>
      <c r="CG12" s="181">
        <f>DH83</f>
        <v>0</v>
      </c>
      <c r="CH12" s="86">
        <f>DI83</f>
        <v>3</v>
      </c>
      <c r="CI12" s="1" t="s">
        <v>1780</v>
      </c>
      <c r="CJ12" s="39" t="str">
        <f>CV84&amp;"|"&amp;CW84&amp;"|"&amp;CX84</f>
        <v>2|1008|5</v>
      </c>
      <c r="CK12" s="190" t="str">
        <f>CZ84&amp;"|"&amp;DA84&amp;"|"&amp;DB84</f>
        <v>2|1008|1</v>
      </c>
      <c r="CL12" s="181">
        <f>DC84</f>
        <v>50000000</v>
      </c>
      <c r="CM12" s="181">
        <f>DE84</f>
        <v>50000000</v>
      </c>
      <c r="CN12" s="1">
        <v>0</v>
      </c>
      <c r="CO12" s="181">
        <f>DG84</f>
        <v>0</v>
      </c>
      <c r="CP12" s="181">
        <f>DH84</f>
        <v>0</v>
      </c>
      <c r="CQ12" s="86">
        <f>DI84</f>
        <v>6</v>
      </c>
      <c r="CR12" s="59" t="s">
        <v>1780</v>
      </c>
      <c r="CS12" s="6"/>
      <c r="CT12" s="780"/>
      <c r="CU12" s="210" t="s">
        <v>177</v>
      </c>
      <c r="CV12" s="70">
        <f t="shared" si="5"/>
        <v>1</v>
      </c>
      <c r="CW12" s="70">
        <f t="shared" si="6"/>
        <v>2</v>
      </c>
      <c r="CX12" s="211">
        <v>80000</v>
      </c>
      <c r="CY12" s="210" t="str">
        <f t="shared" si="7"/>
        <v>金币</v>
      </c>
      <c r="CZ12" s="212">
        <f t="shared" si="8"/>
        <v>1</v>
      </c>
      <c r="DA12" s="212">
        <f t="shared" si="9"/>
        <v>2</v>
      </c>
      <c r="DB12" s="211">
        <v>260</v>
      </c>
      <c r="DC12" s="212">
        <f t="shared" si="11"/>
        <v>80000</v>
      </c>
      <c r="DD12" s="212">
        <f t="shared" si="12"/>
        <v>260</v>
      </c>
      <c r="DE12" s="70">
        <f t="shared" si="13"/>
        <v>80000</v>
      </c>
      <c r="DF12" s="70">
        <v>0</v>
      </c>
      <c r="DG12" s="11"/>
      <c r="DH12" s="11"/>
      <c r="DI12" s="11">
        <v>5</v>
      </c>
      <c r="DJ12" s="235"/>
      <c r="DM12"/>
      <c r="DN12" s="10" t="s">
        <v>1372</v>
      </c>
      <c r="DO12" s="11">
        <f>DO7*150</f>
        <v>7.5000000000000002E-4</v>
      </c>
      <c r="DP12" s="11">
        <f>DP7*150</f>
        <v>1.5000000000000001E-2</v>
      </c>
      <c r="DQ12" s="11">
        <v>2</v>
      </c>
      <c r="DR12" s="19">
        <v>1204</v>
      </c>
      <c r="DS12" s="239">
        <v>1</v>
      </c>
      <c r="DT12" s="11">
        <f>DP7*5000</f>
        <v>0.5</v>
      </c>
    </row>
    <row r="13" spans="1:124" ht="16.5" customHeight="1" x14ac:dyDescent="0.25">
      <c r="CS13" s="6"/>
      <c r="CT13" s="780"/>
      <c r="CU13" s="210" t="s">
        <v>177</v>
      </c>
      <c r="CV13" s="70">
        <f t="shared" si="5"/>
        <v>1</v>
      </c>
      <c r="CW13" s="70">
        <f t="shared" si="6"/>
        <v>2</v>
      </c>
      <c r="CX13" s="211">
        <v>100000</v>
      </c>
      <c r="CY13" s="210" t="str">
        <f t="shared" si="7"/>
        <v>金币</v>
      </c>
      <c r="CZ13" s="212">
        <f t="shared" si="8"/>
        <v>1</v>
      </c>
      <c r="DA13" s="212">
        <f t="shared" si="9"/>
        <v>2</v>
      </c>
      <c r="DB13" s="211">
        <v>270</v>
      </c>
      <c r="DC13" s="212">
        <f t="shared" si="11"/>
        <v>100000</v>
      </c>
      <c r="DD13" s="212">
        <f t="shared" si="12"/>
        <v>270</v>
      </c>
      <c r="DE13" s="70">
        <f t="shared" si="13"/>
        <v>100000</v>
      </c>
      <c r="DF13" s="70">
        <v>0</v>
      </c>
      <c r="DG13" s="11"/>
      <c r="DH13" s="11"/>
      <c r="DI13" s="11">
        <v>3</v>
      </c>
      <c r="DJ13" s="235"/>
      <c r="DN13" s="10" t="s">
        <v>1974</v>
      </c>
      <c r="DO13" s="11">
        <f>DP13/20</f>
        <v>5</v>
      </c>
      <c r="DP13" s="11">
        <f>DP7*1000000</f>
        <v>100</v>
      </c>
      <c r="DQ13" s="11">
        <v>2</v>
      </c>
      <c r="DR13" s="19">
        <v>1005</v>
      </c>
      <c r="DS13" s="239">
        <v>1</v>
      </c>
    </row>
    <row r="14" spans="1:124" ht="16.5" customHeight="1" x14ac:dyDescent="0.25">
      <c r="CS14" s="6">
        <f>100000/5*6</f>
        <v>120000</v>
      </c>
      <c r="CT14" s="781"/>
      <c r="CU14" s="213" t="s">
        <v>1372</v>
      </c>
      <c r="CV14" s="214">
        <f t="shared" si="5"/>
        <v>2</v>
      </c>
      <c r="CW14" s="214">
        <f t="shared" si="6"/>
        <v>1204</v>
      </c>
      <c r="CX14" s="211">
        <v>1000</v>
      </c>
      <c r="CY14" s="213" t="str">
        <f t="shared" si="7"/>
        <v>福卡</v>
      </c>
      <c r="CZ14" s="215">
        <f t="shared" si="8"/>
        <v>2</v>
      </c>
      <c r="DA14" s="215">
        <f t="shared" si="9"/>
        <v>1204</v>
      </c>
      <c r="DB14" s="211">
        <v>280</v>
      </c>
      <c r="DC14" s="215">
        <f t="shared" si="11"/>
        <v>150000</v>
      </c>
      <c r="DD14" s="215">
        <f t="shared" si="12"/>
        <v>42000</v>
      </c>
      <c r="DE14" s="214">
        <f t="shared" si="13"/>
        <v>150000</v>
      </c>
      <c r="DF14" s="214">
        <v>0</v>
      </c>
      <c r="DG14" s="147"/>
      <c r="DH14" s="147"/>
      <c r="DI14" s="147">
        <v>1</v>
      </c>
      <c r="DJ14" s="236"/>
      <c r="DN14" s="10" t="s">
        <v>1371</v>
      </c>
      <c r="DO14" s="11">
        <f t="shared" ref="DO14:DO16" si="47">DP14/20</f>
        <v>10</v>
      </c>
      <c r="DP14" s="11">
        <f>DP7*2000000</f>
        <v>200</v>
      </c>
      <c r="DQ14" s="11">
        <v>2</v>
      </c>
      <c r="DR14" s="19">
        <v>1006</v>
      </c>
      <c r="DS14" s="239">
        <v>1</v>
      </c>
    </row>
    <row r="15" spans="1:124" ht="16.5" customHeight="1" x14ac:dyDescent="0.25">
      <c r="CS15" s="6"/>
      <c r="CT15" s="779" t="str">
        <f>"抽奖
第2档
"&amp;D6&amp;"~
"&amp;E6</f>
        <v>抽奖
第2档
100000~
500000</v>
      </c>
      <c r="CU15" s="206" t="s">
        <v>177</v>
      </c>
      <c r="CV15" s="207">
        <f t="shared" si="5"/>
        <v>1</v>
      </c>
      <c r="CW15" s="207">
        <f t="shared" si="6"/>
        <v>2</v>
      </c>
      <c r="CX15" s="208">
        <v>250000</v>
      </c>
      <c r="CY15" s="206" t="str">
        <f t="shared" si="7"/>
        <v>金币</v>
      </c>
      <c r="CZ15" s="209">
        <f t="shared" si="8"/>
        <v>1</v>
      </c>
      <c r="DA15" s="209">
        <f t="shared" si="9"/>
        <v>2</v>
      </c>
      <c r="DB15" s="208">
        <f t="shared" ref="DB15:DB28" si="48">ROUNDUP(CX15/5,0)</f>
        <v>50000</v>
      </c>
      <c r="DC15" s="209">
        <f t="shared" si="11"/>
        <v>265000</v>
      </c>
      <c r="DD15" s="209">
        <f t="shared" si="12"/>
        <v>50000</v>
      </c>
      <c r="DE15" s="231">
        <f t="shared" si="13"/>
        <v>250000</v>
      </c>
      <c r="DF15" s="207">
        <v>1</v>
      </c>
      <c r="DG15" s="228">
        <v>1</v>
      </c>
      <c r="DH15" s="228">
        <v>0.3</v>
      </c>
      <c r="DI15" s="139">
        <v>8</v>
      </c>
      <c r="DJ15" s="234"/>
      <c r="DN15" s="10" t="s">
        <v>1381</v>
      </c>
      <c r="DO15" s="11">
        <f t="shared" si="47"/>
        <v>25</v>
      </c>
      <c r="DP15" s="11">
        <f>DP7*5000000</f>
        <v>500</v>
      </c>
      <c r="DQ15" s="11">
        <v>2</v>
      </c>
      <c r="DR15" s="19">
        <v>1007</v>
      </c>
      <c r="DS15" s="239">
        <v>1</v>
      </c>
    </row>
    <row r="16" spans="1:124" x14ac:dyDescent="0.25">
      <c r="CS16" s="6"/>
      <c r="CT16" s="780"/>
      <c r="CU16" s="210" t="s">
        <v>1406</v>
      </c>
      <c r="CV16" s="70">
        <f t="shared" si="5"/>
        <v>2</v>
      </c>
      <c r="CW16" s="70">
        <f t="shared" si="6"/>
        <v>1003</v>
      </c>
      <c r="CX16" s="211">
        <v>2</v>
      </c>
      <c r="CY16" s="210" t="str">
        <f t="shared" si="7"/>
        <v>狂暴</v>
      </c>
      <c r="CZ16" s="212">
        <f t="shared" si="8"/>
        <v>2</v>
      </c>
      <c r="DA16" s="212">
        <f t="shared" si="9"/>
        <v>1003</v>
      </c>
      <c r="DB16" s="211">
        <f t="shared" si="48"/>
        <v>1</v>
      </c>
      <c r="DC16" s="212">
        <f t="shared" si="11"/>
        <v>275000</v>
      </c>
      <c r="DD16" s="212">
        <f t="shared" si="12"/>
        <v>100000</v>
      </c>
      <c r="DE16" s="70">
        <f t="shared" si="13"/>
        <v>200000</v>
      </c>
      <c r="DF16" s="70">
        <v>0</v>
      </c>
      <c r="DG16" s="229">
        <v>0.5</v>
      </c>
      <c r="DH16" s="229">
        <v>0.75</v>
      </c>
      <c r="DI16" s="11">
        <v>10</v>
      </c>
      <c r="DJ16" s="235"/>
      <c r="DN16" s="10" t="s">
        <v>1370</v>
      </c>
      <c r="DO16" s="11">
        <f t="shared" si="47"/>
        <v>50</v>
      </c>
      <c r="DP16" s="11">
        <f>DP7*10000000</f>
        <v>1000</v>
      </c>
      <c r="DQ16" s="11">
        <v>2</v>
      </c>
      <c r="DR16" s="19">
        <v>1008</v>
      </c>
      <c r="DS16" s="239">
        <v>1</v>
      </c>
    </row>
    <row r="17" spans="97:130" ht="16.5" customHeight="1" x14ac:dyDescent="0.25">
      <c r="CS17" s="6"/>
      <c r="CT17" s="780"/>
      <c r="CU17" s="210" t="s">
        <v>177</v>
      </c>
      <c r="CV17" s="70">
        <f t="shared" si="5"/>
        <v>1</v>
      </c>
      <c r="CW17" s="70">
        <f t="shared" si="6"/>
        <v>2</v>
      </c>
      <c r="CX17" s="211">
        <v>60000</v>
      </c>
      <c r="CY17" s="210" t="str">
        <f t="shared" si="7"/>
        <v>金币</v>
      </c>
      <c r="CZ17" s="212">
        <f t="shared" si="8"/>
        <v>1</v>
      </c>
      <c r="DA17" s="212">
        <f t="shared" si="9"/>
        <v>2</v>
      </c>
      <c r="DB17" s="211">
        <f t="shared" si="48"/>
        <v>12000</v>
      </c>
      <c r="DC17" s="212">
        <f t="shared" si="11"/>
        <v>69000</v>
      </c>
      <c r="DD17" s="212">
        <f t="shared" si="12"/>
        <v>12000</v>
      </c>
      <c r="DE17" s="70">
        <f t="shared" si="13"/>
        <v>60000</v>
      </c>
      <c r="DF17" s="70">
        <v>0</v>
      </c>
      <c r="DG17" s="229">
        <v>1</v>
      </c>
      <c r="DH17" s="229">
        <v>0.75</v>
      </c>
      <c r="DI17" s="11">
        <v>2</v>
      </c>
      <c r="DJ17" s="235"/>
      <c r="DN17" s="10" t="s">
        <v>1975</v>
      </c>
      <c r="DO17" s="11">
        <v>5</v>
      </c>
      <c r="DP17" s="11">
        <f>DO17*20</f>
        <v>100</v>
      </c>
      <c r="DQ17" s="11">
        <v>2</v>
      </c>
      <c r="DR17" s="19">
        <v>1206</v>
      </c>
      <c r="DS17" s="239">
        <v>1</v>
      </c>
    </row>
    <row r="18" spans="97:130" ht="16.5" customHeight="1" x14ac:dyDescent="0.25">
      <c r="CS18" s="6"/>
      <c r="CT18" s="780"/>
      <c r="CU18" s="210" t="s">
        <v>177</v>
      </c>
      <c r="CV18" s="70">
        <f t="shared" si="5"/>
        <v>1</v>
      </c>
      <c r="CW18" s="70">
        <f t="shared" si="6"/>
        <v>2</v>
      </c>
      <c r="CX18" s="211">
        <v>100000</v>
      </c>
      <c r="CY18" s="210" t="str">
        <f t="shared" si="7"/>
        <v>金币</v>
      </c>
      <c r="CZ18" s="212">
        <f t="shared" si="8"/>
        <v>1</v>
      </c>
      <c r="DA18" s="212">
        <f t="shared" si="9"/>
        <v>2</v>
      </c>
      <c r="DB18" s="211">
        <f t="shared" si="48"/>
        <v>20000</v>
      </c>
      <c r="DC18" s="212">
        <f t="shared" si="11"/>
        <v>115000</v>
      </c>
      <c r="DD18" s="212">
        <f t="shared" si="12"/>
        <v>20000</v>
      </c>
      <c r="DE18" s="70">
        <f t="shared" si="13"/>
        <v>100000</v>
      </c>
      <c r="DF18" s="70">
        <v>0</v>
      </c>
      <c r="DG18" s="229">
        <v>0.5</v>
      </c>
      <c r="DH18" s="229">
        <v>0.75</v>
      </c>
      <c r="DI18" s="11">
        <v>4</v>
      </c>
      <c r="DJ18" s="235"/>
      <c r="DN18" s="10" t="s">
        <v>1976</v>
      </c>
      <c r="DO18" s="11">
        <v>2</v>
      </c>
      <c r="DP18" s="11">
        <f>DO18*20</f>
        <v>40</v>
      </c>
      <c r="DQ18" s="11">
        <v>2</v>
      </c>
      <c r="DR18" s="19">
        <v>1205</v>
      </c>
      <c r="DS18" s="239">
        <v>1</v>
      </c>
    </row>
    <row r="19" spans="97:130" ht="16.5" customHeight="1" x14ac:dyDescent="0.25">
      <c r="CS19" s="6"/>
      <c r="CT19" s="780"/>
      <c r="CU19" s="210" t="s">
        <v>177</v>
      </c>
      <c r="CV19" s="70">
        <f t="shared" si="5"/>
        <v>1</v>
      </c>
      <c r="CW19" s="70">
        <f t="shared" si="6"/>
        <v>2</v>
      </c>
      <c r="CX19" s="211">
        <v>200000</v>
      </c>
      <c r="CY19" s="210" t="str">
        <f t="shared" si="7"/>
        <v>金币</v>
      </c>
      <c r="CZ19" s="212">
        <f t="shared" si="8"/>
        <v>1</v>
      </c>
      <c r="DA19" s="212">
        <f t="shared" si="9"/>
        <v>2</v>
      </c>
      <c r="DB19" s="211">
        <f t="shared" si="48"/>
        <v>40000</v>
      </c>
      <c r="DC19" s="212">
        <f t="shared" si="11"/>
        <v>220000</v>
      </c>
      <c r="DD19" s="212">
        <f t="shared" si="12"/>
        <v>40000</v>
      </c>
      <c r="DE19" s="70">
        <f t="shared" si="13"/>
        <v>200000</v>
      </c>
      <c r="DF19" s="70">
        <v>0</v>
      </c>
      <c r="DG19" s="229">
        <v>0.5</v>
      </c>
      <c r="DH19" s="230">
        <v>0.5</v>
      </c>
      <c r="DI19" s="11">
        <v>7</v>
      </c>
      <c r="DJ19" s="235"/>
      <c r="DN19" s="13" t="s">
        <v>1977</v>
      </c>
      <c r="DO19" s="14">
        <v>200</v>
      </c>
      <c r="DP19" s="11">
        <f>DO19*20</f>
        <v>4000</v>
      </c>
      <c r="DQ19" s="14">
        <v>2</v>
      </c>
      <c r="DR19" s="21">
        <v>1208</v>
      </c>
      <c r="DS19" s="239">
        <v>1</v>
      </c>
    </row>
    <row r="20" spans="97:130" ht="16.5" customHeight="1" x14ac:dyDescent="0.25">
      <c r="CS20" s="6"/>
      <c r="CT20" s="780"/>
      <c r="CU20" s="210" t="s">
        <v>177</v>
      </c>
      <c r="CV20" s="70">
        <f t="shared" si="5"/>
        <v>1</v>
      </c>
      <c r="CW20" s="70">
        <f t="shared" si="6"/>
        <v>2</v>
      </c>
      <c r="CX20" s="211">
        <v>350000</v>
      </c>
      <c r="CY20" s="210" t="str">
        <f t="shared" si="7"/>
        <v>金币</v>
      </c>
      <c r="CZ20" s="212">
        <f t="shared" si="8"/>
        <v>1</v>
      </c>
      <c r="DA20" s="212">
        <f t="shared" si="9"/>
        <v>2</v>
      </c>
      <c r="DB20" s="211">
        <f t="shared" si="48"/>
        <v>70000</v>
      </c>
      <c r="DC20" s="212">
        <f t="shared" si="11"/>
        <v>371000</v>
      </c>
      <c r="DD20" s="212">
        <f t="shared" si="12"/>
        <v>70000</v>
      </c>
      <c r="DE20" s="70">
        <f t="shared" si="13"/>
        <v>350000</v>
      </c>
      <c r="DF20" s="70">
        <v>0</v>
      </c>
      <c r="DG20" s="229">
        <v>1</v>
      </c>
      <c r="DH20" s="230">
        <v>0.3</v>
      </c>
      <c r="DI20" s="11">
        <v>5</v>
      </c>
      <c r="DJ20" s="235"/>
      <c r="DN20" s="10" t="s">
        <v>1978</v>
      </c>
      <c r="DO20" s="11">
        <v>30</v>
      </c>
      <c r="DP20" s="11">
        <f>DO20*20</f>
        <v>600</v>
      </c>
      <c r="DQ20" s="1">
        <v>2</v>
      </c>
      <c r="DR20" s="1">
        <v>1209</v>
      </c>
      <c r="DS20" s="239">
        <v>1</v>
      </c>
    </row>
    <row r="21" spans="97:130" ht="16.5" customHeight="1" x14ac:dyDescent="0.25">
      <c r="CS21" s="6"/>
      <c r="CT21" s="780"/>
      <c r="CU21" s="210" t="s">
        <v>177</v>
      </c>
      <c r="CV21" s="70">
        <f t="shared" si="5"/>
        <v>1</v>
      </c>
      <c r="CW21" s="70">
        <f t="shared" si="6"/>
        <v>2</v>
      </c>
      <c r="CX21" s="211">
        <v>500000</v>
      </c>
      <c r="CY21" s="210" t="str">
        <f t="shared" si="7"/>
        <v>金币</v>
      </c>
      <c r="CZ21" s="212">
        <f t="shared" si="8"/>
        <v>1</v>
      </c>
      <c r="DA21" s="212">
        <f t="shared" si="9"/>
        <v>2</v>
      </c>
      <c r="DB21" s="211">
        <f t="shared" si="48"/>
        <v>100000</v>
      </c>
      <c r="DC21" s="212">
        <f t="shared" si="11"/>
        <v>500000</v>
      </c>
      <c r="DD21" s="212">
        <f t="shared" si="12"/>
        <v>100000</v>
      </c>
      <c r="DE21" s="70">
        <f t="shared" si="13"/>
        <v>500000</v>
      </c>
      <c r="DF21" s="70">
        <v>0</v>
      </c>
      <c r="DG21" s="11"/>
      <c r="DH21" s="11"/>
      <c r="DI21" s="11">
        <v>3</v>
      </c>
      <c r="DJ21" s="235"/>
      <c r="DN21" s="10" t="s">
        <v>1979</v>
      </c>
      <c r="DO21" s="1">
        <v>50</v>
      </c>
      <c r="DP21" s="11">
        <f>DO21*20</f>
        <v>1000</v>
      </c>
      <c r="DQ21" s="1">
        <v>2</v>
      </c>
      <c r="DR21" s="1">
        <v>1210</v>
      </c>
      <c r="DS21" s="239">
        <v>1</v>
      </c>
    </row>
    <row r="22" spans="97:130" x14ac:dyDescent="0.25">
      <c r="CS22" s="6"/>
      <c r="CT22" s="780"/>
      <c r="CU22" s="210" t="s">
        <v>1369</v>
      </c>
      <c r="CV22" s="70">
        <f t="shared" si="5"/>
        <v>1</v>
      </c>
      <c r="CW22" s="70">
        <f t="shared" si="6"/>
        <v>1</v>
      </c>
      <c r="CX22" s="211">
        <v>10</v>
      </c>
      <c r="CY22" s="210" t="str">
        <f t="shared" si="7"/>
        <v>钻石</v>
      </c>
      <c r="CZ22" s="212">
        <f t="shared" si="8"/>
        <v>1</v>
      </c>
      <c r="DA22" s="212">
        <f t="shared" si="9"/>
        <v>1</v>
      </c>
      <c r="DB22" s="211">
        <f t="shared" si="48"/>
        <v>2</v>
      </c>
      <c r="DC22" s="212">
        <f t="shared" si="11"/>
        <v>200000</v>
      </c>
      <c r="DD22" s="212">
        <f t="shared" si="12"/>
        <v>40000</v>
      </c>
      <c r="DE22" s="70">
        <f t="shared" si="13"/>
        <v>200000</v>
      </c>
      <c r="DF22" s="70">
        <v>0</v>
      </c>
      <c r="DG22" s="11"/>
      <c r="DH22" s="11"/>
      <c r="DI22" s="11">
        <v>9</v>
      </c>
      <c r="DJ22" s="235"/>
      <c r="DK22" s="1">
        <v>200000</v>
      </c>
      <c r="DN22" s="1" t="s">
        <v>1980</v>
      </c>
      <c r="DO22" s="1">
        <v>1</v>
      </c>
      <c r="DP22" s="11">
        <f t="shared" ref="DP22:DP30" si="49">DO22*20</f>
        <v>20</v>
      </c>
      <c r="DQ22" s="1">
        <v>1</v>
      </c>
      <c r="DR22" s="1">
        <v>6</v>
      </c>
      <c r="DS22" s="239">
        <v>1</v>
      </c>
    </row>
    <row r="23" spans="97:130" ht="16.5" customHeight="1" x14ac:dyDescent="0.25">
      <c r="CS23" s="6"/>
      <c r="CT23" s="780"/>
      <c r="CU23" s="210" t="s">
        <v>1369</v>
      </c>
      <c r="CV23" s="70">
        <f t="shared" si="5"/>
        <v>1</v>
      </c>
      <c r="CW23" s="70">
        <f t="shared" si="6"/>
        <v>1</v>
      </c>
      <c r="CX23" s="211">
        <v>25</v>
      </c>
      <c r="CY23" s="210" t="str">
        <f t="shared" si="7"/>
        <v>钻石</v>
      </c>
      <c r="CZ23" s="212">
        <f t="shared" si="8"/>
        <v>1</v>
      </c>
      <c r="DA23" s="212">
        <f t="shared" si="9"/>
        <v>1</v>
      </c>
      <c r="DB23" s="211">
        <f t="shared" si="48"/>
        <v>5</v>
      </c>
      <c r="DC23" s="212">
        <f t="shared" si="11"/>
        <v>500000</v>
      </c>
      <c r="DD23" s="212">
        <f t="shared" si="12"/>
        <v>100000</v>
      </c>
      <c r="DE23" s="70">
        <f t="shared" si="13"/>
        <v>500000</v>
      </c>
      <c r="DF23" s="70">
        <v>0</v>
      </c>
      <c r="DG23" s="11"/>
      <c r="DH23" s="11"/>
      <c r="DI23" s="11">
        <v>6</v>
      </c>
      <c r="DJ23" s="235"/>
      <c r="DK23" s="1">
        <v>500000</v>
      </c>
      <c r="DN23" s="1" t="s">
        <v>1981</v>
      </c>
      <c r="DO23" s="1">
        <v>1</v>
      </c>
      <c r="DP23" s="11">
        <f t="shared" si="49"/>
        <v>20</v>
      </c>
      <c r="DQ23" s="1">
        <v>2</v>
      </c>
      <c r="DR23" s="1">
        <v>1301</v>
      </c>
      <c r="DS23" s="239">
        <v>1</v>
      </c>
    </row>
    <row r="24" spans="97:130" ht="16.5" customHeight="1" x14ac:dyDescent="0.25">
      <c r="CS24" s="6">
        <f>500000/5*6</f>
        <v>600000</v>
      </c>
      <c r="CT24" s="781"/>
      <c r="CU24" s="213" t="s">
        <v>1372</v>
      </c>
      <c r="CV24" s="214">
        <f t="shared" si="5"/>
        <v>2</v>
      </c>
      <c r="CW24" s="214">
        <f t="shared" si="6"/>
        <v>1204</v>
      </c>
      <c r="CX24" s="211">
        <v>5000</v>
      </c>
      <c r="CY24" s="213" t="str">
        <f t="shared" si="7"/>
        <v>福卡</v>
      </c>
      <c r="CZ24" s="215">
        <f t="shared" si="8"/>
        <v>2</v>
      </c>
      <c r="DA24" s="215">
        <f t="shared" si="9"/>
        <v>1204</v>
      </c>
      <c r="DB24" s="217">
        <f t="shared" si="48"/>
        <v>1000</v>
      </c>
      <c r="DC24" s="215">
        <f t="shared" si="11"/>
        <v>750000</v>
      </c>
      <c r="DD24" s="215">
        <f t="shared" si="12"/>
        <v>150000</v>
      </c>
      <c r="DE24" s="214">
        <f t="shared" si="13"/>
        <v>750000</v>
      </c>
      <c r="DF24" s="214">
        <v>0</v>
      </c>
      <c r="DG24" s="147"/>
      <c r="DH24" s="147"/>
      <c r="DI24" s="147">
        <v>1</v>
      </c>
      <c r="DJ24" s="236"/>
      <c r="DN24" s="1" t="s">
        <v>1982</v>
      </c>
      <c r="DO24" s="1">
        <v>1</v>
      </c>
      <c r="DP24" s="11">
        <f t="shared" si="49"/>
        <v>20</v>
      </c>
      <c r="DQ24" s="1">
        <v>2</v>
      </c>
      <c r="DR24" s="1">
        <v>1302</v>
      </c>
      <c r="DS24" s="239">
        <v>1</v>
      </c>
    </row>
    <row r="25" spans="97:130" ht="16.5" customHeight="1" x14ac:dyDescent="0.25">
      <c r="CS25" s="6"/>
      <c r="CT25" s="779" t="str">
        <f>"抽奖
第3档
"&amp;D7&amp;"~
"&amp;E7</f>
        <v>抽奖
第3档
500000~
1000000</v>
      </c>
      <c r="CU25" s="206" t="s">
        <v>177</v>
      </c>
      <c r="CV25" s="207">
        <f t="shared" si="5"/>
        <v>1</v>
      </c>
      <c r="CW25" s="207">
        <f t="shared" si="6"/>
        <v>2</v>
      </c>
      <c r="CX25" s="208">
        <v>200000</v>
      </c>
      <c r="CY25" s="206" t="str">
        <f t="shared" si="7"/>
        <v>金币</v>
      </c>
      <c r="CZ25" s="209">
        <f t="shared" si="8"/>
        <v>1</v>
      </c>
      <c r="DA25" s="209">
        <f t="shared" si="9"/>
        <v>2</v>
      </c>
      <c r="DB25" s="208">
        <f t="shared" si="48"/>
        <v>40000</v>
      </c>
      <c r="DC25" s="209">
        <f t="shared" si="11"/>
        <v>212000</v>
      </c>
      <c r="DD25" s="209">
        <f t="shared" si="12"/>
        <v>40000</v>
      </c>
      <c r="DE25" s="231">
        <f t="shared" si="13"/>
        <v>200000</v>
      </c>
      <c r="DF25" s="207">
        <v>1</v>
      </c>
      <c r="DG25" s="228">
        <v>1</v>
      </c>
      <c r="DH25" s="228">
        <v>0.3</v>
      </c>
      <c r="DI25" s="139">
        <v>2</v>
      </c>
      <c r="DJ25" s="234"/>
      <c r="DN25" s="1" t="s">
        <v>1983</v>
      </c>
      <c r="DO25" s="1">
        <v>1</v>
      </c>
      <c r="DP25" s="11">
        <f t="shared" si="49"/>
        <v>20</v>
      </c>
      <c r="DQ25" s="1">
        <v>2</v>
      </c>
      <c r="DR25" s="1">
        <v>1303</v>
      </c>
      <c r="DS25" s="239">
        <v>1</v>
      </c>
      <c r="DU25" s="1" t="s">
        <v>1984</v>
      </c>
      <c r="DV25" s="1">
        <v>40</v>
      </c>
      <c r="DW25" s="1">
        <f>'抽奖|MoonBless'!HP25</f>
        <v>0</v>
      </c>
      <c r="DX25" s="1">
        <v>2</v>
      </c>
      <c r="DY25" s="1">
        <v>1500</v>
      </c>
      <c r="DZ25" s="130">
        <v>1</v>
      </c>
    </row>
    <row r="26" spans="97:130" ht="16.5" customHeight="1" x14ac:dyDescent="0.25">
      <c r="CS26" s="6"/>
      <c r="CT26" s="780"/>
      <c r="CU26" s="210" t="s">
        <v>1406</v>
      </c>
      <c r="CV26" s="70">
        <f t="shared" si="5"/>
        <v>2</v>
      </c>
      <c r="CW26" s="70">
        <f t="shared" si="6"/>
        <v>1003</v>
      </c>
      <c r="CX26" s="216">
        <v>3</v>
      </c>
      <c r="CY26" s="210" t="str">
        <f t="shared" si="7"/>
        <v>狂暴</v>
      </c>
      <c r="CZ26" s="212">
        <f t="shared" si="8"/>
        <v>2</v>
      </c>
      <c r="DA26" s="212">
        <f t="shared" si="9"/>
        <v>1003</v>
      </c>
      <c r="DB26" s="211">
        <f t="shared" si="48"/>
        <v>1</v>
      </c>
      <c r="DC26" s="212">
        <f t="shared" si="11"/>
        <v>375000</v>
      </c>
      <c r="DD26" s="212">
        <f t="shared" si="12"/>
        <v>100000</v>
      </c>
      <c r="DE26" s="70">
        <f t="shared" si="13"/>
        <v>300000</v>
      </c>
      <c r="DF26" s="70">
        <v>0</v>
      </c>
      <c r="DG26" s="229">
        <v>1</v>
      </c>
      <c r="DH26" s="229">
        <v>0.75</v>
      </c>
      <c r="DI26" s="11">
        <v>9</v>
      </c>
      <c r="DJ26" s="235"/>
      <c r="DN26" s="1" t="s">
        <v>1985</v>
      </c>
      <c r="DO26" s="1">
        <v>1</v>
      </c>
      <c r="DP26" s="11">
        <f t="shared" si="49"/>
        <v>20</v>
      </c>
      <c r="DQ26" s="1">
        <v>2</v>
      </c>
      <c r="DR26" s="1">
        <v>1304</v>
      </c>
      <c r="DS26" s="239">
        <v>1</v>
      </c>
      <c r="DU26" s="1" t="s">
        <v>1986</v>
      </c>
      <c r="DV26" s="1">
        <v>80</v>
      </c>
      <c r="DW26" s="1">
        <v>0</v>
      </c>
      <c r="DX26" s="1">
        <v>2</v>
      </c>
      <c r="DY26" s="1">
        <v>1503</v>
      </c>
      <c r="DZ26" s="130">
        <v>1</v>
      </c>
    </row>
    <row r="27" spans="97:130" ht="16.5" customHeight="1" x14ac:dyDescent="0.25">
      <c r="CS27" s="6"/>
      <c r="CT27" s="780"/>
      <c r="CU27" s="210" t="s">
        <v>1406</v>
      </c>
      <c r="CV27" s="70">
        <f t="shared" si="5"/>
        <v>2</v>
      </c>
      <c r="CW27" s="70">
        <f t="shared" si="6"/>
        <v>1003</v>
      </c>
      <c r="CX27" s="216">
        <v>4</v>
      </c>
      <c r="CY27" s="210" t="str">
        <f t="shared" si="7"/>
        <v>狂暴</v>
      </c>
      <c r="CZ27" s="212">
        <f t="shared" si="8"/>
        <v>2</v>
      </c>
      <c r="DA27" s="212">
        <f t="shared" si="9"/>
        <v>1003</v>
      </c>
      <c r="DB27" s="211">
        <f t="shared" si="48"/>
        <v>1</v>
      </c>
      <c r="DC27" s="212">
        <f t="shared" si="11"/>
        <v>475000</v>
      </c>
      <c r="DD27" s="212">
        <f t="shared" si="12"/>
        <v>100000</v>
      </c>
      <c r="DE27" s="70">
        <f t="shared" si="13"/>
        <v>400000</v>
      </c>
      <c r="DF27" s="70">
        <v>0</v>
      </c>
      <c r="DG27" s="229">
        <v>0.5</v>
      </c>
      <c r="DH27" s="229">
        <v>0.75</v>
      </c>
      <c r="DI27" s="11">
        <v>4</v>
      </c>
      <c r="DJ27" s="235"/>
      <c r="DN27" s="1" t="s">
        <v>1984</v>
      </c>
      <c r="DO27" s="1">
        <f>DO12*1000*40</f>
        <v>30</v>
      </c>
      <c r="DP27" s="11">
        <f t="shared" si="49"/>
        <v>600</v>
      </c>
      <c r="DQ27" s="1">
        <v>2</v>
      </c>
      <c r="DR27" s="1">
        <v>1500</v>
      </c>
      <c r="DS27" s="130">
        <v>1</v>
      </c>
      <c r="DU27" s="1" t="s">
        <v>1987</v>
      </c>
      <c r="DV27" s="1">
        <v>110</v>
      </c>
      <c r="DW27" s="1">
        <v>0</v>
      </c>
      <c r="DX27" s="1">
        <v>2</v>
      </c>
      <c r="DY27" s="1">
        <v>1504</v>
      </c>
      <c r="DZ27" s="130">
        <v>1</v>
      </c>
    </row>
    <row r="28" spans="97:130" x14ac:dyDescent="0.25">
      <c r="CS28" s="6"/>
      <c r="CT28" s="780"/>
      <c r="CU28" s="210" t="s">
        <v>177</v>
      </c>
      <c r="CV28" s="70">
        <f t="shared" si="5"/>
        <v>1</v>
      </c>
      <c r="CW28" s="70">
        <f t="shared" si="6"/>
        <v>2</v>
      </c>
      <c r="CX28" s="211">
        <v>400000</v>
      </c>
      <c r="CY28" s="210" t="str">
        <f t="shared" si="7"/>
        <v>金币</v>
      </c>
      <c r="CZ28" s="212">
        <f t="shared" si="8"/>
        <v>1</v>
      </c>
      <c r="DA28" s="212">
        <f t="shared" si="9"/>
        <v>2</v>
      </c>
      <c r="DB28" s="211">
        <f t="shared" si="48"/>
        <v>80000</v>
      </c>
      <c r="DC28" s="212">
        <f t="shared" si="11"/>
        <v>460000</v>
      </c>
      <c r="DD28" s="212">
        <f t="shared" si="12"/>
        <v>80000</v>
      </c>
      <c r="DE28" s="70">
        <f t="shared" si="13"/>
        <v>400000</v>
      </c>
      <c r="DF28" s="70">
        <v>0</v>
      </c>
      <c r="DG28" s="229">
        <v>1</v>
      </c>
      <c r="DH28" s="229">
        <v>0.75</v>
      </c>
      <c r="DI28" s="11">
        <v>7</v>
      </c>
      <c r="DJ28" s="235"/>
      <c r="DN28" s="1" t="s">
        <v>1986</v>
      </c>
      <c r="DO28" s="1">
        <f>DO12*1000*80</f>
        <v>60</v>
      </c>
      <c r="DP28" s="11">
        <f t="shared" si="49"/>
        <v>1200</v>
      </c>
      <c r="DQ28" s="1">
        <v>2</v>
      </c>
      <c r="DR28" s="1">
        <v>1503</v>
      </c>
      <c r="DS28" s="130">
        <v>1</v>
      </c>
      <c r="DU28" s="1" t="s">
        <v>1988</v>
      </c>
      <c r="DV28" s="1">
        <v>1</v>
      </c>
      <c r="DW28" s="1">
        <v>10</v>
      </c>
      <c r="DX28" s="1">
        <v>2</v>
      </c>
      <c r="DY28" s="1">
        <v>1213</v>
      </c>
      <c r="DZ28" s="130">
        <v>1</v>
      </c>
    </row>
    <row r="29" spans="97:130" ht="16.5" customHeight="1" x14ac:dyDescent="0.25">
      <c r="CS29" s="6"/>
      <c r="CT29" s="780"/>
      <c r="CU29" s="210" t="s">
        <v>177</v>
      </c>
      <c r="CV29" s="70">
        <f t="shared" si="5"/>
        <v>1</v>
      </c>
      <c r="CW29" s="70">
        <f t="shared" si="6"/>
        <v>2</v>
      </c>
      <c r="CX29" s="211">
        <v>600000</v>
      </c>
      <c r="CY29" s="210" t="str">
        <f t="shared" si="7"/>
        <v>金币</v>
      </c>
      <c r="CZ29" s="212">
        <f t="shared" si="8"/>
        <v>1</v>
      </c>
      <c r="DA29" s="212">
        <f t="shared" si="9"/>
        <v>2</v>
      </c>
      <c r="DB29" s="211">
        <f>ROUNDUP(DE29/5,0)</f>
        <v>120000</v>
      </c>
      <c r="DC29" s="212">
        <f t="shared" si="11"/>
        <v>660000</v>
      </c>
      <c r="DD29" s="212">
        <f t="shared" si="12"/>
        <v>120000</v>
      </c>
      <c r="DE29" s="70">
        <f t="shared" si="13"/>
        <v>600000</v>
      </c>
      <c r="DF29" s="70">
        <v>0</v>
      </c>
      <c r="DG29" s="229">
        <v>1</v>
      </c>
      <c r="DH29" s="230">
        <v>0.5</v>
      </c>
      <c r="DI29" s="11">
        <v>10</v>
      </c>
      <c r="DJ29" s="235"/>
      <c r="DN29" s="1" t="s">
        <v>1987</v>
      </c>
      <c r="DO29" s="1">
        <f>DO12*1000*110</f>
        <v>82.5</v>
      </c>
      <c r="DP29" s="11">
        <f t="shared" si="49"/>
        <v>1650</v>
      </c>
      <c r="DQ29" s="1">
        <v>2</v>
      </c>
      <c r="DR29" s="1">
        <v>1504</v>
      </c>
      <c r="DS29" s="130">
        <v>1</v>
      </c>
    </row>
    <row r="30" spans="97:130" ht="16.5" customHeight="1" x14ac:dyDescent="0.25">
      <c r="CS30" s="6"/>
      <c r="CT30" s="780"/>
      <c r="CU30" s="210" t="s">
        <v>177</v>
      </c>
      <c r="CV30" s="70">
        <f t="shared" si="5"/>
        <v>1</v>
      </c>
      <c r="CW30" s="70">
        <f t="shared" si="6"/>
        <v>2</v>
      </c>
      <c r="CX30" s="211">
        <v>800000</v>
      </c>
      <c r="CY30" s="210" t="str">
        <f t="shared" si="7"/>
        <v>金币</v>
      </c>
      <c r="CZ30" s="212">
        <f t="shared" si="8"/>
        <v>1</v>
      </c>
      <c r="DA30" s="212">
        <f t="shared" si="9"/>
        <v>2</v>
      </c>
      <c r="DB30" s="211">
        <f>ROUNDUP(DE30/5,0)</f>
        <v>160000</v>
      </c>
      <c r="DC30" s="212">
        <f t="shared" si="11"/>
        <v>848000</v>
      </c>
      <c r="DD30" s="212">
        <f t="shared" si="12"/>
        <v>160000</v>
      </c>
      <c r="DE30" s="70">
        <f t="shared" si="13"/>
        <v>800000</v>
      </c>
      <c r="DF30" s="70">
        <v>0</v>
      </c>
      <c r="DG30" s="229">
        <v>1</v>
      </c>
      <c r="DH30" s="230">
        <v>0.3</v>
      </c>
      <c r="DI30" s="11">
        <v>5</v>
      </c>
      <c r="DJ30" s="235"/>
      <c r="DN30" s="1" t="s">
        <v>1988</v>
      </c>
      <c r="DO30" s="1">
        <f>DO12*1000*1</f>
        <v>0.75</v>
      </c>
      <c r="DP30" s="11">
        <f t="shared" si="49"/>
        <v>15</v>
      </c>
      <c r="DQ30" s="1">
        <v>2</v>
      </c>
      <c r="DR30" s="1">
        <v>1213</v>
      </c>
      <c r="DS30" s="130">
        <v>1</v>
      </c>
    </row>
    <row r="31" spans="97:130" ht="16.5" customHeight="1" x14ac:dyDescent="0.25">
      <c r="CS31" s="6"/>
      <c r="CT31" s="780"/>
      <c r="CU31" s="210" t="s">
        <v>177</v>
      </c>
      <c r="CV31" s="70">
        <f t="shared" si="5"/>
        <v>1</v>
      </c>
      <c r="CW31" s="70">
        <f t="shared" si="6"/>
        <v>2</v>
      </c>
      <c r="CX31" s="211">
        <v>1000000</v>
      </c>
      <c r="CY31" s="210" t="str">
        <f t="shared" si="7"/>
        <v>金币</v>
      </c>
      <c r="CZ31" s="212">
        <f t="shared" si="8"/>
        <v>1</v>
      </c>
      <c r="DA31" s="212">
        <f t="shared" si="9"/>
        <v>2</v>
      </c>
      <c r="DB31" s="211">
        <v>100</v>
      </c>
      <c r="DC31" s="212">
        <f t="shared" si="11"/>
        <v>1000000</v>
      </c>
      <c r="DD31" s="212">
        <f t="shared" si="12"/>
        <v>100</v>
      </c>
      <c r="DE31" s="70">
        <f t="shared" si="13"/>
        <v>1000000</v>
      </c>
      <c r="DF31" s="70">
        <v>0</v>
      </c>
      <c r="DG31" s="11"/>
      <c r="DH31" s="11"/>
      <c r="DI31" s="11">
        <v>3</v>
      </c>
      <c r="DJ31" s="235"/>
      <c r="DN31" s="10" t="s">
        <v>1989</v>
      </c>
      <c r="DO31" s="11">
        <f>DP31/20</f>
        <v>0.25</v>
      </c>
      <c r="DP31" s="11">
        <f>DP13/20</f>
        <v>5</v>
      </c>
      <c r="DQ31" s="11">
        <v>2</v>
      </c>
      <c r="DR31" s="19">
        <v>1015</v>
      </c>
      <c r="DS31" s="239">
        <v>1</v>
      </c>
    </row>
    <row r="32" spans="97:130" ht="16.5" customHeight="1" x14ac:dyDescent="0.25">
      <c r="CS32" s="6"/>
      <c r="CT32" s="780"/>
      <c r="CU32" s="210" t="s">
        <v>1372</v>
      </c>
      <c r="CV32" s="70">
        <f t="shared" si="5"/>
        <v>2</v>
      </c>
      <c r="CW32" s="70">
        <f t="shared" si="6"/>
        <v>1204</v>
      </c>
      <c r="CX32" s="211">
        <v>10000</v>
      </c>
      <c r="CY32" s="210" t="str">
        <f t="shared" si="7"/>
        <v>福卡</v>
      </c>
      <c r="CZ32" s="212">
        <f t="shared" si="8"/>
        <v>2</v>
      </c>
      <c r="DA32" s="212">
        <f t="shared" si="9"/>
        <v>1204</v>
      </c>
      <c r="DB32" s="211">
        <v>101</v>
      </c>
      <c r="DC32" s="212">
        <f t="shared" si="11"/>
        <v>1500000</v>
      </c>
      <c r="DD32" s="212">
        <f t="shared" si="12"/>
        <v>15150</v>
      </c>
      <c r="DE32" s="70">
        <f t="shared" si="13"/>
        <v>1500000</v>
      </c>
      <c r="DF32" s="70">
        <v>0</v>
      </c>
      <c r="DG32" s="11"/>
      <c r="DH32" s="11"/>
      <c r="DI32" s="11">
        <v>1</v>
      </c>
      <c r="DJ32" s="235"/>
      <c r="DN32" s="10" t="s">
        <v>1990</v>
      </c>
      <c r="DO32" s="11">
        <f t="shared" ref="DO32:DO34" si="50">DP32/20</f>
        <v>0.5</v>
      </c>
      <c r="DP32" s="11">
        <f t="shared" ref="DP32:DP34" si="51">DP14/20</f>
        <v>10</v>
      </c>
      <c r="DQ32" s="11">
        <v>2</v>
      </c>
      <c r="DR32" s="19">
        <v>1016</v>
      </c>
      <c r="DS32" s="239">
        <v>1</v>
      </c>
    </row>
    <row r="33" spans="97:123" ht="16.5" customHeight="1" x14ac:dyDescent="0.25">
      <c r="CS33" s="6"/>
      <c r="CT33" s="780"/>
      <c r="CU33" s="210" t="s">
        <v>1369</v>
      </c>
      <c r="CV33" s="70">
        <f t="shared" si="5"/>
        <v>1</v>
      </c>
      <c r="CW33" s="70">
        <f t="shared" si="6"/>
        <v>1</v>
      </c>
      <c r="CX33" s="211">
        <v>40</v>
      </c>
      <c r="CY33" s="210" t="str">
        <f t="shared" si="7"/>
        <v>钻石</v>
      </c>
      <c r="CZ33" s="212">
        <f t="shared" si="8"/>
        <v>1</v>
      </c>
      <c r="DA33" s="212">
        <f t="shared" si="9"/>
        <v>1</v>
      </c>
      <c r="DB33" s="211">
        <v>102</v>
      </c>
      <c r="DC33" s="212">
        <f t="shared" si="11"/>
        <v>800000</v>
      </c>
      <c r="DD33" s="212">
        <f t="shared" si="12"/>
        <v>2040000</v>
      </c>
      <c r="DE33" s="70">
        <f t="shared" si="13"/>
        <v>800000</v>
      </c>
      <c r="DF33" s="70">
        <v>0</v>
      </c>
      <c r="DG33" s="11"/>
      <c r="DH33" s="11"/>
      <c r="DI33" s="11">
        <v>8</v>
      </c>
      <c r="DJ33" s="235"/>
      <c r="DN33" s="10" t="s">
        <v>1991</v>
      </c>
      <c r="DO33" s="11">
        <f t="shared" si="50"/>
        <v>1.25</v>
      </c>
      <c r="DP33" s="11">
        <f t="shared" si="51"/>
        <v>25</v>
      </c>
      <c r="DQ33" s="11">
        <v>2</v>
      </c>
      <c r="DR33" s="19">
        <v>1017</v>
      </c>
      <c r="DS33" s="239">
        <v>1</v>
      </c>
    </row>
    <row r="34" spans="97:123" x14ac:dyDescent="0.25">
      <c r="CS34" s="6">
        <f>1000000/5*6</f>
        <v>1200000</v>
      </c>
      <c r="CT34" s="781"/>
      <c r="CU34" s="213" t="s">
        <v>1974</v>
      </c>
      <c r="CV34" s="214">
        <f t="shared" si="5"/>
        <v>2</v>
      </c>
      <c r="CW34" s="214">
        <f t="shared" si="6"/>
        <v>1005</v>
      </c>
      <c r="CX34" s="217">
        <v>1</v>
      </c>
      <c r="CY34" s="213" t="str">
        <f t="shared" si="7"/>
        <v>超级武器1</v>
      </c>
      <c r="CZ34" s="215">
        <f t="shared" si="8"/>
        <v>2</v>
      </c>
      <c r="DA34" s="215">
        <f t="shared" si="9"/>
        <v>1005</v>
      </c>
      <c r="DB34" s="217">
        <v>103</v>
      </c>
      <c r="DC34" s="215">
        <f t="shared" si="11"/>
        <v>1000000</v>
      </c>
      <c r="DD34" s="215">
        <f t="shared" si="12"/>
        <v>103000000</v>
      </c>
      <c r="DE34" s="214">
        <f t="shared" si="13"/>
        <v>1000000</v>
      </c>
      <c r="DF34" s="214">
        <v>0</v>
      </c>
      <c r="DG34" s="147"/>
      <c r="DH34" s="147"/>
      <c r="DI34" s="147">
        <v>6</v>
      </c>
      <c r="DJ34" s="236"/>
      <c r="DN34" s="10" t="s">
        <v>1992</v>
      </c>
      <c r="DO34" s="11">
        <f t="shared" si="50"/>
        <v>2.5</v>
      </c>
      <c r="DP34" s="11">
        <f t="shared" si="51"/>
        <v>50</v>
      </c>
      <c r="DQ34" s="11">
        <v>2</v>
      </c>
      <c r="DR34" s="19">
        <v>1018</v>
      </c>
      <c r="DS34" s="239">
        <v>1</v>
      </c>
    </row>
    <row r="35" spans="97:123" ht="16.5" customHeight="1" x14ac:dyDescent="0.25">
      <c r="CS35" s="6"/>
      <c r="CT35" s="779" t="str">
        <f>"抽奖
第4档
"&amp;D8&amp;"~
"&amp;E8</f>
        <v>抽奖
第4档
1000000~
2000000</v>
      </c>
      <c r="CU35" s="206" t="s">
        <v>177</v>
      </c>
      <c r="CV35" s="207">
        <f t="shared" si="5"/>
        <v>1</v>
      </c>
      <c r="CW35" s="207">
        <f t="shared" si="6"/>
        <v>2</v>
      </c>
      <c r="CX35" s="208">
        <v>750000</v>
      </c>
      <c r="CY35" s="206" t="str">
        <f t="shared" si="7"/>
        <v>金币</v>
      </c>
      <c r="CZ35" s="209">
        <f t="shared" si="8"/>
        <v>1</v>
      </c>
      <c r="DA35" s="209">
        <f t="shared" si="9"/>
        <v>2</v>
      </c>
      <c r="DB35" s="208">
        <f t="shared" ref="DB35:DB66" si="52">ROUNDUP(CX35/5,0)</f>
        <v>150000</v>
      </c>
      <c r="DC35" s="209">
        <f t="shared" si="11"/>
        <v>795000</v>
      </c>
      <c r="DD35" s="209">
        <f t="shared" si="12"/>
        <v>150000</v>
      </c>
      <c r="DE35" s="231">
        <f t="shared" si="13"/>
        <v>750000</v>
      </c>
      <c r="DF35" s="207">
        <v>1</v>
      </c>
      <c r="DG35" s="228">
        <v>1</v>
      </c>
      <c r="DH35" s="228">
        <v>0.3</v>
      </c>
      <c r="DI35" s="139">
        <v>4</v>
      </c>
      <c r="DJ35" s="234"/>
    </row>
    <row r="36" spans="97:123" ht="16.5" customHeight="1" x14ac:dyDescent="0.25">
      <c r="CS36" s="6"/>
      <c r="CT36" s="780"/>
      <c r="CU36" s="210" t="s">
        <v>1406</v>
      </c>
      <c r="CV36" s="70">
        <f t="shared" si="5"/>
        <v>2</v>
      </c>
      <c r="CW36" s="70">
        <f t="shared" si="6"/>
        <v>1003</v>
      </c>
      <c r="CX36" s="216">
        <v>4</v>
      </c>
      <c r="CY36" s="210" t="str">
        <f t="shared" si="7"/>
        <v>狂暴</v>
      </c>
      <c r="CZ36" s="212">
        <f t="shared" si="8"/>
        <v>2</v>
      </c>
      <c r="DA36" s="212">
        <f t="shared" si="9"/>
        <v>1003</v>
      </c>
      <c r="DB36" s="211">
        <f t="shared" si="52"/>
        <v>1</v>
      </c>
      <c r="DC36" s="212">
        <f t="shared" si="11"/>
        <v>475000</v>
      </c>
      <c r="DD36" s="212">
        <f t="shared" si="12"/>
        <v>100000</v>
      </c>
      <c r="DE36" s="70">
        <f t="shared" si="13"/>
        <v>400000</v>
      </c>
      <c r="DF36" s="70">
        <v>0</v>
      </c>
      <c r="DG36" s="229">
        <v>1</v>
      </c>
      <c r="DH36" s="229">
        <v>0.75</v>
      </c>
      <c r="DI36" s="11">
        <v>9</v>
      </c>
      <c r="DJ36" s="235"/>
    </row>
    <row r="37" spans="97:123" ht="16.5" customHeight="1" x14ac:dyDescent="0.25">
      <c r="CS37" s="6"/>
      <c r="CT37" s="780"/>
      <c r="CU37" s="210" t="s">
        <v>1406</v>
      </c>
      <c r="CV37" s="70">
        <f t="shared" ref="CV37:CV68" si="53">VLOOKUP(CU37,DN:DR,4,0)</f>
        <v>2</v>
      </c>
      <c r="CW37" s="70">
        <f t="shared" ref="CW37:CW68" si="54">VLOOKUP(CU37,DN:DR,5,0)</f>
        <v>1003</v>
      </c>
      <c r="CX37" s="216">
        <v>6</v>
      </c>
      <c r="CY37" s="210" t="str">
        <f t="shared" ref="CY37:CY68" si="55">CU37</f>
        <v>狂暴</v>
      </c>
      <c r="CZ37" s="212">
        <f t="shared" ref="CZ37:CZ68" si="56">VLOOKUP(CY37,DN:DR,4,0)</f>
        <v>2</v>
      </c>
      <c r="DA37" s="212">
        <f t="shared" ref="DA37:DA68" si="57">VLOOKUP(CY37,DN:DR,5,0)</f>
        <v>1003</v>
      </c>
      <c r="DB37" s="211">
        <f t="shared" si="52"/>
        <v>2</v>
      </c>
      <c r="DC37" s="212">
        <f t="shared" ref="DC37:DC68" si="58">DD37*DH37+DE37</f>
        <v>750000</v>
      </c>
      <c r="DD37" s="212">
        <f t="shared" ref="DD37:DD68" si="59">VLOOKUP(CY37,DN:DR,3,0)/$DP$7*DB37*VLOOKUP(CY37,DN:DS,6,0)</f>
        <v>200000</v>
      </c>
      <c r="DE37" s="70">
        <f t="shared" ref="DE37:DE68" si="60">VLOOKUP(CU37,DN:DR,3,0)/$DP$7*CX37*VLOOKUP(CU37,DN:DS,6,0)</f>
        <v>600000</v>
      </c>
      <c r="DF37" s="70">
        <v>0</v>
      </c>
      <c r="DG37" s="229">
        <v>0.5</v>
      </c>
      <c r="DH37" s="229">
        <v>0.75</v>
      </c>
      <c r="DI37" s="11">
        <v>7</v>
      </c>
      <c r="DJ37" s="235"/>
    </row>
    <row r="38" spans="97:123" ht="16.5" customHeight="1" x14ac:dyDescent="0.25">
      <c r="CS38" s="6"/>
      <c r="CT38" s="780"/>
      <c r="CU38" s="210" t="s">
        <v>177</v>
      </c>
      <c r="CV38" s="70">
        <f t="shared" si="53"/>
        <v>1</v>
      </c>
      <c r="CW38" s="70">
        <f t="shared" si="54"/>
        <v>2</v>
      </c>
      <c r="CX38" s="211">
        <v>800000</v>
      </c>
      <c r="CY38" s="210" t="str">
        <f t="shared" si="55"/>
        <v>金币</v>
      </c>
      <c r="CZ38" s="212">
        <f t="shared" si="56"/>
        <v>1</v>
      </c>
      <c r="DA38" s="212">
        <f t="shared" si="57"/>
        <v>2</v>
      </c>
      <c r="DB38" s="211">
        <f t="shared" si="52"/>
        <v>160000</v>
      </c>
      <c r="DC38" s="212">
        <f t="shared" si="58"/>
        <v>920000</v>
      </c>
      <c r="DD38" s="212">
        <f t="shared" si="59"/>
        <v>160000</v>
      </c>
      <c r="DE38" s="70">
        <f t="shared" si="60"/>
        <v>800000</v>
      </c>
      <c r="DF38" s="70">
        <v>0</v>
      </c>
      <c r="DG38" s="229">
        <v>1</v>
      </c>
      <c r="DH38" s="229">
        <v>0.75</v>
      </c>
      <c r="DI38" s="11">
        <v>2</v>
      </c>
      <c r="DJ38" s="235"/>
    </row>
    <row r="39" spans="97:123" ht="16.5" customHeight="1" x14ac:dyDescent="0.25">
      <c r="CS39" s="6"/>
      <c r="CT39" s="780"/>
      <c r="CU39" s="210" t="s">
        <v>177</v>
      </c>
      <c r="CV39" s="70">
        <f t="shared" si="53"/>
        <v>1</v>
      </c>
      <c r="CW39" s="70">
        <f t="shared" si="54"/>
        <v>2</v>
      </c>
      <c r="CX39" s="211">
        <v>1000000</v>
      </c>
      <c r="CY39" s="210" t="str">
        <f t="shared" si="55"/>
        <v>金币</v>
      </c>
      <c r="CZ39" s="212">
        <f t="shared" si="56"/>
        <v>1</v>
      </c>
      <c r="DA39" s="212">
        <f t="shared" si="57"/>
        <v>2</v>
      </c>
      <c r="DB39" s="211">
        <f t="shared" si="52"/>
        <v>200000</v>
      </c>
      <c r="DC39" s="212">
        <f t="shared" si="58"/>
        <v>1100000</v>
      </c>
      <c r="DD39" s="212">
        <f t="shared" si="59"/>
        <v>200000</v>
      </c>
      <c r="DE39" s="70">
        <f t="shared" si="60"/>
        <v>1000000</v>
      </c>
      <c r="DF39" s="70">
        <v>0</v>
      </c>
      <c r="DG39" s="229">
        <v>1</v>
      </c>
      <c r="DH39" s="230">
        <v>0.5</v>
      </c>
      <c r="DI39" s="11">
        <v>10</v>
      </c>
      <c r="DJ39" s="235"/>
    </row>
    <row r="40" spans="97:123" x14ac:dyDescent="0.25">
      <c r="CS40" s="6"/>
      <c r="CT40" s="780"/>
      <c r="CU40" s="210" t="s">
        <v>177</v>
      </c>
      <c r="CV40" s="70">
        <f t="shared" si="53"/>
        <v>1</v>
      </c>
      <c r="CW40" s="70">
        <f t="shared" si="54"/>
        <v>2</v>
      </c>
      <c r="CX40" s="211">
        <v>1500000</v>
      </c>
      <c r="CY40" s="210" t="str">
        <f t="shared" si="55"/>
        <v>金币</v>
      </c>
      <c r="CZ40" s="212">
        <f t="shared" si="56"/>
        <v>1</v>
      </c>
      <c r="DA40" s="212">
        <f t="shared" si="57"/>
        <v>2</v>
      </c>
      <c r="DB40" s="211">
        <f t="shared" si="52"/>
        <v>300000</v>
      </c>
      <c r="DC40" s="212">
        <f t="shared" si="58"/>
        <v>1590000</v>
      </c>
      <c r="DD40" s="212">
        <f t="shared" si="59"/>
        <v>300000</v>
      </c>
      <c r="DE40" s="70">
        <f t="shared" si="60"/>
        <v>1500000</v>
      </c>
      <c r="DF40" s="70">
        <v>0</v>
      </c>
      <c r="DG40" s="229">
        <v>1</v>
      </c>
      <c r="DH40" s="230">
        <v>0.3</v>
      </c>
      <c r="DI40" s="11">
        <v>8</v>
      </c>
      <c r="DJ40" s="235"/>
    </row>
    <row r="41" spans="97:123" x14ac:dyDescent="0.25">
      <c r="CS41" s="6"/>
      <c r="CT41" s="780"/>
      <c r="CU41" s="210" t="s">
        <v>1372</v>
      </c>
      <c r="CV41" s="70">
        <f t="shared" si="53"/>
        <v>2</v>
      </c>
      <c r="CW41" s="70">
        <f t="shared" si="54"/>
        <v>1204</v>
      </c>
      <c r="CX41" s="218">
        <v>20000</v>
      </c>
      <c r="CY41" s="210" t="str">
        <f t="shared" si="55"/>
        <v>福卡</v>
      </c>
      <c r="CZ41" s="212">
        <f t="shared" si="56"/>
        <v>2</v>
      </c>
      <c r="DA41" s="212">
        <f t="shared" si="57"/>
        <v>1204</v>
      </c>
      <c r="DB41" s="211">
        <f t="shared" si="52"/>
        <v>4000</v>
      </c>
      <c r="DC41" s="212">
        <f t="shared" si="58"/>
        <v>3000000</v>
      </c>
      <c r="DD41" s="212">
        <f t="shared" si="59"/>
        <v>600000</v>
      </c>
      <c r="DE41" s="70">
        <f t="shared" si="60"/>
        <v>3000000</v>
      </c>
      <c r="DF41" s="70">
        <v>0</v>
      </c>
      <c r="DG41" s="11"/>
      <c r="DH41" s="11"/>
      <c r="DI41" s="11">
        <v>3</v>
      </c>
      <c r="DJ41" s="235"/>
    </row>
    <row r="42" spans="97:123" x14ac:dyDescent="0.25">
      <c r="CS42" s="6"/>
      <c r="CT42" s="780"/>
      <c r="CU42" s="210" t="s">
        <v>1369</v>
      </c>
      <c r="CV42" s="70">
        <f t="shared" si="53"/>
        <v>1</v>
      </c>
      <c r="CW42" s="70">
        <f t="shared" si="54"/>
        <v>1</v>
      </c>
      <c r="CX42" s="211">
        <v>80</v>
      </c>
      <c r="CY42" s="210" t="str">
        <f t="shared" si="55"/>
        <v>钻石</v>
      </c>
      <c r="CZ42" s="212">
        <f t="shared" si="56"/>
        <v>1</v>
      </c>
      <c r="DA42" s="212">
        <f t="shared" si="57"/>
        <v>1</v>
      </c>
      <c r="DB42" s="211">
        <f t="shared" si="52"/>
        <v>16</v>
      </c>
      <c r="DC42" s="212">
        <f t="shared" si="58"/>
        <v>1600000</v>
      </c>
      <c r="DD42" s="212">
        <f t="shared" si="59"/>
        <v>320000</v>
      </c>
      <c r="DE42" s="70">
        <f t="shared" si="60"/>
        <v>1600000</v>
      </c>
      <c r="DF42" s="70">
        <v>0</v>
      </c>
      <c r="DG42" s="11"/>
      <c r="DH42" s="11"/>
      <c r="DI42" s="11">
        <v>5</v>
      </c>
      <c r="DJ42" s="235"/>
      <c r="DK42" s="1">
        <v>1600000</v>
      </c>
    </row>
    <row r="43" spans="97:123" x14ac:dyDescent="0.25">
      <c r="CS43" s="6"/>
      <c r="CT43" s="780"/>
      <c r="CU43" s="210" t="s">
        <v>1974</v>
      </c>
      <c r="CV43" s="70">
        <f t="shared" si="53"/>
        <v>2</v>
      </c>
      <c r="CW43" s="70">
        <f t="shared" si="54"/>
        <v>1005</v>
      </c>
      <c r="CX43" s="211">
        <v>2</v>
      </c>
      <c r="CY43" s="210" t="str">
        <f t="shared" si="55"/>
        <v>超级武器1</v>
      </c>
      <c r="CZ43" s="212">
        <f t="shared" si="56"/>
        <v>2</v>
      </c>
      <c r="DA43" s="212">
        <f t="shared" si="57"/>
        <v>1005</v>
      </c>
      <c r="DB43" s="211">
        <f t="shared" si="52"/>
        <v>1</v>
      </c>
      <c r="DC43" s="212">
        <f t="shared" si="58"/>
        <v>2000000</v>
      </c>
      <c r="DD43" s="212">
        <f t="shared" si="59"/>
        <v>1000000</v>
      </c>
      <c r="DE43" s="70">
        <f t="shared" si="60"/>
        <v>2000000</v>
      </c>
      <c r="DF43" s="70">
        <v>0</v>
      </c>
      <c r="DG43" s="11"/>
      <c r="DH43" s="11"/>
      <c r="DI43" s="11">
        <v>6</v>
      </c>
      <c r="DJ43" s="235"/>
    </row>
    <row r="44" spans="97:123" x14ac:dyDescent="0.25">
      <c r="CS44" s="6">
        <f>2000000/5*6</f>
        <v>2400000</v>
      </c>
      <c r="CT44" s="781"/>
      <c r="CU44" s="213" t="s">
        <v>1974</v>
      </c>
      <c r="CV44" s="214">
        <f t="shared" si="53"/>
        <v>2</v>
      </c>
      <c r="CW44" s="214">
        <f t="shared" si="54"/>
        <v>1005</v>
      </c>
      <c r="CX44" s="219">
        <v>3</v>
      </c>
      <c r="CY44" s="213" t="str">
        <f t="shared" si="55"/>
        <v>超级武器1</v>
      </c>
      <c r="CZ44" s="215">
        <f t="shared" si="56"/>
        <v>2</v>
      </c>
      <c r="DA44" s="215">
        <f t="shared" si="57"/>
        <v>1005</v>
      </c>
      <c r="DB44" s="217">
        <f t="shared" si="52"/>
        <v>1</v>
      </c>
      <c r="DC44" s="215">
        <f t="shared" si="58"/>
        <v>3000000</v>
      </c>
      <c r="DD44" s="215">
        <f t="shared" si="59"/>
        <v>1000000</v>
      </c>
      <c r="DE44" s="214">
        <f t="shared" si="60"/>
        <v>3000000</v>
      </c>
      <c r="DF44" s="214">
        <v>0</v>
      </c>
      <c r="DG44" s="147"/>
      <c r="DH44" s="147"/>
      <c r="DI44" s="147">
        <v>1</v>
      </c>
      <c r="DJ44" s="236"/>
    </row>
    <row r="45" spans="97:123" x14ac:dyDescent="0.25">
      <c r="CS45" s="6"/>
      <c r="CT45" s="779" t="str">
        <f>"抽奖
第5档
"&amp;D9&amp;"~
"&amp;E9</f>
        <v>抽奖
第5档
2000000~
6000000</v>
      </c>
      <c r="CU45" s="206" t="s">
        <v>177</v>
      </c>
      <c r="CV45" s="207">
        <f t="shared" si="53"/>
        <v>1</v>
      </c>
      <c r="CW45" s="207">
        <f t="shared" si="54"/>
        <v>2</v>
      </c>
      <c r="CX45" s="208">
        <v>2000000</v>
      </c>
      <c r="CY45" s="206" t="str">
        <f t="shared" si="55"/>
        <v>金币</v>
      </c>
      <c r="CZ45" s="209">
        <f t="shared" si="56"/>
        <v>1</v>
      </c>
      <c r="DA45" s="209">
        <f t="shared" si="57"/>
        <v>2</v>
      </c>
      <c r="DB45" s="208">
        <f t="shared" si="52"/>
        <v>400000</v>
      </c>
      <c r="DC45" s="209">
        <f t="shared" si="58"/>
        <v>2120000</v>
      </c>
      <c r="DD45" s="209">
        <f t="shared" si="59"/>
        <v>400000</v>
      </c>
      <c r="DE45" s="231">
        <f t="shared" si="60"/>
        <v>2000000</v>
      </c>
      <c r="DF45" s="207">
        <v>1</v>
      </c>
      <c r="DG45" s="228">
        <v>1</v>
      </c>
      <c r="DH45" s="228">
        <v>0.3</v>
      </c>
      <c r="DI45" s="139">
        <v>7</v>
      </c>
      <c r="DJ45" s="234"/>
    </row>
    <row r="46" spans="97:123" x14ac:dyDescent="0.25">
      <c r="CS46" s="6"/>
      <c r="CT46" s="780"/>
      <c r="CU46" s="210" t="s">
        <v>177</v>
      </c>
      <c r="CV46" s="70">
        <f t="shared" si="53"/>
        <v>1</v>
      </c>
      <c r="CW46" s="70">
        <f t="shared" si="54"/>
        <v>2</v>
      </c>
      <c r="CX46" s="211">
        <v>1000000</v>
      </c>
      <c r="CY46" s="210" t="str">
        <f t="shared" si="55"/>
        <v>金币</v>
      </c>
      <c r="CZ46" s="212">
        <f t="shared" si="56"/>
        <v>1</v>
      </c>
      <c r="DA46" s="212">
        <f t="shared" si="57"/>
        <v>2</v>
      </c>
      <c r="DB46" s="211">
        <f t="shared" si="52"/>
        <v>200000</v>
      </c>
      <c r="DC46" s="212">
        <f t="shared" si="58"/>
        <v>1150000</v>
      </c>
      <c r="DD46" s="212">
        <f t="shared" si="59"/>
        <v>200000</v>
      </c>
      <c r="DE46" s="70">
        <f t="shared" si="60"/>
        <v>1000000</v>
      </c>
      <c r="DF46" s="70">
        <v>0</v>
      </c>
      <c r="DG46" s="229">
        <v>1</v>
      </c>
      <c r="DH46" s="229">
        <v>0.75</v>
      </c>
      <c r="DI46" s="11">
        <v>2</v>
      </c>
      <c r="DJ46" s="235"/>
    </row>
    <row r="47" spans="97:123" x14ac:dyDescent="0.25">
      <c r="CS47" s="6"/>
      <c r="CT47" s="780"/>
      <c r="CU47" s="210" t="s">
        <v>177</v>
      </c>
      <c r="CV47" s="70">
        <f t="shared" si="53"/>
        <v>1</v>
      </c>
      <c r="CW47" s="70">
        <f t="shared" si="54"/>
        <v>2</v>
      </c>
      <c r="CX47" s="211">
        <v>1500000</v>
      </c>
      <c r="CY47" s="210" t="str">
        <f t="shared" si="55"/>
        <v>金币</v>
      </c>
      <c r="CZ47" s="212">
        <f t="shared" si="56"/>
        <v>1</v>
      </c>
      <c r="DA47" s="212">
        <f t="shared" si="57"/>
        <v>2</v>
      </c>
      <c r="DB47" s="211">
        <f t="shared" si="52"/>
        <v>300000</v>
      </c>
      <c r="DC47" s="212">
        <f t="shared" si="58"/>
        <v>1725000</v>
      </c>
      <c r="DD47" s="212">
        <f t="shared" si="59"/>
        <v>300000</v>
      </c>
      <c r="DE47" s="70">
        <f t="shared" si="60"/>
        <v>1500000</v>
      </c>
      <c r="DF47" s="70">
        <v>0</v>
      </c>
      <c r="DG47" s="229">
        <v>0.5</v>
      </c>
      <c r="DH47" s="229">
        <v>0.75</v>
      </c>
      <c r="DI47" s="11">
        <v>4</v>
      </c>
      <c r="DJ47" s="235"/>
    </row>
    <row r="48" spans="97:123" x14ac:dyDescent="0.25">
      <c r="CS48" s="6"/>
      <c r="CT48" s="780"/>
      <c r="CU48" s="210" t="s">
        <v>177</v>
      </c>
      <c r="CV48" s="70">
        <f t="shared" si="53"/>
        <v>1</v>
      </c>
      <c r="CW48" s="70">
        <f t="shared" si="54"/>
        <v>2</v>
      </c>
      <c r="CX48" s="211">
        <v>2500000</v>
      </c>
      <c r="CY48" s="210" t="str">
        <f t="shared" si="55"/>
        <v>金币</v>
      </c>
      <c r="CZ48" s="212">
        <f t="shared" si="56"/>
        <v>1</v>
      </c>
      <c r="DA48" s="212">
        <f t="shared" si="57"/>
        <v>2</v>
      </c>
      <c r="DB48" s="211">
        <f t="shared" si="52"/>
        <v>500000</v>
      </c>
      <c r="DC48" s="212">
        <f t="shared" si="58"/>
        <v>2875000</v>
      </c>
      <c r="DD48" s="212">
        <f t="shared" si="59"/>
        <v>500000</v>
      </c>
      <c r="DE48" s="70">
        <f t="shared" si="60"/>
        <v>2500000</v>
      </c>
      <c r="DF48" s="70">
        <v>0</v>
      </c>
      <c r="DG48" s="229">
        <v>1</v>
      </c>
      <c r="DH48" s="229">
        <v>0.75</v>
      </c>
      <c r="DI48" s="11">
        <v>9</v>
      </c>
      <c r="DJ48" s="235"/>
    </row>
    <row r="49" spans="97:115" x14ac:dyDescent="0.25">
      <c r="CS49" s="6"/>
      <c r="CT49" s="780"/>
      <c r="CU49" s="210" t="s">
        <v>177</v>
      </c>
      <c r="CV49" s="70">
        <f t="shared" si="53"/>
        <v>1</v>
      </c>
      <c r="CW49" s="70">
        <f t="shared" si="54"/>
        <v>2</v>
      </c>
      <c r="CX49" s="211">
        <v>3500000</v>
      </c>
      <c r="CY49" s="210" t="str">
        <f t="shared" si="55"/>
        <v>金币</v>
      </c>
      <c r="CZ49" s="212">
        <f t="shared" si="56"/>
        <v>1</v>
      </c>
      <c r="DA49" s="212">
        <f t="shared" si="57"/>
        <v>2</v>
      </c>
      <c r="DB49" s="211">
        <f t="shared" si="52"/>
        <v>700000</v>
      </c>
      <c r="DC49" s="212">
        <f t="shared" si="58"/>
        <v>3850000</v>
      </c>
      <c r="DD49" s="212">
        <f t="shared" si="59"/>
        <v>700000</v>
      </c>
      <c r="DE49" s="70">
        <f t="shared" si="60"/>
        <v>3500000</v>
      </c>
      <c r="DF49" s="70">
        <v>0</v>
      </c>
      <c r="DG49" s="229">
        <v>1</v>
      </c>
      <c r="DH49" s="230">
        <v>0.5</v>
      </c>
      <c r="DI49" s="11">
        <v>10</v>
      </c>
      <c r="DJ49" s="235"/>
    </row>
    <row r="50" spans="97:115" x14ac:dyDescent="0.25">
      <c r="CS50" s="6"/>
      <c r="CT50" s="780"/>
      <c r="CU50" s="210" t="s">
        <v>177</v>
      </c>
      <c r="CV50" s="70">
        <f t="shared" si="53"/>
        <v>1</v>
      </c>
      <c r="CW50" s="70">
        <f t="shared" si="54"/>
        <v>2</v>
      </c>
      <c r="CX50" s="211">
        <v>4500000</v>
      </c>
      <c r="CY50" s="210" t="str">
        <f t="shared" si="55"/>
        <v>金币</v>
      </c>
      <c r="CZ50" s="212">
        <f t="shared" si="56"/>
        <v>1</v>
      </c>
      <c r="DA50" s="212">
        <f t="shared" si="57"/>
        <v>2</v>
      </c>
      <c r="DB50" s="211">
        <f t="shared" si="52"/>
        <v>900000</v>
      </c>
      <c r="DC50" s="212">
        <f t="shared" si="58"/>
        <v>4770000</v>
      </c>
      <c r="DD50" s="212">
        <f t="shared" si="59"/>
        <v>900000</v>
      </c>
      <c r="DE50" s="70">
        <f t="shared" si="60"/>
        <v>4500000</v>
      </c>
      <c r="DF50" s="70">
        <v>0</v>
      </c>
      <c r="DG50" s="229">
        <v>1</v>
      </c>
      <c r="DH50" s="230">
        <v>0.3</v>
      </c>
      <c r="DI50" s="11">
        <v>5</v>
      </c>
      <c r="DJ50" s="235"/>
    </row>
    <row r="51" spans="97:115" x14ac:dyDescent="0.25">
      <c r="CS51" s="6"/>
      <c r="CT51" s="780"/>
      <c r="CU51" s="210" t="s">
        <v>1372</v>
      </c>
      <c r="CV51" s="70">
        <f t="shared" si="53"/>
        <v>2</v>
      </c>
      <c r="CW51" s="70">
        <f t="shared" si="54"/>
        <v>1204</v>
      </c>
      <c r="CX51" s="211">
        <v>35000</v>
      </c>
      <c r="CY51" s="210" t="str">
        <f t="shared" si="55"/>
        <v>福卡</v>
      </c>
      <c r="CZ51" s="212">
        <f t="shared" si="56"/>
        <v>2</v>
      </c>
      <c r="DA51" s="212">
        <f t="shared" si="57"/>
        <v>1204</v>
      </c>
      <c r="DB51" s="211">
        <f t="shared" si="52"/>
        <v>7000</v>
      </c>
      <c r="DC51" s="212">
        <f t="shared" si="58"/>
        <v>5250000</v>
      </c>
      <c r="DD51" s="212">
        <f t="shared" si="59"/>
        <v>1050000</v>
      </c>
      <c r="DE51" s="70">
        <f t="shared" si="60"/>
        <v>5250000</v>
      </c>
      <c r="DF51" s="70">
        <v>0</v>
      </c>
      <c r="DG51" s="11"/>
      <c r="DH51" s="11"/>
      <c r="DI51" s="11">
        <v>3</v>
      </c>
      <c r="DJ51" s="235"/>
    </row>
    <row r="52" spans="97:115" x14ac:dyDescent="0.25">
      <c r="CS52" s="6"/>
      <c r="CT52" s="780"/>
      <c r="CU52" s="210" t="s">
        <v>1369</v>
      </c>
      <c r="CV52" s="70">
        <f t="shared" si="53"/>
        <v>1</v>
      </c>
      <c r="CW52" s="70">
        <f t="shared" si="54"/>
        <v>1</v>
      </c>
      <c r="CX52" s="211">
        <v>200</v>
      </c>
      <c r="CY52" s="210" t="str">
        <f t="shared" si="55"/>
        <v>钻石</v>
      </c>
      <c r="CZ52" s="212">
        <f t="shared" si="56"/>
        <v>1</v>
      </c>
      <c r="DA52" s="212">
        <f t="shared" si="57"/>
        <v>1</v>
      </c>
      <c r="DB52" s="211">
        <f t="shared" si="52"/>
        <v>40</v>
      </c>
      <c r="DC52" s="212">
        <f t="shared" si="58"/>
        <v>4000000</v>
      </c>
      <c r="DD52" s="212">
        <f t="shared" si="59"/>
        <v>800000</v>
      </c>
      <c r="DE52" s="70">
        <f t="shared" si="60"/>
        <v>4000000</v>
      </c>
      <c r="DF52" s="70">
        <v>0</v>
      </c>
      <c r="DG52" s="11"/>
      <c r="DH52" s="11"/>
      <c r="DI52" s="11">
        <v>8</v>
      </c>
      <c r="DJ52" s="235"/>
    </row>
    <row r="53" spans="97:115" x14ac:dyDescent="0.25">
      <c r="CS53" s="6"/>
      <c r="CT53" s="780"/>
      <c r="CU53" s="210" t="s">
        <v>1371</v>
      </c>
      <c r="CV53" s="70">
        <f t="shared" si="53"/>
        <v>2</v>
      </c>
      <c r="CW53" s="70">
        <f t="shared" si="54"/>
        <v>1006</v>
      </c>
      <c r="CX53" s="211">
        <v>3</v>
      </c>
      <c r="CY53" s="210" t="str">
        <f t="shared" si="55"/>
        <v>超级武器2</v>
      </c>
      <c r="CZ53" s="212">
        <f t="shared" si="56"/>
        <v>2</v>
      </c>
      <c r="DA53" s="212">
        <f t="shared" si="57"/>
        <v>1006</v>
      </c>
      <c r="DB53" s="211">
        <f t="shared" si="52"/>
        <v>1</v>
      </c>
      <c r="DC53" s="212">
        <f t="shared" si="58"/>
        <v>6000000</v>
      </c>
      <c r="DD53" s="212">
        <f t="shared" si="59"/>
        <v>2000000</v>
      </c>
      <c r="DE53" s="70">
        <f t="shared" si="60"/>
        <v>6000000</v>
      </c>
      <c r="DF53" s="70">
        <v>0</v>
      </c>
      <c r="DG53" s="11"/>
      <c r="DH53" s="11"/>
      <c r="DI53" s="11">
        <v>6</v>
      </c>
      <c r="DJ53" s="235"/>
    </row>
    <row r="54" spans="97:115" x14ac:dyDescent="0.25">
      <c r="CS54" s="6">
        <f>6000000/5*6</f>
        <v>7200000</v>
      </c>
      <c r="CT54" s="781"/>
      <c r="CU54" s="213" t="s">
        <v>1381</v>
      </c>
      <c r="CV54" s="214">
        <f t="shared" si="53"/>
        <v>2</v>
      </c>
      <c r="CW54" s="214">
        <f t="shared" si="54"/>
        <v>1007</v>
      </c>
      <c r="CX54" s="217">
        <v>2</v>
      </c>
      <c r="CY54" s="213" t="str">
        <f t="shared" si="55"/>
        <v>超级武器3</v>
      </c>
      <c r="CZ54" s="215">
        <f t="shared" si="56"/>
        <v>2</v>
      </c>
      <c r="DA54" s="215">
        <f t="shared" si="57"/>
        <v>1007</v>
      </c>
      <c r="DB54" s="217">
        <f t="shared" si="52"/>
        <v>1</v>
      </c>
      <c r="DC54" s="215">
        <f t="shared" si="58"/>
        <v>10000000</v>
      </c>
      <c r="DD54" s="215">
        <f t="shared" si="59"/>
        <v>5000000</v>
      </c>
      <c r="DE54" s="214">
        <f t="shared" si="60"/>
        <v>10000000</v>
      </c>
      <c r="DF54" s="214">
        <v>0</v>
      </c>
      <c r="DG54" s="147"/>
      <c r="DH54" s="147"/>
      <c r="DI54" s="147">
        <v>1</v>
      </c>
      <c r="DJ54" s="236"/>
    </row>
    <row r="55" spans="97:115" x14ac:dyDescent="0.25">
      <c r="CS55" s="6"/>
      <c r="CT55" s="779" t="str">
        <f>"抽奖
第6档
"&amp;D10&amp;"~
"&amp;E10</f>
        <v>抽奖
第6档
6000000~
12000000</v>
      </c>
      <c r="CU55" s="206" t="s">
        <v>177</v>
      </c>
      <c r="CV55" s="207">
        <f t="shared" si="53"/>
        <v>1</v>
      </c>
      <c r="CW55" s="207">
        <f t="shared" si="54"/>
        <v>2</v>
      </c>
      <c r="CX55" s="208">
        <v>4500000</v>
      </c>
      <c r="CY55" s="206" t="str">
        <f t="shared" si="55"/>
        <v>金币</v>
      </c>
      <c r="CZ55" s="209">
        <f t="shared" si="56"/>
        <v>1</v>
      </c>
      <c r="DA55" s="209">
        <f t="shared" si="57"/>
        <v>2</v>
      </c>
      <c r="DB55" s="208">
        <f t="shared" si="52"/>
        <v>900000</v>
      </c>
      <c r="DC55" s="209">
        <f t="shared" si="58"/>
        <v>4770000</v>
      </c>
      <c r="DD55" s="209">
        <f t="shared" si="59"/>
        <v>900000</v>
      </c>
      <c r="DE55" s="231">
        <f t="shared" si="60"/>
        <v>4500000</v>
      </c>
      <c r="DF55" s="207">
        <v>1</v>
      </c>
      <c r="DG55" s="228">
        <v>1</v>
      </c>
      <c r="DH55" s="228">
        <v>0.3</v>
      </c>
      <c r="DI55" s="139">
        <v>4</v>
      </c>
      <c r="DJ55" s="237"/>
    </row>
    <row r="56" spans="97:115" x14ac:dyDescent="0.25">
      <c r="CS56" s="6"/>
      <c r="CT56" s="780"/>
      <c r="CU56" s="210" t="s">
        <v>177</v>
      </c>
      <c r="CV56" s="70">
        <f t="shared" si="53"/>
        <v>1</v>
      </c>
      <c r="CW56" s="70">
        <f t="shared" si="54"/>
        <v>2</v>
      </c>
      <c r="CX56" s="211">
        <v>4000000</v>
      </c>
      <c r="CY56" s="210" t="str">
        <f t="shared" si="55"/>
        <v>金币</v>
      </c>
      <c r="CZ56" s="212">
        <f t="shared" si="56"/>
        <v>1</v>
      </c>
      <c r="DA56" s="212">
        <f t="shared" si="57"/>
        <v>2</v>
      </c>
      <c r="DB56" s="211">
        <f t="shared" si="52"/>
        <v>800000</v>
      </c>
      <c r="DC56" s="212">
        <f t="shared" si="58"/>
        <v>4600000</v>
      </c>
      <c r="DD56" s="212">
        <f t="shared" si="59"/>
        <v>800000</v>
      </c>
      <c r="DE56" s="70">
        <f t="shared" si="60"/>
        <v>4000000</v>
      </c>
      <c r="DF56" s="70">
        <v>0</v>
      </c>
      <c r="DG56" s="229">
        <v>0.5</v>
      </c>
      <c r="DH56" s="230">
        <v>0.75</v>
      </c>
      <c r="DI56" s="11">
        <v>2</v>
      </c>
      <c r="DJ56" s="235"/>
    </row>
    <row r="57" spans="97:115" x14ac:dyDescent="0.25">
      <c r="CS57" s="6"/>
      <c r="CT57" s="780"/>
      <c r="CU57" s="210" t="s">
        <v>177</v>
      </c>
      <c r="CV57" s="70">
        <f t="shared" si="53"/>
        <v>1</v>
      </c>
      <c r="CW57" s="70">
        <f t="shared" si="54"/>
        <v>2</v>
      </c>
      <c r="CX57" s="211">
        <v>5000000</v>
      </c>
      <c r="CY57" s="210" t="str">
        <f t="shared" si="55"/>
        <v>金币</v>
      </c>
      <c r="CZ57" s="212">
        <f t="shared" si="56"/>
        <v>1</v>
      </c>
      <c r="DA57" s="212">
        <f t="shared" si="57"/>
        <v>2</v>
      </c>
      <c r="DB57" s="211">
        <f t="shared" si="52"/>
        <v>1000000</v>
      </c>
      <c r="DC57" s="212">
        <f t="shared" si="58"/>
        <v>5750000</v>
      </c>
      <c r="DD57" s="212">
        <f t="shared" si="59"/>
        <v>1000000</v>
      </c>
      <c r="DE57" s="70">
        <f t="shared" si="60"/>
        <v>5000000</v>
      </c>
      <c r="DF57" s="70">
        <v>0</v>
      </c>
      <c r="DG57" s="229">
        <v>1</v>
      </c>
      <c r="DH57" s="230">
        <v>0.75</v>
      </c>
      <c r="DI57" s="11">
        <v>7</v>
      </c>
      <c r="DJ57" s="235"/>
    </row>
    <row r="58" spans="97:115" x14ac:dyDescent="0.25">
      <c r="CS58" s="6"/>
      <c r="CT58" s="780"/>
      <c r="CU58" s="210" t="s">
        <v>177</v>
      </c>
      <c r="CV58" s="70">
        <f t="shared" si="53"/>
        <v>1</v>
      </c>
      <c r="CW58" s="70">
        <f t="shared" si="54"/>
        <v>2</v>
      </c>
      <c r="CX58" s="211">
        <v>6000000</v>
      </c>
      <c r="CY58" s="210" t="str">
        <f t="shared" si="55"/>
        <v>金币</v>
      </c>
      <c r="CZ58" s="212">
        <f t="shared" si="56"/>
        <v>1</v>
      </c>
      <c r="DA58" s="212">
        <f t="shared" si="57"/>
        <v>2</v>
      </c>
      <c r="DB58" s="211">
        <f t="shared" si="52"/>
        <v>1200000</v>
      </c>
      <c r="DC58" s="212">
        <f t="shared" si="58"/>
        <v>6900000</v>
      </c>
      <c r="DD58" s="212">
        <f t="shared" si="59"/>
        <v>1200000</v>
      </c>
      <c r="DE58" s="70">
        <f t="shared" si="60"/>
        <v>6000000</v>
      </c>
      <c r="DF58" s="70">
        <v>0</v>
      </c>
      <c r="DG58" s="229">
        <v>1</v>
      </c>
      <c r="DH58" s="229">
        <v>0.75</v>
      </c>
      <c r="DI58" s="11">
        <v>9</v>
      </c>
      <c r="DJ58" s="235"/>
    </row>
    <row r="59" spans="97:115" x14ac:dyDescent="0.25">
      <c r="CS59" s="6"/>
      <c r="CT59" s="780"/>
      <c r="CU59" s="210" t="s">
        <v>177</v>
      </c>
      <c r="CV59" s="70">
        <f t="shared" si="53"/>
        <v>1</v>
      </c>
      <c r="CW59" s="70">
        <f t="shared" si="54"/>
        <v>2</v>
      </c>
      <c r="CX59" s="211">
        <v>7000000</v>
      </c>
      <c r="CY59" s="210" t="str">
        <f t="shared" si="55"/>
        <v>金币</v>
      </c>
      <c r="CZ59" s="212">
        <f t="shared" si="56"/>
        <v>1</v>
      </c>
      <c r="DA59" s="212">
        <f t="shared" si="57"/>
        <v>2</v>
      </c>
      <c r="DB59" s="211">
        <f t="shared" si="52"/>
        <v>1400000</v>
      </c>
      <c r="DC59" s="212">
        <f t="shared" si="58"/>
        <v>7700000</v>
      </c>
      <c r="DD59" s="212">
        <f t="shared" si="59"/>
        <v>1400000</v>
      </c>
      <c r="DE59" s="70">
        <f t="shared" si="60"/>
        <v>7000000</v>
      </c>
      <c r="DF59" s="70">
        <v>0</v>
      </c>
      <c r="DG59" s="229">
        <v>1</v>
      </c>
      <c r="DH59" s="230">
        <v>0.5</v>
      </c>
      <c r="DI59" s="11">
        <v>10</v>
      </c>
      <c r="DJ59" s="235"/>
    </row>
    <row r="60" spans="97:115" x14ac:dyDescent="0.25">
      <c r="CS60" s="6"/>
      <c r="CT60" s="780"/>
      <c r="CU60" s="210" t="s">
        <v>177</v>
      </c>
      <c r="CV60" s="70">
        <f t="shared" si="53"/>
        <v>1</v>
      </c>
      <c r="CW60" s="70">
        <f t="shared" si="54"/>
        <v>2</v>
      </c>
      <c r="CX60" s="211">
        <v>8000000</v>
      </c>
      <c r="CY60" s="210" t="str">
        <f t="shared" si="55"/>
        <v>金币</v>
      </c>
      <c r="CZ60" s="212">
        <f t="shared" si="56"/>
        <v>1</v>
      </c>
      <c r="DA60" s="212">
        <f t="shared" si="57"/>
        <v>2</v>
      </c>
      <c r="DB60" s="211">
        <f t="shared" si="52"/>
        <v>1600000</v>
      </c>
      <c r="DC60" s="212">
        <f t="shared" si="58"/>
        <v>8480000</v>
      </c>
      <c r="DD60" s="212">
        <f t="shared" si="59"/>
        <v>1600000</v>
      </c>
      <c r="DE60" s="70">
        <f t="shared" si="60"/>
        <v>8000000</v>
      </c>
      <c r="DF60" s="70">
        <v>0</v>
      </c>
      <c r="DG60" s="229">
        <v>1</v>
      </c>
      <c r="DH60" s="229">
        <v>0.3</v>
      </c>
      <c r="DI60" s="11">
        <v>8</v>
      </c>
      <c r="DJ60" s="235"/>
    </row>
    <row r="61" spans="97:115" x14ac:dyDescent="0.25">
      <c r="CS61" s="6"/>
      <c r="CT61" s="780"/>
      <c r="CU61" s="210" t="s">
        <v>1372</v>
      </c>
      <c r="CV61" s="70">
        <f t="shared" si="53"/>
        <v>2</v>
      </c>
      <c r="CW61" s="70">
        <f t="shared" si="54"/>
        <v>1204</v>
      </c>
      <c r="CX61" s="211">
        <v>60000</v>
      </c>
      <c r="CY61" s="210" t="str">
        <f t="shared" si="55"/>
        <v>福卡</v>
      </c>
      <c r="CZ61" s="212">
        <f t="shared" si="56"/>
        <v>2</v>
      </c>
      <c r="DA61" s="212">
        <f t="shared" si="57"/>
        <v>1204</v>
      </c>
      <c r="DB61" s="211">
        <f t="shared" si="52"/>
        <v>12000</v>
      </c>
      <c r="DC61" s="212">
        <f t="shared" si="58"/>
        <v>9000000</v>
      </c>
      <c r="DD61" s="212">
        <f t="shared" si="59"/>
        <v>1800000</v>
      </c>
      <c r="DE61" s="70">
        <f t="shared" si="60"/>
        <v>9000000</v>
      </c>
      <c r="DF61" s="70">
        <v>0</v>
      </c>
      <c r="DG61" s="11"/>
      <c r="DH61" s="11"/>
      <c r="DI61" s="11">
        <v>3</v>
      </c>
      <c r="DJ61" s="235"/>
    </row>
    <row r="62" spans="97:115" x14ac:dyDescent="0.25">
      <c r="CS62" s="6"/>
      <c r="CT62" s="780"/>
      <c r="CU62" s="210" t="s">
        <v>1369</v>
      </c>
      <c r="CV62" s="70">
        <f t="shared" si="53"/>
        <v>1</v>
      </c>
      <c r="CW62" s="70">
        <f t="shared" si="54"/>
        <v>1</v>
      </c>
      <c r="CX62" s="211">
        <v>400</v>
      </c>
      <c r="CY62" s="210" t="str">
        <f t="shared" si="55"/>
        <v>钻石</v>
      </c>
      <c r="CZ62" s="212">
        <f t="shared" si="56"/>
        <v>1</v>
      </c>
      <c r="DA62" s="212">
        <f t="shared" si="57"/>
        <v>1</v>
      </c>
      <c r="DB62" s="211">
        <f t="shared" si="52"/>
        <v>80</v>
      </c>
      <c r="DC62" s="212">
        <f t="shared" si="58"/>
        <v>8000000</v>
      </c>
      <c r="DD62" s="212">
        <f t="shared" si="59"/>
        <v>1600000</v>
      </c>
      <c r="DE62" s="70">
        <f t="shared" si="60"/>
        <v>8000000</v>
      </c>
      <c r="DF62" s="70">
        <v>0</v>
      </c>
      <c r="DG62" s="11"/>
      <c r="DH62" s="11"/>
      <c r="DI62" s="11">
        <v>5</v>
      </c>
      <c r="DJ62" s="235"/>
      <c r="DK62" s="1">
        <v>8000000</v>
      </c>
    </row>
    <row r="63" spans="97:115" x14ac:dyDescent="0.25">
      <c r="CS63" s="6"/>
      <c r="CT63" s="780"/>
      <c r="CU63" s="210" t="s">
        <v>1381</v>
      </c>
      <c r="CV63" s="70">
        <f t="shared" si="53"/>
        <v>2</v>
      </c>
      <c r="CW63" s="70">
        <f t="shared" si="54"/>
        <v>1007</v>
      </c>
      <c r="CX63" s="211">
        <v>2</v>
      </c>
      <c r="CY63" s="210" t="str">
        <f t="shared" si="55"/>
        <v>超级武器3</v>
      </c>
      <c r="CZ63" s="212">
        <f t="shared" si="56"/>
        <v>2</v>
      </c>
      <c r="DA63" s="212">
        <f t="shared" si="57"/>
        <v>1007</v>
      </c>
      <c r="DB63" s="211">
        <f t="shared" si="52"/>
        <v>1</v>
      </c>
      <c r="DC63" s="212">
        <f t="shared" si="58"/>
        <v>10000000</v>
      </c>
      <c r="DD63" s="212">
        <f t="shared" si="59"/>
        <v>5000000</v>
      </c>
      <c r="DE63" s="70">
        <f t="shared" si="60"/>
        <v>10000000</v>
      </c>
      <c r="DF63" s="70">
        <v>0</v>
      </c>
      <c r="DG63" s="11"/>
      <c r="DH63" s="11"/>
      <c r="DI63" s="11">
        <v>6</v>
      </c>
      <c r="DJ63" s="235"/>
    </row>
    <row r="64" spans="97:115" x14ac:dyDescent="0.25">
      <c r="CS64" s="6">
        <f>12000000/5*6</f>
        <v>14400000</v>
      </c>
      <c r="CT64" s="781"/>
      <c r="CU64" s="213" t="s">
        <v>1370</v>
      </c>
      <c r="CV64" s="214">
        <f t="shared" si="53"/>
        <v>2</v>
      </c>
      <c r="CW64" s="214">
        <f t="shared" si="54"/>
        <v>1008</v>
      </c>
      <c r="CX64" s="211">
        <v>2</v>
      </c>
      <c r="CY64" s="213" t="str">
        <f t="shared" si="55"/>
        <v>超级武器4</v>
      </c>
      <c r="CZ64" s="215">
        <f t="shared" si="56"/>
        <v>2</v>
      </c>
      <c r="DA64" s="215">
        <f t="shared" si="57"/>
        <v>1008</v>
      </c>
      <c r="DB64" s="217">
        <f t="shared" si="52"/>
        <v>1</v>
      </c>
      <c r="DC64" s="215">
        <f t="shared" si="58"/>
        <v>20000000</v>
      </c>
      <c r="DD64" s="215">
        <f t="shared" si="59"/>
        <v>10000000</v>
      </c>
      <c r="DE64" s="214">
        <f t="shared" si="60"/>
        <v>20000000</v>
      </c>
      <c r="DF64" s="214">
        <v>0</v>
      </c>
      <c r="DG64" s="147"/>
      <c r="DH64" s="147"/>
      <c r="DI64" s="147">
        <v>1</v>
      </c>
      <c r="DJ64" s="236"/>
    </row>
    <row r="65" spans="97:114" x14ac:dyDescent="0.25">
      <c r="CS65" s="6"/>
      <c r="CT65" s="779" t="str">
        <f>"抽奖
第7档
"&amp;D11&amp;"~
"&amp;E11</f>
        <v>抽奖
第7档
12000000~
24000000</v>
      </c>
      <c r="CU65" s="206" t="s">
        <v>1370</v>
      </c>
      <c r="CV65" s="207">
        <f t="shared" si="53"/>
        <v>2</v>
      </c>
      <c r="CW65" s="207">
        <f t="shared" si="54"/>
        <v>1008</v>
      </c>
      <c r="CX65" s="208">
        <v>4</v>
      </c>
      <c r="CY65" s="206" t="str">
        <f t="shared" si="55"/>
        <v>超级武器4</v>
      </c>
      <c r="CZ65" s="209">
        <f t="shared" si="56"/>
        <v>2</v>
      </c>
      <c r="DA65" s="209">
        <f t="shared" si="57"/>
        <v>1008</v>
      </c>
      <c r="DB65" s="208">
        <f t="shared" si="52"/>
        <v>1</v>
      </c>
      <c r="DC65" s="209">
        <f t="shared" si="58"/>
        <v>43000000</v>
      </c>
      <c r="DD65" s="209">
        <f t="shared" si="59"/>
        <v>10000000</v>
      </c>
      <c r="DE65" s="240">
        <f t="shared" si="60"/>
        <v>40000000</v>
      </c>
      <c r="DF65" s="207">
        <v>1</v>
      </c>
      <c r="DG65" s="228">
        <v>1</v>
      </c>
      <c r="DH65" s="228">
        <v>0.3</v>
      </c>
      <c r="DI65" s="139">
        <v>1</v>
      </c>
      <c r="DJ65" s="237"/>
    </row>
    <row r="66" spans="97:114" x14ac:dyDescent="0.25">
      <c r="CS66" s="6"/>
      <c r="CT66" s="780"/>
      <c r="CU66" s="210" t="s">
        <v>177</v>
      </c>
      <c r="CV66" s="70">
        <f t="shared" si="53"/>
        <v>1</v>
      </c>
      <c r="CW66" s="70">
        <f t="shared" si="54"/>
        <v>2</v>
      </c>
      <c r="CX66" s="211">
        <v>8000000</v>
      </c>
      <c r="CY66" s="210" t="str">
        <f t="shared" si="55"/>
        <v>金币</v>
      </c>
      <c r="CZ66" s="212">
        <f t="shared" si="56"/>
        <v>1</v>
      </c>
      <c r="DA66" s="212">
        <f t="shared" si="57"/>
        <v>2</v>
      </c>
      <c r="DB66" s="211">
        <f t="shared" si="52"/>
        <v>1600000</v>
      </c>
      <c r="DC66" s="212">
        <f t="shared" si="58"/>
        <v>9200000</v>
      </c>
      <c r="DD66" s="212">
        <f t="shared" si="59"/>
        <v>1600000</v>
      </c>
      <c r="DE66" s="70">
        <f t="shared" si="60"/>
        <v>8000000</v>
      </c>
      <c r="DF66" s="70">
        <v>0</v>
      </c>
      <c r="DG66" s="229">
        <v>0.5</v>
      </c>
      <c r="DH66" s="230">
        <v>0.75</v>
      </c>
      <c r="DI66" s="11">
        <v>2</v>
      </c>
      <c r="DJ66" s="235"/>
    </row>
    <row r="67" spans="97:114" x14ac:dyDescent="0.25">
      <c r="CS67" s="6"/>
      <c r="CT67" s="780"/>
      <c r="CU67" s="210" t="s">
        <v>177</v>
      </c>
      <c r="CV67" s="70">
        <f t="shared" si="53"/>
        <v>1</v>
      </c>
      <c r="CW67" s="70">
        <f t="shared" si="54"/>
        <v>2</v>
      </c>
      <c r="CX67" s="211">
        <v>10000000</v>
      </c>
      <c r="CY67" s="210" t="str">
        <f t="shared" si="55"/>
        <v>金币</v>
      </c>
      <c r="CZ67" s="212">
        <f t="shared" si="56"/>
        <v>1</v>
      </c>
      <c r="DA67" s="212">
        <f t="shared" si="57"/>
        <v>2</v>
      </c>
      <c r="DB67" s="211">
        <f t="shared" ref="DB67:DB84" si="61">ROUNDUP(CX67/5,0)</f>
        <v>2000000</v>
      </c>
      <c r="DC67" s="212">
        <f t="shared" si="58"/>
        <v>11500000</v>
      </c>
      <c r="DD67" s="212">
        <f t="shared" si="59"/>
        <v>2000000</v>
      </c>
      <c r="DE67" s="70">
        <f t="shared" si="60"/>
        <v>10000000</v>
      </c>
      <c r="DF67" s="70">
        <v>0</v>
      </c>
      <c r="DG67" s="229">
        <v>1</v>
      </c>
      <c r="DH67" s="230">
        <v>0.75</v>
      </c>
      <c r="DI67" s="11">
        <v>4</v>
      </c>
      <c r="DJ67" s="235"/>
    </row>
    <row r="68" spans="97:114" x14ac:dyDescent="0.25">
      <c r="CS68" s="6"/>
      <c r="CT68" s="780"/>
      <c r="CU68" s="210" t="s">
        <v>177</v>
      </c>
      <c r="CV68" s="70">
        <f t="shared" si="53"/>
        <v>1</v>
      </c>
      <c r="CW68" s="70">
        <f t="shared" si="54"/>
        <v>2</v>
      </c>
      <c r="CX68" s="211">
        <v>12000000</v>
      </c>
      <c r="CY68" s="210" t="str">
        <f t="shared" si="55"/>
        <v>金币</v>
      </c>
      <c r="CZ68" s="212">
        <f t="shared" si="56"/>
        <v>1</v>
      </c>
      <c r="DA68" s="212">
        <f t="shared" si="57"/>
        <v>2</v>
      </c>
      <c r="DB68" s="211">
        <f t="shared" si="61"/>
        <v>2400000</v>
      </c>
      <c r="DC68" s="212">
        <f t="shared" si="58"/>
        <v>13800000</v>
      </c>
      <c r="DD68" s="212">
        <f t="shared" si="59"/>
        <v>2400000</v>
      </c>
      <c r="DE68" s="70">
        <f t="shared" si="60"/>
        <v>12000000</v>
      </c>
      <c r="DF68" s="70">
        <v>0</v>
      </c>
      <c r="DG68" s="229">
        <v>1</v>
      </c>
      <c r="DH68" s="229">
        <v>0.75</v>
      </c>
      <c r="DI68" s="11">
        <v>7</v>
      </c>
      <c r="DJ68" s="235"/>
    </row>
    <row r="69" spans="97:114" x14ac:dyDescent="0.25">
      <c r="CS69" s="6"/>
      <c r="CT69" s="780"/>
      <c r="CU69" s="210" t="s">
        <v>177</v>
      </c>
      <c r="CV69" s="70">
        <f t="shared" ref="CV69:CV84" si="62">VLOOKUP(CU69,DN:DR,4,0)</f>
        <v>1</v>
      </c>
      <c r="CW69" s="70">
        <f t="shared" ref="CW69:CW84" si="63">VLOOKUP(CU69,DN:DR,5,0)</f>
        <v>2</v>
      </c>
      <c r="CX69" s="211">
        <v>14000000</v>
      </c>
      <c r="CY69" s="210" t="str">
        <f t="shared" ref="CY69:CY84" si="64">CU69</f>
        <v>金币</v>
      </c>
      <c r="CZ69" s="212">
        <f t="shared" ref="CZ69:CZ84" si="65">VLOOKUP(CY69,DN:DR,4,0)</f>
        <v>1</v>
      </c>
      <c r="DA69" s="212">
        <f t="shared" ref="DA69:DA84" si="66">VLOOKUP(CY69,DN:DR,5,0)</f>
        <v>2</v>
      </c>
      <c r="DB69" s="211">
        <f t="shared" si="61"/>
        <v>2800000</v>
      </c>
      <c r="DC69" s="212">
        <f t="shared" ref="DC69:DC84" si="67">DD69*DH69+DE69</f>
        <v>15400000</v>
      </c>
      <c r="DD69" s="212">
        <f t="shared" ref="DD69:DD84" si="68">VLOOKUP(CY69,DN:DR,3,0)/$DP$7*DB69*VLOOKUP(CY69,DN:DS,6,0)</f>
        <v>2800000</v>
      </c>
      <c r="DE69" s="70">
        <f t="shared" ref="DE69:DE84" si="69">VLOOKUP(CU69,DN:DR,3,0)/$DP$7*CX69*VLOOKUP(CU69,DN:DS,6,0)</f>
        <v>14000000</v>
      </c>
      <c r="DF69" s="70">
        <v>0</v>
      </c>
      <c r="DG69" s="229">
        <v>1</v>
      </c>
      <c r="DH69" s="230">
        <v>0.5</v>
      </c>
      <c r="DI69" s="11">
        <v>9</v>
      </c>
      <c r="DJ69" s="235"/>
    </row>
    <row r="70" spans="97:114" x14ac:dyDescent="0.25">
      <c r="CS70" s="6"/>
      <c r="CT70" s="780"/>
      <c r="CU70" s="210" t="s">
        <v>177</v>
      </c>
      <c r="CV70" s="70">
        <f t="shared" si="62"/>
        <v>1</v>
      </c>
      <c r="CW70" s="70">
        <f t="shared" si="63"/>
        <v>2</v>
      </c>
      <c r="CX70" s="211">
        <v>16000000</v>
      </c>
      <c r="CY70" s="210" t="str">
        <f t="shared" si="64"/>
        <v>金币</v>
      </c>
      <c r="CZ70" s="212">
        <f t="shared" si="65"/>
        <v>1</v>
      </c>
      <c r="DA70" s="212">
        <f t="shared" si="66"/>
        <v>2</v>
      </c>
      <c r="DB70" s="211">
        <f t="shared" si="61"/>
        <v>3200000</v>
      </c>
      <c r="DC70" s="212">
        <f t="shared" si="67"/>
        <v>16960000</v>
      </c>
      <c r="DD70" s="212">
        <f t="shared" si="68"/>
        <v>3200000</v>
      </c>
      <c r="DE70" s="70">
        <f t="shared" si="69"/>
        <v>16000000</v>
      </c>
      <c r="DF70" s="70">
        <v>0</v>
      </c>
      <c r="DG70" s="229">
        <v>1</v>
      </c>
      <c r="DH70" s="229">
        <v>0.3</v>
      </c>
      <c r="DI70" s="11">
        <v>10</v>
      </c>
      <c r="DJ70" s="235"/>
    </row>
    <row r="71" spans="97:114" x14ac:dyDescent="0.25">
      <c r="CS71" s="6"/>
      <c r="CT71" s="780"/>
      <c r="CU71" s="210" t="s">
        <v>177</v>
      </c>
      <c r="CV71" s="70">
        <f t="shared" si="62"/>
        <v>1</v>
      </c>
      <c r="CW71" s="70">
        <f t="shared" si="63"/>
        <v>2</v>
      </c>
      <c r="CX71" s="211">
        <v>18000000</v>
      </c>
      <c r="CY71" s="210" t="str">
        <f t="shared" si="64"/>
        <v>金币</v>
      </c>
      <c r="CZ71" s="212">
        <f t="shared" si="65"/>
        <v>1</v>
      </c>
      <c r="DA71" s="212">
        <f t="shared" si="66"/>
        <v>2</v>
      </c>
      <c r="DB71" s="211">
        <f t="shared" si="61"/>
        <v>3600000</v>
      </c>
      <c r="DC71" s="212">
        <f t="shared" si="67"/>
        <v>18000000</v>
      </c>
      <c r="DD71" s="212">
        <f t="shared" si="68"/>
        <v>3600000</v>
      </c>
      <c r="DE71" s="70">
        <f t="shared" si="69"/>
        <v>18000000</v>
      </c>
      <c r="DF71" s="70">
        <v>0</v>
      </c>
      <c r="DG71" s="11"/>
      <c r="DH71" s="11"/>
      <c r="DI71" s="11">
        <v>8</v>
      </c>
      <c r="DJ71" s="235"/>
    </row>
    <row r="72" spans="97:114" x14ac:dyDescent="0.25">
      <c r="CS72" s="6"/>
      <c r="CT72" s="780"/>
      <c r="CU72" s="210" t="s">
        <v>177</v>
      </c>
      <c r="CV72" s="70">
        <f t="shared" si="62"/>
        <v>1</v>
      </c>
      <c r="CW72" s="70">
        <f t="shared" si="63"/>
        <v>2</v>
      </c>
      <c r="CX72" s="211">
        <v>20000000</v>
      </c>
      <c r="CY72" s="210" t="str">
        <f t="shared" si="64"/>
        <v>金币</v>
      </c>
      <c r="CZ72" s="212">
        <f t="shared" si="65"/>
        <v>1</v>
      </c>
      <c r="DA72" s="212">
        <f t="shared" si="66"/>
        <v>2</v>
      </c>
      <c r="DB72" s="211">
        <f t="shared" si="61"/>
        <v>4000000</v>
      </c>
      <c r="DC72" s="212">
        <f t="shared" si="67"/>
        <v>20000000</v>
      </c>
      <c r="DD72" s="212">
        <f t="shared" si="68"/>
        <v>4000000</v>
      </c>
      <c r="DE72" s="70">
        <f t="shared" si="69"/>
        <v>20000000</v>
      </c>
      <c r="DF72" s="70">
        <v>0</v>
      </c>
      <c r="DG72" s="11"/>
      <c r="DH72" s="11"/>
      <c r="DI72" s="11">
        <v>5</v>
      </c>
      <c r="DJ72" s="235"/>
    </row>
    <row r="73" spans="97:114" x14ac:dyDescent="0.25">
      <c r="CS73" s="6"/>
      <c r="CT73" s="780"/>
      <c r="CU73" s="210" t="s">
        <v>1381</v>
      </c>
      <c r="CV73" s="70">
        <f t="shared" si="62"/>
        <v>2</v>
      </c>
      <c r="CW73" s="70">
        <f t="shared" si="63"/>
        <v>1007</v>
      </c>
      <c r="CX73" s="211">
        <v>4</v>
      </c>
      <c r="CY73" s="210" t="str">
        <f t="shared" si="64"/>
        <v>超级武器3</v>
      </c>
      <c r="CZ73" s="212">
        <f t="shared" si="65"/>
        <v>2</v>
      </c>
      <c r="DA73" s="212">
        <f t="shared" si="66"/>
        <v>1007</v>
      </c>
      <c r="DB73" s="211">
        <f t="shared" si="61"/>
        <v>1</v>
      </c>
      <c r="DC73" s="212">
        <f t="shared" si="67"/>
        <v>20000000</v>
      </c>
      <c r="DD73" s="212">
        <f t="shared" si="68"/>
        <v>5000000</v>
      </c>
      <c r="DE73" s="70">
        <f t="shared" si="69"/>
        <v>20000000</v>
      </c>
      <c r="DF73" s="70">
        <v>0</v>
      </c>
      <c r="DG73" s="11"/>
      <c r="DH73" s="11"/>
      <c r="DI73" s="11">
        <v>3</v>
      </c>
      <c r="DJ73" s="235"/>
    </row>
    <row r="74" spans="97:114" x14ac:dyDescent="0.25">
      <c r="CS74" s="6">
        <f>24000000/5*6</f>
        <v>28800000</v>
      </c>
      <c r="CT74" s="781"/>
      <c r="CU74" s="213" t="s">
        <v>1370</v>
      </c>
      <c r="CV74" s="214">
        <f t="shared" si="62"/>
        <v>2</v>
      </c>
      <c r="CW74" s="214">
        <f t="shared" si="63"/>
        <v>1008</v>
      </c>
      <c r="CX74" s="217">
        <v>3</v>
      </c>
      <c r="CY74" s="213" t="str">
        <f t="shared" si="64"/>
        <v>超级武器4</v>
      </c>
      <c r="CZ74" s="215">
        <f t="shared" si="65"/>
        <v>2</v>
      </c>
      <c r="DA74" s="215">
        <f t="shared" si="66"/>
        <v>1008</v>
      </c>
      <c r="DB74" s="217">
        <f t="shared" si="61"/>
        <v>1</v>
      </c>
      <c r="DC74" s="215">
        <f t="shared" si="67"/>
        <v>30000000</v>
      </c>
      <c r="DD74" s="215">
        <f t="shared" si="68"/>
        <v>10000000</v>
      </c>
      <c r="DE74" s="214">
        <f t="shared" si="69"/>
        <v>30000000</v>
      </c>
      <c r="DF74" s="214">
        <v>0</v>
      </c>
      <c r="DG74" s="147"/>
      <c r="DH74" s="147"/>
      <c r="DI74" s="147">
        <v>6</v>
      </c>
      <c r="DJ74" s="236"/>
    </row>
    <row r="75" spans="97:114" x14ac:dyDescent="0.25">
      <c r="CS75" s="6"/>
      <c r="CT75" s="779" t="str">
        <f>"抽奖
第8档
"&amp;D12&amp;"~
"&amp;E12</f>
        <v>抽奖
第8档
24000000~
999999999</v>
      </c>
      <c r="CU75" s="206" t="s">
        <v>1370</v>
      </c>
      <c r="CV75" s="207">
        <f t="shared" si="62"/>
        <v>2</v>
      </c>
      <c r="CW75" s="207">
        <f t="shared" si="63"/>
        <v>1008</v>
      </c>
      <c r="CX75" s="208">
        <v>6</v>
      </c>
      <c r="CY75" s="206" t="str">
        <f t="shared" si="64"/>
        <v>超级武器4</v>
      </c>
      <c r="CZ75" s="209">
        <f t="shared" si="65"/>
        <v>2</v>
      </c>
      <c r="DA75" s="209">
        <f t="shared" si="66"/>
        <v>1008</v>
      </c>
      <c r="DB75" s="208">
        <f t="shared" si="61"/>
        <v>2</v>
      </c>
      <c r="DC75" s="209">
        <f t="shared" si="67"/>
        <v>66000000</v>
      </c>
      <c r="DD75" s="209">
        <f t="shared" si="68"/>
        <v>20000000</v>
      </c>
      <c r="DE75" s="240">
        <f t="shared" si="69"/>
        <v>60000000</v>
      </c>
      <c r="DF75" s="207">
        <v>1</v>
      </c>
      <c r="DG75" s="228">
        <v>1</v>
      </c>
      <c r="DH75" s="228">
        <v>0.3</v>
      </c>
      <c r="DI75" s="139">
        <v>1</v>
      </c>
      <c r="DJ75" s="237"/>
    </row>
    <row r="76" spans="97:114" x14ac:dyDescent="0.25">
      <c r="CS76" s="6"/>
      <c r="CT76" s="780"/>
      <c r="CU76" s="210" t="s">
        <v>177</v>
      </c>
      <c r="CV76" s="70">
        <f t="shared" si="62"/>
        <v>1</v>
      </c>
      <c r="CW76" s="70">
        <f t="shared" si="63"/>
        <v>2</v>
      </c>
      <c r="CX76" s="211">
        <v>20000000</v>
      </c>
      <c r="CY76" s="210" t="str">
        <f t="shared" si="64"/>
        <v>金币</v>
      </c>
      <c r="CZ76" s="212">
        <f t="shared" si="65"/>
        <v>1</v>
      </c>
      <c r="DA76" s="212">
        <f t="shared" si="66"/>
        <v>2</v>
      </c>
      <c r="DB76" s="211">
        <f t="shared" si="61"/>
        <v>4000000</v>
      </c>
      <c r="DC76" s="212">
        <f t="shared" si="67"/>
        <v>23000000</v>
      </c>
      <c r="DD76" s="212">
        <f t="shared" si="68"/>
        <v>4000000</v>
      </c>
      <c r="DE76" s="70">
        <f t="shared" si="69"/>
        <v>20000000</v>
      </c>
      <c r="DF76" s="70">
        <v>0</v>
      </c>
      <c r="DG76" s="229">
        <v>0.5</v>
      </c>
      <c r="DH76" s="230">
        <v>0.75</v>
      </c>
      <c r="DI76" s="11">
        <v>9</v>
      </c>
      <c r="DJ76" s="235"/>
    </row>
    <row r="77" spans="97:114" x14ac:dyDescent="0.25">
      <c r="CS77" s="6"/>
      <c r="CT77" s="780"/>
      <c r="CU77" s="210" t="s">
        <v>177</v>
      </c>
      <c r="CV77" s="70">
        <f t="shared" si="62"/>
        <v>1</v>
      </c>
      <c r="CW77" s="70">
        <f t="shared" si="63"/>
        <v>2</v>
      </c>
      <c r="CX77" s="211">
        <v>25000000</v>
      </c>
      <c r="CY77" s="210" t="str">
        <f t="shared" si="64"/>
        <v>金币</v>
      </c>
      <c r="CZ77" s="212">
        <f t="shared" si="65"/>
        <v>1</v>
      </c>
      <c r="DA77" s="212">
        <f t="shared" si="66"/>
        <v>2</v>
      </c>
      <c r="DB77" s="211">
        <f t="shared" si="61"/>
        <v>5000000</v>
      </c>
      <c r="DC77" s="212">
        <f t="shared" si="67"/>
        <v>28750000</v>
      </c>
      <c r="DD77" s="212">
        <f t="shared" si="68"/>
        <v>5000000</v>
      </c>
      <c r="DE77" s="70">
        <f t="shared" si="69"/>
        <v>25000000</v>
      </c>
      <c r="DF77" s="70">
        <v>0</v>
      </c>
      <c r="DG77" s="229">
        <v>1</v>
      </c>
      <c r="DH77" s="230">
        <v>0.75</v>
      </c>
      <c r="DI77" s="11">
        <v>7</v>
      </c>
      <c r="DJ77" s="235"/>
    </row>
    <row r="78" spans="97:114" x14ac:dyDescent="0.25">
      <c r="CS78" s="6"/>
      <c r="CT78" s="780"/>
      <c r="CU78" s="210" t="s">
        <v>177</v>
      </c>
      <c r="CV78" s="70">
        <f t="shared" si="62"/>
        <v>1</v>
      </c>
      <c r="CW78" s="70">
        <f t="shared" si="63"/>
        <v>2</v>
      </c>
      <c r="CX78" s="211">
        <v>30000000</v>
      </c>
      <c r="CY78" s="210" t="str">
        <f t="shared" si="64"/>
        <v>金币</v>
      </c>
      <c r="CZ78" s="212">
        <f t="shared" si="65"/>
        <v>1</v>
      </c>
      <c r="DA78" s="212">
        <f t="shared" si="66"/>
        <v>2</v>
      </c>
      <c r="DB78" s="211">
        <f t="shared" si="61"/>
        <v>6000000</v>
      </c>
      <c r="DC78" s="212">
        <f t="shared" si="67"/>
        <v>34500000</v>
      </c>
      <c r="DD78" s="212">
        <f t="shared" si="68"/>
        <v>6000000</v>
      </c>
      <c r="DE78" s="70">
        <f t="shared" si="69"/>
        <v>30000000</v>
      </c>
      <c r="DF78" s="70">
        <v>0</v>
      </c>
      <c r="DG78" s="229">
        <v>1</v>
      </c>
      <c r="DH78" s="229">
        <v>0.75</v>
      </c>
      <c r="DI78" s="11">
        <v>4</v>
      </c>
      <c r="DJ78" s="235"/>
    </row>
    <row r="79" spans="97:114" x14ac:dyDescent="0.25">
      <c r="CS79" s="6"/>
      <c r="CT79" s="780"/>
      <c r="CU79" s="210" t="s">
        <v>177</v>
      </c>
      <c r="CV79" s="70">
        <f t="shared" si="62"/>
        <v>1</v>
      </c>
      <c r="CW79" s="70">
        <f t="shared" si="63"/>
        <v>2</v>
      </c>
      <c r="CX79" s="211">
        <v>35000000</v>
      </c>
      <c r="CY79" s="210" t="str">
        <f t="shared" si="64"/>
        <v>金币</v>
      </c>
      <c r="CZ79" s="212">
        <f t="shared" si="65"/>
        <v>1</v>
      </c>
      <c r="DA79" s="212">
        <f t="shared" si="66"/>
        <v>2</v>
      </c>
      <c r="DB79" s="211">
        <f t="shared" si="61"/>
        <v>7000000</v>
      </c>
      <c r="DC79" s="212">
        <f t="shared" si="67"/>
        <v>38500000</v>
      </c>
      <c r="DD79" s="212">
        <f t="shared" si="68"/>
        <v>7000000</v>
      </c>
      <c r="DE79" s="70">
        <f t="shared" si="69"/>
        <v>35000000</v>
      </c>
      <c r="DF79" s="70">
        <v>0</v>
      </c>
      <c r="DG79" s="229">
        <v>1</v>
      </c>
      <c r="DH79" s="230">
        <v>0.5</v>
      </c>
      <c r="DI79" s="11">
        <v>2</v>
      </c>
      <c r="DJ79" s="235"/>
    </row>
    <row r="80" spans="97:114" x14ac:dyDescent="0.25">
      <c r="CS80" s="6"/>
      <c r="CT80" s="780"/>
      <c r="CU80" s="210" t="s">
        <v>177</v>
      </c>
      <c r="CV80" s="70">
        <f t="shared" si="62"/>
        <v>1</v>
      </c>
      <c r="CW80" s="70">
        <f t="shared" si="63"/>
        <v>2</v>
      </c>
      <c r="CX80" s="211">
        <v>40000000</v>
      </c>
      <c r="CY80" s="210" t="str">
        <f t="shared" si="64"/>
        <v>金币</v>
      </c>
      <c r="CZ80" s="212">
        <f t="shared" si="65"/>
        <v>1</v>
      </c>
      <c r="DA80" s="212">
        <f t="shared" si="66"/>
        <v>2</v>
      </c>
      <c r="DB80" s="211">
        <f t="shared" si="61"/>
        <v>8000000</v>
      </c>
      <c r="DC80" s="212">
        <f t="shared" si="67"/>
        <v>42400000</v>
      </c>
      <c r="DD80" s="212">
        <f t="shared" si="68"/>
        <v>8000000</v>
      </c>
      <c r="DE80" s="70">
        <f t="shared" si="69"/>
        <v>40000000</v>
      </c>
      <c r="DF80" s="70">
        <v>0</v>
      </c>
      <c r="DG80" s="229">
        <v>1</v>
      </c>
      <c r="DH80" s="229">
        <v>0.3</v>
      </c>
      <c r="DI80" s="11">
        <v>10</v>
      </c>
      <c r="DJ80" s="235"/>
    </row>
    <row r="81" spans="97:114" x14ac:dyDescent="0.25">
      <c r="CS81" s="6"/>
      <c r="CT81" s="780"/>
      <c r="CU81" s="210" t="s">
        <v>177</v>
      </c>
      <c r="CV81" s="70">
        <f t="shared" si="62"/>
        <v>1</v>
      </c>
      <c r="CW81" s="70">
        <f t="shared" si="63"/>
        <v>2</v>
      </c>
      <c r="CX81" s="211">
        <v>45000000</v>
      </c>
      <c r="CY81" s="210" t="str">
        <f t="shared" si="64"/>
        <v>金币</v>
      </c>
      <c r="CZ81" s="212">
        <f t="shared" si="65"/>
        <v>1</v>
      </c>
      <c r="DA81" s="212">
        <f t="shared" si="66"/>
        <v>2</v>
      </c>
      <c r="DB81" s="211">
        <f t="shared" si="61"/>
        <v>9000000</v>
      </c>
      <c r="DC81" s="212">
        <f t="shared" si="67"/>
        <v>45000000</v>
      </c>
      <c r="DD81" s="212">
        <f t="shared" si="68"/>
        <v>9000000</v>
      </c>
      <c r="DE81" s="70">
        <f t="shared" si="69"/>
        <v>45000000</v>
      </c>
      <c r="DF81" s="70">
        <v>0</v>
      </c>
      <c r="DG81" s="11"/>
      <c r="DH81" s="11"/>
      <c r="DI81" s="11">
        <v>8</v>
      </c>
      <c r="DJ81" s="235"/>
    </row>
    <row r="82" spans="97:114" x14ac:dyDescent="0.25">
      <c r="CS82" s="6"/>
      <c r="CT82" s="780"/>
      <c r="CU82" s="210" t="s">
        <v>1381</v>
      </c>
      <c r="CV82" s="70">
        <f t="shared" si="62"/>
        <v>2</v>
      </c>
      <c r="CW82" s="70">
        <f t="shared" si="63"/>
        <v>1007</v>
      </c>
      <c r="CX82" s="211">
        <v>7</v>
      </c>
      <c r="CY82" s="210" t="str">
        <f t="shared" si="64"/>
        <v>超级武器3</v>
      </c>
      <c r="CZ82" s="212">
        <f t="shared" si="65"/>
        <v>2</v>
      </c>
      <c r="DA82" s="212">
        <f t="shared" si="66"/>
        <v>1007</v>
      </c>
      <c r="DB82" s="211">
        <f t="shared" si="61"/>
        <v>2</v>
      </c>
      <c r="DC82" s="212">
        <f t="shared" si="67"/>
        <v>35000000</v>
      </c>
      <c r="DD82" s="212">
        <f t="shared" si="68"/>
        <v>10000000</v>
      </c>
      <c r="DE82" s="70">
        <f t="shared" si="69"/>
        <v>35000000</v>
      </c>
      <c r="DF82" s="70">
        <v>0</v>
      </c>
      <c r="DG82" s="11"/>
      <c r="DH82" s="11"/>
      <c r="DI82" s="11">
        <v>5</v>
      </c>
      <c r="DJ82" s="235"/>
    </row>
    <row r="83" spans="97:114" x14ac:dyDescent="0.25">
      <c r="CS83" s="6"/>
      <c r="CT83" s="780"/>
      <c r="CU83" s="210" t="s">
        <v>1381</v>
      </c>
      <c r="CV83" s="70">
        <f t="shared" si="62"/>
        <v>2</v>
      </c>
      <c r="CW83" s="70">
        <f t="shared" si="63"/>
        <v>1007</v>
      </c>
      <c r="CX83" s="211">
        <v>8</v>
      </c>
      <c r="CY83" s="210" t="str">
        <f t="shared" si="64"/>
        <v>超级武器3</v>
      </c>
      <c r="CZ83" s="212">
        <f t="shared" si="65"/>
        <v>2</v>
      </c>
      <c r="DA83" s="212">
        <f t="shared" si="66"/>
        <v>1007</v>
      </c>
      <c r="DB83" s="211">
        <f t="shared" si="61"/>
        <v>2</v>
      </c>
      <c r="DC83" s="212">
        <f t="shared" si="67"/>
        <v>40000000</v>
      </c>
      <c r="DD83" s="212">
        <f t="shared" si="68"/>
        <v>10000000</v>
      </c>
      <c r="DE83" s="70">
        <f t="shared" si="69"/>
        <v>40000000</v>
      </c>
      <c r="DF83" s="70">
        <v>0</v>
      </c>
      <c r="DG83" s="11"/>
      <c r="DH83" s="11"/>
      <c r="DI83" s="11">
        <v>3</v>
      </c>
      <c r="DJ83" s="235"/>
    </row>
    <row r="84" spans="97:114" x14ac:dyDescent="0.25">
      <c r="CS84" s="6">
        <f>24000000/5*6</f>
        <v>28800000</v>
      </c>
      <c r="CT84" s="781"/>
      <c r="CU84" s="213" t="s">
        <v>1370</v>
      </c>
      <c r="CV84" s="214">
        <f t="shared" si="62"/>
        <v>2</v>
      </c>
      <c r="CW84" s="214">
        <f t="shared" si="63"/>
        <v>1008</v>
      </c>
      <c r="CX84" s="217">
        <v>5</v>
      </c>
      <c r="CY84" s="213" t="str">
        <f t="shared" si="64"/>
        <v>超级武器4</v>
      </c>
      <c r="CZ84" s="215">
        <f t="shared" si="65"/>
        <v>2</v>
      </c>
      <c r="DA84" s="215">
        <f t="shared" si="66"/>
        <v>1008</v>
      </c>
      <c r="DB84" s="217">
        <f t="shared" si="61"/>
        <v>1</v>
      </c>
      <c r="DC84" s="215">
        <f t="shared" si="67"/>
        <v>50000000</v>
      </c>
      <c r="DD84" s="215">
        <f t="shared" si="68"/>
        <v>10000000</v>
      </c>
      <c r="DE84" s="214">
        <f t="shared" si="69"/>
        <v>50000000</v>
      </c>
      <c r="DF84" s="214">
        <v>0</v>
      </c>
      <c r="DG84" s="147"/>
      <c r="DH84" s="147"/>
      <c r="DI84" s="147">
        <v>6</v>
      </c>
      <c r="DJ84" s="236"/>
    </row>
  </sheetData>
  <mergeCells count="10">
    <mergeCell ref="CU3:CX3"/>
    <mergeCell ref="CY3:DB3"/>
    <mergeCell ref="CT5:CT14"/>
    <mergeCell ref="CT15:CT24"/>
    <mergeCell ref="CT25:CT34"/>
    <mergeCell ref="CT35:CT44"/>
    <mergeCell ref="CT45:CT54"/>
    <mergeCell ref="CT55:CT64"/>
    <mergeCell ref="CT65:CT74"/>
    <mergeCell ref="CT75:CT84"/>
  </mergeCells>
  <phoneticPr fontId="64" type="noConversion"/>
  <conditionalFormatting sqref="DE4">
    <cfRule type="containsText" dxfId="915" priority="57" operator="containsText" text=" ">
      <formula>NOT(ISERROR(SEARCH(" ",DE4)))</formula>
    </cfRule>
  </conditionalFormatting>
  <conditionalFormatting sqref="DJ4">
    <cfRule type="containsText" dxfId="914" priority="150" operator="containsText" text=" ">
      <formula>NOT(ISERROR(SEARCH(" ",DJ4)))</formula>
    </cfRule>
  </conditionalFormatting>
  <conditionalFormatting sqref="CI5">
    <cfRule type="containsText" dxfId="913" priority="15" operator="containsText" text=" ">
      <formula>NOT(ISERROR(SEARCH(" ",CI5)))</formula>
    </cfRule>
  </conditionalFormatting>
  <conditionalFormatting sqref="CR5">
    <cfRule type="containsText" dxfId="912" priority="11" operator="containsText" text=" ">
      <formula>NOT(ISERROR(SEARCH(" ",CR5)))</formula>
    </cfRule>
  </conditionalFormatting>
  <conditionalFormatting sqref="CI6">
    <cfRule type="containsText" dxfId="911" priority="16" operator="containsText" text=" ">
      <formula>NOT(ISERROR(SEARCH(" ",CI6)))</formula>
    </cfRule>
  </conditionalFormatting>
  <conditionalFormatting sqref="CR6">
    <cfRule type="containsText" dxfId="910" priority="12" operator="containsText" text=" ">
      <formula>NOT(ISERROR(SEARCH(" ",CR6)))</formula>
    </cfRule>
  </conditionalFormatting>
  <conditionalFormatting sqref="CI7">
    <cfRule type="containsText" dxfId="909" priority="17" operator="containsText" text=" ">
      <formula>NOT(ISERROR(SEARCH(" ",CI7)))</formula>
    </cfRule>
  </conditionalFormatting>
  <conditionalFormatting sqref="CR7">
    <cfRule type="containsText" dxfId="908" priority="13" operator="containsText" text=" ">
      <formula>NOT(ISERROR(SEARCH(" ",CR7)))</formula>
    </cfRule>
  </conditionalFormatting>
  <conditionalFormatting sqref="CI8">
    <cfRule type="containsText" dxfId="907" priority="18" operator="containsText" text=" ">
      <formula>NOT(ISERROR(SEARCH(" ",CI8)))</formula>
    </cfRule>
  </conditionalFormatting>
  <conditionalFormatting sqref="CR8">
    <cfRule type="containsText" dxfId="906" priority="14" operator="containsText" text=" ">
      <formula>NOT(ISERROR(SEARCH(" ",CR8)))</formula>
    </cfRule>
  </conditionalFormatting>
  <conditionalFormatting sqref="BQ9">
    <cfRule type="containsText" dxfId="905" priority="9" operator="containsText" text=" ">
      <formula>NOT(ISERROR(SEARCH(" ",BQ9)))</formula>
    </cfRule>
  </conditionalFormatting>
  <conditionalFormatting sqref="BZ9">
    <cfRule type="containsText" dxfId="904" priority="42" operator="containsText" text=" ">
      <formula>NOT(ISERROR(SEARCH(" ",BZ9)))</formula>
    </cfRule>
  </conditionalFormatting>
  <conditionalFormatting sqref="CI9">
    <cfRule type="containsText" dxfId="903" priority="10" operator="containsText" text=" ">
      <formula>NOT(ISERROR(SEARCH(" ",CI9)))</formula>
    </cfRule>
  </conditionalFormatting>
  <conditionalFormatting sqref="AP10">
    <cfRule type="containsText" dxfId="902" priority="34" operator="containsText" text=" ">
      <formula>NOT(ISERROR(SEARCH(" ",AP10)))</formula>
    </cfRule>
  </conditionalFormatting>
  <conditionalFormatting sqref="AY10">
    <cfRule type="containsText" dxfId="901" priority="33" operator="containsText" text=" ">
      <formula>NOT(ISERROR(SEARCH(" ",AY10)))</formula>
    </cfRule>
  </conditionalFormatting>
  <conditionalFormatting sqref="BH10">
    <cfRule type="containsText" dxfId="900" priority="32" operator="containsText" text=" ">
      <formula>NOT(ISERROR(SEARCH(" ",BH10)))</formula>
    </cfRule>
  </conditionalFormatting>
  <conditionalFormatting sqref="BQ10">
    <cfRule type="containsText" dxfId="899" priority="30" operator="containsText" text=" ">
      <formula>NOT(ISERROR(SEARCH(" ",BQ10)))</formula>
    </cfRule>
  </conditionalFormatting>
  <conditionalFormatting sqref="BZ10">
    <cfRule type="containsText" dxfId="898" priority="27" operator="containsText" text=" ">
      <formula>NOT(ISERROR(SEARCH(" ",BZ10)))</formula>
    </cfRule>
  </conditionalFormatting>
  <conditionalFormatting sqref="CR10">
    <cfRule type="containsText" dxfId="897" priority="23" operator="containsText" text=" ">
      <formula>NOT(ISERROR(SEARCH(" ",CR10)))</formula>
    </cfRule>
  </conditionalFormatting>
  <conditionalFormatting sqref="BZ11">
    <cfRule type="containsText" dxfId="896" priority="28" operator="containsText" text=" ">
      <formula>NOT(ISERROR(SEARCH(" ",BZ11)))</formula>
    </cfRule>
  </conditionalFormatting>
  <conditionalFormatting sqref="CR11">
    <cfRule type="containsText" dxfId="895" priority="24" operator="containsText" text=" ">
      <formula>NOT(ISERROR(SEARCH(" ",CR11)))</formula>
    </cfRule>
  </conditionalFormatting>
  <conditionalFormatting sqref="BZ12">
    <cfRule type="containsText" dxfId="894" priority="29" operator="containsText" text=" ">
      <formula>NOT(ISERROR(SEARCH(" ",BZ12)))</formula>
    </cfRule>
  </conditionalFormatting>
  <conditionalFormatting sqref="DF25">
    <cfRule type="containsText" dxfId="893" priority="205" operator="containsText" text=" ">
      <formula>NOT(ISERROR(SEARCH(" ",DF25)))</formula>
    </cfRule>
  </conditionalFormatting>
  <conditionalFormatting sqref="DF35">
    <cfRule type="containsText" dxfId="892" priority="204" operator="containsText" text=" ">
      <formula>NOT(ISERROR(SEARCH(" ",DF35)))</formula>
    </cfRule>
  </conditionalFormatting>
  <conditionalFormatting sqref="DF45">
    <cfRule type="containsText" dxfId="891" priority="203" operator="containsText" text=" ">
      <formula>NOT(ISERROR(SEARCH(" ",DF45)))</formula>
    </cfRule>
  </conditionalFormatting>
  <conditionalFormatting sqref="DF55">
    <cfRule type="containsText" dxfId="890" priority="221" operator="containsText" text=" ">
      <formula>NOT(ISERROR(SEARCH(" ",DF55)))</formula>
    </cfRule>
  </conditionalFormatting>
  <conditionalFormatting sqref="DE65">
    <cfRule type="containsText" dxfId="889" priority="116" operator="containsText" text=" ">
      <formula>NOT(ISERROR(SEARCH(" ",DE65)))</formula>
    </cfRule>
  </conditionalFormatting>
  <conditionalFormatting sqref="DF65">
    <cfRule type="containsText" dxfId="888" priority="144" operator="containsText" text=" ">
      <formula>NOT(ISERROR(SEARCH(" ",DF65)))</formula>
    </cfRule>
  </conditionalFormatting>
  <conditionalFormatting sqref="CX66">
    <cfRule type="containsText" dxfId="887" priority="52" operator="containsText" text=" ">
      <formula>NOT(ISERROR(SEARCH(" ",CX66)))</formula>
    </cfRule>
  </conditionalFormatting>
  <conditionalFormatting sqref="CX72">
    <cfRule type="containsText" dxfId="886" priority="50" operator="containsText" text=" ">
      <formula>NOT(ISERROR(SEARCH(" ",CX72)))</formula>
    </cfRule>
  </conditionalFormatting>
  <conditionalFormatting sqref="DE75">
    <cfRule type="containsText" dxfId="885" priority="115" operator="containsText" text=" ">
      <formula>NOT(ISERROR(SEARCH(" ",DE75)))</formula>
    </cfRule>
  </conditionalFormatting>
  <conditionalFormatting sqref="DF75">
    <cfRule type="containsText" dxfId="884" priority="137" operator="containsText" text=" ">
      <formula>NOT(ISERROR(SEARCH(" ",DF75)))</formula>
    </cfRule>
  </conditionalFormatting>
  <conditionalFormatting sqref="D11:D12">
    <cfRule type="containsText" dxfId="883" priority="148" operator="containsText" text=" ">
      <formula>NOT(ISERROR(SEARCH(" ",D11)))</formula>
    </cfRule>
  </conditionalFormatting>
  <conditionalFormatting sqref="K5:K10">
    <cfRule type="containsText" dxfId="882" priority="5" operator="containsText" text=" ">
      <formula>NOT(ISERROR(SEARCH(" ",K5)))</formula>
    </cfRule>
  </conditionalFormatting>
  <conditionalFormatting sqref="K11:K12">
    <cfRule type="containsText" dxfId="881" priority="4" operator="containsText" text=" ">
      <formula>NOT(ISERROR(SEARCH(" ",K11)))</formula>
    </cfRule>
  </conditionalFormatting>
  <conditionalFormatting sqref="O5:O8">
    <cfRule type="containsText" dxfId="880" priority="1" operator="containsText" text=" ">
      <formula>NOT(ISERROR(SEARCH(" ",O5)))</formula>
    </cfRule>
  </conditionalFormatting>
  <conditionalFormatting sqref="O9:O12">
    <cfRule type="containsText" dxfId="879" priority="48" operator="containsText" text=" ">
      <formula>NOT(ISERROR(SEARCH(" ",O9)))</formula>
    </cfRule>
  </conditionalFormatting>
  <conditionalFormatting sqref="R13:R1048576">
    <cfRule type="containsText" dxfId="878" priority="191" operator="containsText" text=" ">
      <formula>NOT(ISERROR(SEARCH(" ",R13)))</formula>
    </cfRule>
  </conditionalFormatting>
  <conditionalFormatting sqref="X5:X12">
    <cfRule type="containsText" dxfId="877" priority="70" operator="containsText" text=" ">
      <formula>NOT(ISERROR(SEARCH(" ",X5)))</formula>
    </cfRule>
  </conditionalFormatting>
  <conditionalFormatting sqref="AG5:AG12">
    <cfRule type="containsText" dxfId="876" priority="47" operator="containsText" text=" ">
      <formula>NOT(ISERROR(SEARCH(" ",AG5)))</formula>
    </cfRule>
  </conditionalFormatting>
  <conditionalFormatting sqref="AG13:AG1048576">
    <cfRule type="containsText" dxfId="875" priority="97" operator="containsText" text=" ">
      <formula>NOT(ISERROR(SEARCH(" ",AG13)))</formula>
    </cfRule>
  </conditionalFormatting>
  <conditionalFormatting sqref="AJ13:AJ1048576">
    <cfRule type="containsText" dxfId="874" priority="189" operator="containsText" text=" ">
      <formula>NOT(ISERROR(SEARCH(" ",AJ13)))</formula>
    </cfRule>
  </conditionalFormatting>
  <conditionalFormatting sqref="AP5:AP9">
    <cfRule type="containsText" dxfId="873" priority="46" operator="containsText" text=" ">
      <formula>NOT(ISERROR(SEARCH(" ",AP5)))</formula>
    </cfRule>
  </conditionalFormatting>
  <conditionalFormatting sqref="AP11:AP12">
    <cfRule type="containsText" dxfId="872" priority="37" operator="containsText" text=" ">
      <formula>NOT(ISERROR(SEARCH(" ",AP11)))</formula>
    </cfRule>
  </conditionalFormatting>
  <conditionalFormatting sqref="AP13:AP1048576">
    <cfRule type="containsText" dxfId="871" priority="95" operator="containsText" text=" ">
      <formula>NOT(ISERROR(SEARCH(" ",AP13)))</formula>
    </cfRule>
  </conditionalFormatting>
  <conditionalFormatting sqref="AS13:AS1048576">
    <cfRule type="containsText" dxfId="870" priority="188" operator="containsText" text=" ">
      <formula>NOT(ISERROR(SEARCH(" ",AS13)))</formula>
    </cfRule>
  </conditionalFormatting>
  <conditionalFormatting sqref="AY5:AY9">
    <cfRule type="containsText" dxfId="869" priority="45" operator="containsText" text=" ">
      <formula>NOT(ISERROR(SEARCH(" ",AY5)))</formula>
    </cfRule>
  </conditionalFormatting>
  <conditionalFormatting sqref="AY11:AY12">
    <cfRule type="containsText" dxfId="868" priority="36" operator="containsText" text=" ">
      <formula>NOT(ISERROR(SEARCH(" ",AY11)))</formula>
    </cfRule>
  </conditionalFormatting>
  <conditionalFormatting sqref="AY13:AY1048576">
    <cfRule type="containsText" dxfId="867" priority="93" operator="containsText" text=" ">
      <formula>NOT(ISERROR(SEARCH(" ",AY13)))</formula>
    </cfRule>
  </conditionalFormatting>
  <conditionalFormatting sqref="BB13:BB1048576">
    <cfRule type="containsText" dxfId="866" priority="187" operator="containsText" text=" ">
      <formula>NOT(ISERROR(SEARCH(" ",BB13)))</formula>
    </cfRule>
  </conditionalFormatting>
  <conditionalFormatting sqref="BH5:BH9">
    <cfRule type="containsText" dxfId="865" priority="44" operator="containsText" text=" ">
      <formula>NOT(ISERROR(SEARCH(" ",BH5)))</formula>
    </cfRule>
  </conditionalFormatting>
  <conditionalFormatting sqref="BH11:BH12">
    <cfRule type="containsText" dxfId="864" priority="35" operator="containsText" text=" ">
      <formula>NOT(ISERROR(SEARCH(" ",BH11)))</formula>
    </cfRule>
  </conditionalFormatting>
  <conditionalFormatting sqref="BH13:BH1048576">
    <cfRule type="containsText" dxfId="863" priority="91" operator="containsText" text=" ">
      <formula>NOT(ISERROR(SEARCH(" ",BH13)))</formula>
    </cfRule>
  </conditionalFormatting>
  <conditionalFormatting sqref="BJ5:BJ12">
    <cfRule type="containsText" dxfId="862" priority="100" operator="containsText" text=" ">
      <formula>NOT(ISERROR(SEARCH(" ",BJ5)))</formula>
    </cfRule>
  </conditionalFormatting>
  <conditionalFormatting sqref="BK5:BK10">
    <cfRule type="containsText" dxfId="861" priority="102" operator="containsText" text=" ">
      <formula>NOT(ISERROR(SEARCH(" ",BK5)))</formula>
    </cfRule>
  </conditionalFormatting>
  <conditionalFormatting sqref="BK11:BK12">
    <cfRule type="containsText" dxfId="860" priority="101" operator="containsText" text=" ">
      <formula>NOT(ISERROR(SEARCH(" ",BK11)))</formula>
    </cfRule>
  </conditionalFormatting>
  <conditionalFormatting sqref="BQ5:BQ8">
    <cfRule type="containsText" dxfId="859" priority="43" operator="containsText" text=" ">
      <formula>NOT(ISERROR(SEARCH(" ",BQ5)))</formula>
    </cfRule>
  </conditionalFormatting>
  <conditionalFormatting sqref="BQ11:BQ12">
    <cfRule type="containsText" dxfId="858" priority="31" operator="containsText" text=" ">
      <formula>NOT(ISERROR(SEARCH(" ",BQ11)))</formula>
    </cfRule>
  </conditionalFormatting>
  <conditionalFormatting sqref="BQ13:BQ1048576">
    <cfRule type="containsText" dxfId="857" priority="89" operator="containsText" text=" ">
      <formula>NOT(ISERROR(SEARCH(" ",BQ13)))</formula>
    </cfRule>
  </conditionalFormatting>
  <conditionalFormatting sqref="BZ5:BZ8">
    <cfRule type="containsText" dxfId="856" priority="75" operator="containsText" text=" ">
      <formula>NOT(ISERROR(SEARCH(" ",BZ5)))</formula>
    </cfRule>
  </conditionalFormatting>
  <conditionalFormatting sqref="BZ13:BZ1048576">
    <cfRule type="containsText" dxfId="855" priority="87" operator="containsText" text=" ">
      <formula>NOT(ISERROR(SEARCH(" ",BZ13)))</formula>
    </cfRule>
  </conditionalFormatting>
  <conditionalFormatting sqref="CI10:CI12">
    <cfRule type="containsText" dxfId="854" priority="49" operator="containsText" text=" ">
      <formula>NOT(ISERROR(SEARCH(" ",CI10)))</formula>
    </cfRule>
  </conditionalFormatting>
  <conditionalFormatting sqref="CI13:CI1048576">
    <cfRule type="containsText" dxfId="853" priority="85" operator="containsText" text=" ">
      <formula>NOT(ISERROR(SEARCH(" ",CI13)))</formula>
    </cfRule>
  </conditionalFormatting>
  <conditionalFormatting sqref="CN5:CN12">
    <cfRule type="containsText" dxfId="852" priority="3" operator="containsText" text=" ">
      <formula>NOT(ISERROR(SEARCH(" ",CN5)))</formula>
    </cfRule>
  </conditionalFormatting>
  <conditionalFormatting sqref="CR13:CR1048576">
    <cfRule type="containsText" dxfId="851" priority="83" operator="containsText" text=" ">
      <formula>NOT(ISERROR(SEARCH(" ",CR13)))</formula>
    </cfRule>
  </conditionalFormatting>
  <conditionalFormatting sqref="CU6:CU10">
    <cfRule type="containsText" dxfId="850" priority="58" operator="containsText" text=" ">
      <formula>NOT(ISERROR(SEARCH(" ",CU6)))</formula>
    </cfRule>
  </conditionalFormatting>
  <conditionalFormatting sqref="CU16:CU17">
    <cfRule type="containsText" dxfId="849" priority="56" operator="containsText" text=" ">
      <formula>NOT(ISERROR(SEARCH(" ",CU16)))</formula>
    </cfRule>
  </conditionalFormatting>
  <conditionalFormatting sqref="CX67:CX71">
    <cfRule type="containsText" dxfId="848" priority="53" operator="containsText" text=" ">
      <formula>NOT(ISERROR(SEARCH(" ",CX67)))</formula>
    </cfRule>
  </conditionalFormatting>
  <conditionalFormatting sqref="DC25:DC44">
    <cfRule type="containsText" dxfId="847" priority="158" operator="containsText" text=" ">
      <formula>NOT(ISERROR(SEARCH(" ",DC25)))</formula>
    </cfRule>
  </conditionalFormatting>
  <conditionalFormatting sqref="DC45:DC64">
    <cfRule type="containsText" dxfId="846" priority="157" operator="containsText" text=" ">
      <formula>NOT(ISERROR(SEARCH(" ",DC45)))</formula>
    </cfRule>
  </conditionalFormatting>
  <conditionalFormatting sqref="DC65:DC74">
    <cfRule type="containsText" dxfId="845" priority="141" operator="containsText" text=" ">
      <formula>NOT(ISERROR(SEARCH(" ",DC65)))</formula>
    </cfRule>
  </conditionalFormatting>
  <conditionalFormatting sqref="DC75:DC84">
    <cfRule type="containsText" dxfId="844" priority="134" operator="containsText" text=" ">
      <formula>NOT(ISERROR(SEARCH(" ",DC75)))</formula>
    </cfRule>
  </conditionalFormatting>
  <conditionalFormatting sqref="DD25:DD34">
    <cfRule type="containsText" dxfId="843" priority="162" operator="containsText" text=" ">
      <formula>NOT(ISERROR(SEARCH(" ",DD25)))</formula>
    </cfRule>
  </conditionalFormatting>
  <conditionalFormatting sqref="DD35:DD44">
    <cfRule type="containsText" dxfId="842" priority="161" operator="containsText" text=" ">
      <formula>NOT(ISERROR(SEARCH(" ",DD35)))</formula>
    </cfRule>
  </conditionalFormatting>
  <conditionalFormatting sqref="DD45:DD54">
    <cfRule type="containsText" dxfId="841" priority="160" operator="containsText" text=" ">
      <formula>NOT(ISERROR(SEARCH(" ",DD45)))</formula>
    </cfRule>
  </conditionalFormatting>
  <conditionalFormatting sqref="DD55:DD64">
    <cfRule type="containsText" dxfId="840" priority="159" operator="containsText" text=" ">
      <formula>NOT(ISERROR(SEARCH(" ",DD55)))</formula>
    </cfRule>
  </conditionalFormatting>
  <conditionalFormatting sqref="DD65:DD74">
    <cfRule type="containsText" dxfId="839" priority="142" operator="containsText" text=" ">
      <formula>NOT(ISERROR(SEARCH(" ",DD65)))</formula>
    </cfRule>
  </conditionalFormatting>
  <conditionalFormatting sqref="DD75:DD84">
    <cfRule type="containsText" dxfId="838" priority="135" operator="containsText" text=" ">
      <formula>NOT(ISERROR(SEARCH(" ",DD75)))</formula>
    </cfRule>
  </conditionalFormatting>
  <conditionalFormatting sqref="DE68:DE69">
    <cfRule type="containsText" dxfId="837" priority="2" operator="containsText" text=" ">
      <formula>NOT(ISERROR(SEARCH(" ",DE68)))</formula>
    </cfRule>
  </conditionalFormatting>
  <conditionalFormatting sqref="DF15:DF24">
    <cfRule type="containsText" dxfId="836" priority="206" operator="containsText" text=" ">
      <formula>NOT(ISERROR(SEARCH(" ",DF15)))</formula>
    </cfRule>
  </conditionalFormatting>
  <conditionalFormatting sqref="DF26:DF34">
    <cfRule type="containsText" dxfId="835" priority="68" operator="containsText" text=" ">
      <formula>NOT(ISERROR(SEARCH(" ",DF26)))</formula>
    </cfRule>
  </conditionalFormatting>
  <conditionalFormatting sqref="DF36:DF44">
    <cfRule type="containsText" dxfId="834" priority="67" operator="containsText" text=" ">
      <formula>NOT(ISERROR(SEARCH(" ",DF36)))</formula>
    </cfRule>
  </conditionalFormatting>
  <conditionalFormatting sqref="DF46:DF54">
    <cfRule type="containsText" dxfId="833" priority="66" operator="containsText" text=" ">
      <formula>NOT(ISERROR(SEARCH(" ",DF46)))</formula>
    </cfRule>
  </conditionalFormatting>
  <conditionalFormatting sqref="DF56:DF64">
    <cfRule type="containsText" dxfId="832" priority="65" operator="containsText" text=" ">
      <formula>NOT(ISERROR(SEARCH(" ",DF56)))</formula>
    </cfRule>
  </conditionalFormatting>
  <conditionalFormatting sqref="DF66:DF74">
    <cfRule type="containsText" dxfId="831" priority="64" operator="containsText" text=" ">
      <formula>NOT(ISERROR(SEARCH(" ",DF66)))</formula>
    </cfRule>
  </conditionalFormatting>
  <conditionalFormatting sqref="DF76:DF84">
    <cfRule type="containsText" dxfId="830" priority="63" operator="containsText" text=" ">
      <formula>NOT(ISERROR(SEARCH(" ",DF76)))</formula>
    </cfRule>
  </conditionalFormatting>
  <conditionalFormatting sqref="DG15:DG20">
    <cfRule type="containsText" dxfId="829" priority="174" operator="containsText" text=" ">
      <formula>NOT(ISERROR(SEARCH(" ",DG15)))</formula>
    </cfRule>
  </conditionalFormatting>
  <conditionalFormatting sqref="DG25:DG30">
    <cfRule type="containsText" dxfId="828" priority="173" operator="containsText" text=" ">
      <formula>NOT(ISERROR(SEARCH(" ",DG25)))</formula>
    </cfRule>
  </conditionalFormatting>
  <conditionalFormatting sqref="DG35:DG40">
    <cfRule type="containsText" dxfId="827" priority="172" operator="containsText" text=" ">
      <formula>NOT(ISERROR(SEARCH(" ",DG35)))</formula>
    </cfRule>
  </conditionalFormatting>
  <conditionalFormatting sqref="DH5:DH10">
    <cfRule type="containsText" dxfId="826" priority="154" operator="containsText" text=" ">
      <formula>NOT(ISERROR(SEARCH(" ",DH5)))</formula>
    </cfRule>
  </conditionalFormatting>
  <conditionalFormatting sqref="DH15:DH20">
    <cfRule type="containsText" dxfId="825" priority="153" operator="containsText" text=" ">
      <formula>NOT(ISERROR(SEARCH(" ",DH15)))</formula>
    </cfRule>
  </conditionalFormatting>
  <conditionalFormatting sqref="DH25:DH30">
    <cfRule type="containsText" dxfId="824" priority="155" operator="containsText" text=" ">
      <formula>NOT(ISERROR(SEARCH(" ",DH25)))</formula>
    </cfRule>
  </conditionalFormatting>
  <conditionalFormatting sqref="DH35:DH40">
    <cfRule type="containsText" dxfId="823" priority="156" operator="containsText" text=" ">
      <formula>NOT(ISERROR(SEARCH(" ",DH35)))</formula>
    </cfRule>
  </conditionalFormatting>
  <conditionalFormatting sqref="DI15:DI20">
    <cfRule type="containsText" dxfId="822" priority="39" operator="containsText" text=" ">
      <formula>NOT(ISERROR(SEARCH(" ",DI15)))</formula>
    </cfRule>
  </conditionalFormatting>
  <conditionalFormatting sqref="DJ65:DJ70">
    <cfRule type="containsText" dxfId="821" priority="140" operator="containsText" text=" ">
      <formula>NOT(ISERROR(SEARCH(" ",DJ65)))</formula>
    </cfRule>
  </conditionalFormatting>
  <conditionalFormatting sqref="DJ75:DJ80">
    <cfRule type="containsText" dxfId="820" priority="133" operator="containsText" text=" ">
      <formula>NOT(ISERROR(SEARCH(" ",DJ75)))</formula>
    </cfRule>
  </conditionalFormatting>
  <conditionalFormatting sqref="DN20:DN21">
    <cfRule type="containsText" dxfId="819" priority="218" operator="containsText" text=" ">
      <formula>NOT(ISERROR(SEARCH(" ",DN20)))</formula>
    </cfRule>
  </conditionalFormatting>
  <conditionalFormatting sqref="DN23:DN26">
    <cfRule type="containsText" dxfId="818" priority="167" operator="containsText" text="话费">
      <formula>NOT(ISERROR(SEARCH("话费",DN23)))</formula>
    </cfRule>
    <cfRule type="cellIs" dxfId="817" priority="168" operator="equal">
      <formula>"话费"</formula>
    </cfRule>
    <cfRule type="containsText" dxfId="816" priority="169" operator="containsText" text="话费">
      <formula>NOT(ISERROR(SEARCH("话费",DN23)))</formula>
    </cfRule>
    <cfRule type="containsText" dxfId="815" priority="170" operator="containsText" text=" ">
      <formula>NOT(ISERROR(SEARCH(" ",DN23)))</formula>
    </cfRule>
  </conditionalFormatting>
  <conditionalFormatting sqref="DP8:DP11">
    <cfRule type="containsText" dxfId="814" priority="228" operator="containsText" text=" ">
      <formula>NOT(ISERROR(SEARCH(" ",DP8)))</formula>
    </cfRule>
  </conditionalFormatting>
  <conditionalFormatting sqref="DP13:DP16">
    <cfRule type="containsText" dxfId="813" priority="224" operator="containsText" text=" ">
      <formula>NOT(ISERROR(SEARCH(" ",DP13)))</formula>
    </cfRule>
  </conditionalFormatting>
  <conditionalFormatting sqref="DP31:DP34">
    <cfRule type="containsText" dxfId="812" priority="6" operator="containsText" text=" ">
      <formula>NOT(ISERROR(SEARCH(" ",DP31)))</formula>
    </cfRule>
  </conditionalFormatting>
  <conditionalFormatting sqref="DR8:DR11">
    <cfRule type="containsText" dxfId="811" priority="229" operator="containsText" text=" ">
      <formula>NOT(ISERROR(SEARCH(" ",DR8)))</formula>
    </cfRule>
  </conditionalFormatting>
  <conditionalFormatting sqref="DR13:DR16">
    <cfRule type="containsText" dxfId="810" priority="225" operator="containsText" text=" ">
      <formula>NOT(ISERROR(SEARCH(" ",DR13)))</formula>
    </cfRule>
  </conditionalFormatting>
  <conditionalFormatting sqref="DR20:DR21">
    <cfRule type="containsText" dxfId="809" priority="219" operator="containsText" text=" ">
      <formula>NOT(ISERROR(SEARCH(" ",DR20)))</formula>
    </cfRule>
  </conditionalFormatting>
  <conditionalFormatting sqref="DR31:DR34">
    <cfRule type="containsText" dxfId="808" priority="7" operator="containsText" text=" ">
      <formula>NOT(ISERROR(SEARCH(" ",DR31)))</formula>
    </cfRule>
  </conditionalFormatting>
  <conditionalFormatting sqref="A9:A10 A11:B12 L5:N12 C9:C10 E5:J9 P5:W10 S13:Y1048576 AB13:AF1048576 AH13:AI1048576 Y5:Y10 AB5:AF10 AQ5:AX10 AZ5:BG10 AT13:AX1048576 AZ13:BA1048576 AH5:AO10 AK13:AO1048576 AQ13:AR1048576 BC13:BG1048576 CT55 DM1:DN2 DB1:DI2 DB4:DD4 CS2:CT2 CV2:CY2 DC3:DI3 DM22:DN22 DM20:DM21 DI4:DI10 DP12:DQ12 DP7:DR7 DQ13:DQ16 DQ8:DQ11 DO22:DO26 CT15 CS1:CY1 CT5 CT25 CT85:DI1048576 CT45 DI35:DI40 CT35 DI25:DI30 DI45:DI50 DI55:DI60 DG81:DI84 F10:J10 E10:E11 DS1:XFD2 DS25:DT26 EA25:XFD28 DT27:DT28 DM35:XFD63 DF4 DM74:XFD1048576 DN64:XFD73 DO1:DR6 DO7:DO19 DP17:DR19 DO20:DQ21 DQ22:DR26 DP22:DP30 DM4:DN11 DM3 DT3:XFD3 DS4:XFD24 DM23:DM34 DT29:XFD34 CS5:CS1048576 DM13:DN19 DN12">
    <cfRule type="containsText" dxfId="807" priority="230" operator="containsText" text=" ">
      <formula>NOT(ISERROR(SEARCH(" ",A1)))</formula>
    </cfRule>
  </conditionalFormatting>
  <conditionalFormatting sqref="CZ4:DA4 CU1:DB2">
    <cfRule type="containsText" dxfId="806" priority="163" operator="containsText" text=" ">
      <formula>NOT(ISERROR(SEARCH(" ",CU1)))</formula>
    </cfRule>
  </conditionalFormatting>
  <conditionalFormatting sqref="DJ1:DJ3 DJ81:DJ1048576">
    <cfRule type="containsText" dxfId="805" priority="152" operator="containsText" text=" ">
      <formula>NOT(ISERROR(SEARCH(" ",DJ1)))</formula>
    </cfRule>
  </conditionalFormatting>
  <conditionalFormatting sqref="DK1:DL15 DK85:DL1048576 DL74:DL84 DL16:DL63 DK16:DK84">
    <cfRule type="containsText" dxfId="804" priority="166" operator="containsText" text=" ">
      <formula>NOT(ISERROR(SEARCH(" ",DK1)))</formula>
    </cfRule>
  </conditionalFormatting>
  <conditionalFormatting sqref="Z13:AA1048576 Z5:AA10 CY3 CS3:CT3 CS4:CY4 DR12 CU2">
    <cfRule type="containsText" dxfId="803" priority="226" operator="containsText" text=" ">
      <formula>NOT(ISERROR(SEARCH(" ",Z2)))</formula>
    </cfRule>
  </conditionalFormatting>
  <conditionalFormatting sqref="A5:B10 A18:C22 A12 A13:C16 A24:C28 A36:C40 A30:C34">
    <cfRule type="colorScale" priority="7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6:B10 A5:C5 A6:A8 C6:C8 D5:D10 A13:Q1048576">
    <cfRule type="containsText" dxfId="802" priority="227" operator="containsText" text=" ">
      <formula>NOT(ISERROR(SEARCH(" ",A5)))</formula>
    </cfRule>
  </conditionalFormatting>
  <conditionalFormatting sqref="BL5:BM10 BI5:BI12 BN5:BP12">
    <cfRule type="containsText" dxfId="801" priority="114" operator="containsText" text=" ">
      <formula>NOT(ISERROR(SEARCH(" ",BI5)))</formula>
    </cfRule>
  </conditionalFormatting>
  <conditionalFormatting sqref="BW5:BY12 BR5:BV10">
    <cfRule type="containsText" dxfId="800" priority="111" operator="containsText" text=" ">
      <formula>NOT(ISERROR(SEARCH(" ",BR5)))</formula>
    </cfRule>
  </conditionalFormatting>
  <conditionalFormatting sqref="CA5:CE10 CF5:CH12">
    <cfRule type="containsText" dxfId="799" priority="108" operator="containsText" text=" ">
      <formula>NOT(ISERROR(SEARCH(" ",CA5)))</formula>
    </cfRule>
  </conditionalFormatting>
  <conditionalFormatting sqref="CJ5:CM10 CO5:CQ12">
    <cfRule type="containsText" dxfId="798" priority="105" operator="containsText" text=" ">
      <formula>NOT(ISERROR(SEARCH(" ",CJ5)))</formula>
    </cfRule>
  </conditionalFormatting>
  <conditionalFormatting sqref="CZ41:DA84 CV41:CW80 DB41:DB66 CU15:DE15 CU5:DF5 DE21:DE64 CV6:DF10 CX41:CY64 CU40:CU64 CU11:DF14 CU25:DB40 CU21:DD24 CV16:DE17 CU18:DE20">
    <cfRule type="containsText" dxfId="797" priority="223" operator="containsText" text=" ">
      <formula>NOT(ISERROR(SEARCH(" ",CU5)))</formula>
    </cfRule>
  </conditionalFormatting>
  <conditionalFormatting sqref="DG5:DG10 DG55:DH60">
    <cfRule type="containsText" dxfId="796" priority="175" operator="containsText" text=" ">
      <formula>NOT(ISERROR(SEARCH(" ",DG5)))</formula>
    </cfRule>
  </conditionalFormatting>
  <conditionalFormatting sqref="DJ5:DJ10 DJ55:DJ60 DJ45:DJ50 DJ35:DJ40 DJ25:DJ30 DJ15:DJ20">
    <cfRule type="containsText" dxfId="795" priority="151" operator="containsText" text=" ">
      <formula>NOT(ISERROR(SEARCH(" ",DJ5)))</formula>
    </cfRule>
  </conditionalFormatting>
  <conditionalFormatting sqref="CR9 CR12">
    <cfRule type="containsText" dxfId="794" priority="73" operator="containsText" text=" ">
      <formula>NOT(ISERROR(SEARCH(" ",CR9)))</formula>
    </cfRule>
  </conditionalFormatting>
  <conditionalFormatting sqref="C11:C12 E12:F12 F11">
    <cfRule type="containsText" dxfId="793" priority="149" operator="containsText" text=" ">
      <formula>NOT(ISERROR(SEARCH(" ",C11)))</formula>
    </cfRule>
  </conditionalFormatting>
  <conditionalFormatting sqref="G11:J12 L11:M12">
    <cfRule type="containsText" dxfId="792" priority="120" operator="containsText" text=" ">
      <formula>NOT(ISERROR(SEARCH(" ",G11)))</formula>
    </cfRule>
  </conditionalFormatting>
  <conditionalFormatting sqref="P11:W12 AB11:AF12 Y11:Y12 AH11:AO12 AQ11:AX12 AZ11:BG12">
    <cfRule type="containsText" dxfId="791" priority="118" operator="containsText" text=" ">
      <formula>NOT(ISERROR(SEARCH(" ",P11)))</formula>
    </cfRule>
  </conditionalFormatting>
  <conditionalFormatting sqref="Z11:AA12">
    <cfRule type="containsText" dxfId="790" priority="117" operator="containsText" text=" ">
      <formula>NOT(ISERROR(SEARCH(" ",Z11)))</formula>
    </cfRule>
  </conditionalFormatting>
  <conditionalFormatting sqref="BL11:BP12">
    <cfRule type="containsText" dxfId="789" priority="112" operator="containsText" text=" ">
      <formula>NOT(ISERROR(SEARCH(" ",BL11)))</formula>
    </cfRule>
  </conditionalFormatting>
  <conditionalFormatting sqref="BR11:BY12">
    <cfRule type="containsText" dxfId="788" priority="109" operator="containsText" text=" ">
      <formula>NOT(ISERROR(SEARCH(" ",BR11)))</formula>
    </cfRule>
  </conditionalFormatting>
  <conditionalFormatting sqref="CA11:CH12">
    <cfRule type="containsText" dxfId="787" priority="106" operator="containsText" text=" ">
      <formula>NOT(ISERROR(SEARCH(" ",CA11)))</formula>
    </cfRule>
  </conditionalFormatting>
  <conditionalFormatting sqref="CJ11:CM12 CO11:CQ12">
    <cfRule type="containsText" dxfId="786" priority="103" operator="containsText" text=" ">
      <formula>NOT(ISERROR(SEARCH(" ",CJ11)))</formula>
    </cfRule>
  </conditionalFormatting>
  <conditionalFormatting sqref="BI13:BP1048576">
    <cfRule type="containsText" dxfId="785" priority="113" operator="containsText" text=" ">
      <formula>NOT(ISERROR(SEARCH(" ",BI13)))</formula>
    </cfRule>
  </conditionalFormatting>
  <conditionalFormatting sqref="BR13:BY1048576">
    <cfRule type="containsText" dxfId="784" priority="110" operator="containsText" text=" ">
      <formula>NOT(ISERROR(SEARCH(" ",BR13)))</formula>
    </cfRule>
  </conditionalFormatting>
  <conditionalFormatting sqref="CA13:CH1048576">
    <cfRule type="containsText" dxfId="783" priority="107" operator="containsText" text=" ">
      <formula>NOT(ISERROR(SEARCH(" ",CA13)))</formula>
    </cfRule>
  </conditionalFormatting>
  <conditionalFormatting sqref="CJ13:CQ1048576">
    <cfRule type="containsText" dxfId="782" priority="104" operator="containsText" text=" ">
      <formula>NOT(ISERROR(SEARCH(" ",CJ13)))</formula>
    </cfRule>
  </conditionalFormatting>
  <conditionalFormatting sqref="DU25:DY28 DN27:DO30 DQ27:DR30">
    <cfRule type="containsText" dxfId="781" priority="59" operator="containsText" text=" ">
      <formula>NOT(ISERROR(SEARCH(" ",DN25)))</formula>
    </cfRule>
  </conditionalFormatting>
  <conditionalFormatting sqref="DS27:DS30 DZ25:DZ28">
    <cfRule type="containsText" dxfId="780" priority="60" operator="containsText" text=" ">
      <formula>NOT(ISERROR(SEARCH(" ",DS25)))</formula>
    </cfRule>
  </conditionalFormatting>
  <conditionalFormatting sqref="DQ31:DQ34 DS31:DS34 DN31:DO34">
    <cfRule type="containsText" dxfId="779" priority="8" operator="containsText" text=" ">
      <formula>NOT(ISERROR(SEARCH(" ",DN31)))</formula>
    </cfRule>
  </conditionalFormatting>
  <conditionalFormatting sqref="DG45:DH50">
    <cfRule type="containsText" dxfId="778" priority="171" operator="containsText" text=" ">
      <formula>NOT(ISERROR(SEARCH(" ",DG45)))</formula>
    </cfRule>
  </conditionalFormatting>
  <conditionalFormatting sqref="DL64:DM73">
    <cfRule type="containsText" dxfId="777" priority="51" operator="containsText" text=" ">
      <formula>NOT(ISERROR(SEARCH(" ",DL64)))</formula>
    </cfRule>
  </conditionalFormatting>
  <conditionalFormatting sqref="CT65 DI65:DI70">
    <cfRule type="containsText" dxfId="776" priority="146" operator="containsText" text=" ">
      <formula>NOT(ISERROR(SEARCH(" ",CT65)))</formula>
    </cfRule>
  </conditionalFormatting>
  <conditionalFormatting sqref="DE66:DE67 DB67:DB74 CX65:CY65 CX73:CY74 CU65:CU74 CY66:CY72 DE70:DE74">
    <cfRule type="containsText" dxfId="775" priority="145" operator="containsText" text=" ">
      <formula>NOT(ISERROR(SEARCH(" ",CU65)))</formula>
    </cfRule>
  </conditionalFormatting>
  <conditionalFormatting sqref="DG65:DH70">
    <cfRule type="containsText" dxfId="774" priority="143" operator="containsText" text=" ">
      <formula>NOT(ISERROR(SEARCH(" ",DG65)))</formula>
    </cfRule>
  </conditionalFormatting>
  <conditionalFormatting sqref="CT75 DI75:DI80">
    <cfRule type="containsText" dxfId="773" priority="139" operator="containsText" text=" ">
      <formula>NOT(ISERROR(SEARCH(" ",CT75)))</formula>
    </cfRule>
  </conditionalFormatting>
  <conditionalFormatting sqref="DB75:DB84 CU75:CU80 CX75:CY80 CX77:CX81 CU81:CY84 DE76:DE84">
    <cfRule type="containsText" dxfId="772" priority="138" operator="containsText" text=" ">
      <formula>NOT(ISERROR(SEARCH(" ",CU75)))</formula>
    </cfRule>
  </conditionalFormatting>
  <conditionalFormatting sqref="DG75:DH80">
    <cfRule type="containsText" dxfId="771" priority="136" operator="containsText" text=" ">
      <formula>NOT(ISERROR(SEARCH(" ",DG75)))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炮解锁|CannonUnlock</vt:lpstr>
      <vt:lpstr>全局参数|GlobalPar</vt:lpstr>
      <vt:lpstr>爆爆河豚|Hetun</vt:lpstr>
      <vt:lpstr>VIP升级|VIPUp</vt:lpstr>
      <vt:lpstr>房间规则|RoomRules</vt:lpstr>
      <vt:lpstr>用户升级|RoleUp</vt:lpstr>
      <vt:lpstr>鱼属性|FishAttribute</vt:lpstr>
      <vt:lpstr>弹头价值|Dantou</vt:lpstr>
      <vt:lpstr>抽奖|MoonBless</vt:lpstr>
      <vt:lpstr>掉落|Drop</vt:lpstr>
      <vt:lpstr>兑换|Exchange</vt:lpstr>
      <vt:lpstr>签到|SignIn</vt:lpstr>
      <vt:lpstr>三日礼|ThreeDays</vt:lpstr>
      <vt:lpstr>道具|Item</vt:lpstr>
      <vt:lpstr>道具|Item-f</vt:lpstr>
      <vt:lpstr>福卡赛奖励|CompetitionBillReward</vt:lpstr>
      <vt:lpstr>BOSS翻N倍玩法|BossOfNfold</vt:lpstr>
      <vt:lpstr>每日充值|Recharge</vt:lpstr>
      <vt:lpstr>福卡鱼潮S值|BasicsBillValue</vt:lpstr>
      <vt:lpstr>话费赛潜艇|AirBalloon</vt:lpstr>
      <vt:lpstr>新手七天|SevenDay</vt:lpstr>
      <vt:lpstr>潜艇等级|AirBallLv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2006-09-16T08:00:00Z</dcterms:created>
  <dcterms:modified xsi:type="dcterms:W3CDTF">2021-04-13T06:25:16Z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C39484ADD382432388F0FE6BCCA455DF</vt:lpwstr>
  </property>
</Properties>
</file>