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5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fish\India\tech\json_dragon\DataTable\"/>
    </mc:Choice>
  </mc:AlternateContent>
  <xr:revisionPtr revIDLastSave="0" documentId="13_ncr:1_{554ACA3F-961E-4A54-9865-F73B6E882E96}" xr6:coauthVersionLast="47" xr6:coauthVersionMax="47" xr10:uidLastSave="{00000000-0000-0000-0000-000000000000}"/>
  <bookViews>
    <workbookView xWindow="-110" yWindow="-110" windowWidth="22620" windowHeight="13500" tabRatio="934" activeTab="3" xr2:uid="{00000000-000D-0000-FFFF-FFFF00000000}"/>
  </bookViews>
  <sheets>
    <sheet name="炮解锁|CannonUnlock" sheetId="10" r:id="rId1"/>
    <sheet name="全局参数|GlobalPar" sheetId="8" r:id="rId2"/>
    <sheet name="道具|Item" sheetId="26" r:id="rId3"/>
    <sheet name="房间规则|RoomRules" sheetId="22" r:id="rId4"/>
    <sheet name="鱼属性|FishAttribute" sheetId="1" r:id="rId5"/>
    <sheet name="BOSS翻N倍玩法|BossOfNfold" sheetId="30" r:id="rId6"/>
    <sheet name="VIP升级|VIPUp" sheetId="27" r:id="rId7"/>
    <sheet name="充值活动|RMBActivities" sheetId="44" r:id="rId8"/>
    <sheet name="每日超值|DailyGiftRe" sheetId="47" r:id="rId9"/>
    <sheet name="用户升级|RoleUp" sheetId="2" r:id="rId10"/>
    <sheet name="福卡鱼潮S值|BasicsBillValue" sheetId="42" r:id="rId11"/>
    <sheet name="弹头价值|Dantou" sheetId="45" r:id="rId12"/>
    <sheet name="抽奖|MoonBless" sheetId="31" r:id="rId13"/>
    <sheet name="掉落|Drop" sheetId="25" r:id="rId14"/>
    <sheet name="兑换|Exchange" sheetId="24" r:id="rId15"/>
    <sheet name="会员卡|NobleCard" sheetId="21" r:id="rId16"/>
    <sheet name="签到|SignIn" sheetId="9" r:id="rId17"/>
    <sheet name="道具|Item-f" sheetId="34" r:id="rId18"/>
    <sheet name="福卡赛奖励|CompetitionBillReward" sheetId="32" r:id="rId19"/>
    <sheet name="话费赛潜艇|AirBalloon" sheetId="19" r:id="rId20"/>
    <sheet name="新手七天|SevenDay" sheetId="33" r:id="rId21"/>
    <sheet name="潜艇等级|AirBallLv" sheetId="46" r:id="rId22"/>
    <sheet name="每日充值|Recharge" sheetId="4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6" i="41" l="1"/>
  <c r="Z26" i="41"/>
  <c r="Y26" i="41"/>
  <c r="X26" i="41"/>
  <c r="W26" i="41"/>
  <c r="AA25" i="41"/>
  <c r="Z25" i="41"/>
  <c r="Y25" i="41"/>
  <c r="X25" i="41"/>
  <c r="W25" i="41"/>
  <c r="AA24" i="41"/>
  <c r="Z24" i="41"/>
  <c r="Y24" i="41"/>
  <c r="X24" i="41"/>
  <c r="W24" i="41"/>
  <c r="AA23" i="41"/>
  <c r="Z23" i="41"/>
  <c r="Y23" i="41"/>
  <c r="X23" i="41"/>
  <c r="W23" i="41"/>
  <c r="AA22" i="41"/>
  <c r="Z22" i="41"/>
  <c r="Y22" i="41"/>
  <c r="X22" i="41"/>
  <c r="W22" i="41"/>
  <c r="AA21" i="41"/>
  <c r="Z21" i="41"/>
  <c r="X21" i="41"/>
  <c r="W21" i="41"/>
  <c r="AA20" i="41"/>
  <c r="Z20" i="41"/>
  <c r="X20" i="41"/>
  <c r="W20" i="41"/>
  <c r="AA19" i="41"/>
  <c r="Z19" i="41"/>
  <c r="Y19" i="41"/>
  <c r="W19" i="41"/>
  <c r="AA18" i="41"/>
  <c r="Z18" i="41"/>
  <c r="X18" i="41"/>
  <c r="W18" i="41"/>
  <c r="AA17" i="41"/>
  <c r="Z17" i="41"/>
  <c r="X17" i="41"/>
  <c r="W17" i="41"/>
  <c r="AA16" i="41"/>
  <c r="Z16" i="41"/>
  <c r="W16" i="41"/>
  <c r="AA15" i="41"/>
  <c r="Z15" i="41"/>
  <c r="W15" i="41"/>
  <c r="AA14" i="41"/>
  <c r="Z14" i="41"/>
  <c r="W14" i="41"/>
  <c r="AA13" i="41"/>
  <c r="Z13" i="41"/>
  <c r="W13" i="41"/>
  <c r="AA12" i="41"/>
  <c r="Z12" i="41"/>
  <c r="W12" i="41"/>
  <c r="AA11" i="41"/>
  <c r="Z11" i="41"/>
  <c r="Y11" i="41"/>
  <c r="W11" i="41"/>
  <c r="AA10" i="41"/>
  <c r="Z10" i="41"/>
  <c r="Y10" i="41"/>
  <c r="W10" i="41"/>
  <c r="AA9" i="41"/>
  <c r="Z9" i="41"/>
  <c r="Y9" i="41"/>
  <c r="W9" i="41"/>
  <c r="AA8" i="41"/>
  <c r="Z8" i="41"/>
  <c r="Y8" i="41"/>
  <c r="W8" i="41"/>
  <c r="AA7" i="41"/>
  <c r="Z7" i="41"/>
  <c r="W7" i="41"/>
  <c r="AA6" i="41"/>
  <c r="Z6" i="41"/>
  <c r="W6" i="41"/>
  <c r="AA5" i="41"/>
  <c r="Z5" i="41"/>
  <c r="Y5" i="41"/>
  <c r="X5" i="41"/>
  <c r="W5" i="41"/>
  <c r="R5" i="41"/>
  <c r="AA4" i="41"/>
  <c r="Z4" i="41"/>
  <c r="Y4" i="41"/>
  <c r="X4" i="41"/>
  <c r="W4" i="41"/>
  <c r="Q35" i="46"/>
  <c r="Q36" i="46" s="1"/>
  <c r="Q37" i="46" s="1"/>
  <c r="R32" i="46"/>
  <c r="S31" i="46" s="1"/>
  <c r="K32" i="46"/>
  <c r="K33" i="46" s="1"/>
  <c r="K34" i="46" s="1"/>
  <c r="K35" i="46" s="1"/>
  <c r="K36" i="46" s="1"/>
  <c r="K37" i="46" s="1"/>
  <c r="K38" i="46" s="1"/>
  <c r="K39" i="46" s="1"/>
  <c r="K40" i="46" s="1"/>
  <c r="P31" i="46"/>
  <c r="P32" i="46" s="1"/>
  <c r="P33" i="46" s="1"/>
  <c r="P34" i="46" s="1"/>
  <c r="P35" i="46" s="1"/>
  <c r="P36" i="46" s="1"/>
  <c r="P37" i="46" s="1"/>
  <c r="P38" i="46" s="1"/>
  <c r="P39" i="46" s="1"/>
  <c r="P40" i="46" s="1"/>
  <c r="N31" i="46"/>
  <c r="N32" i="46" s="1"/>
  <c r="N33" i="46" s="1"/>
  <c r="N34" i="46" s="1"/>
  <c r="N35" i="46" s="1"/>
  <c r="N36" i="46" s="1"/>
  <c r="N37" i="46" s="1"/>
  <c r="N38" i="46" s="1"/>
  <c r="N39" i="46" s="1"/>
  <c r="N40" i="46" s="1"/>
  <c r="M31" i="46"/>
  <c r="L31" i="46"/>
  <c r="L32" i="46" s="1"/>
  <c r="P30" i="46"/>
  <c r="N30" i="46"/>
  <c r="M30" i="46"/>
  <c r="L30" i="46"/>
  <c r="R31" i="46" s="1"/>
  <c r="S30" i="46" s="1"/>
  <c r="Q29" i="46"/>
  <c r="P29" i="46"/>
  <c r="M29" i="46"/>
  <c r="L29" i="46"/>
  <c r="R30" i="46" s="1"/>
  <c r="S29" i="46" s="1"/>
  <c r="Q28" i="46"/>
  <c r="P28" i="46"/>
  <c r="L28" i="46"/>
  <c r="M28" i="46" s="1"/>
  <c r="Q27" i="46"/>
  <c r="P27" i="46"/>
  <c r="L27" i="46"/>
  <c r="M27" i="46" s="1"/>
  <c r="P26" i="46"/>
  <c r="L26" i="46"/>
  <c r="M26" i="46" s="1"/>
  <c r="Q25" i="46"/>
  <c r="P25" i="46"/>
  <c r="L25" i="46"/>
  <c r="R26" i="46" s="1"/>
  <c r="S25" i="46" s="1"/>
  <c r="Q24" i="46"/>
  <c r="P24" i="46"/>
  <c r="L24" i="46"/>
  <c r="M24" i="46" s="1"/>
  <c r="P23" i="46"/>
  <c r="M23" i="46"/>
  <c r="L23" i="46"/>
  <c r="R24" i="46" s="1"/>
  <c r="S23" i="46" s="1"/>
  <c r="P22" i="46"/>
  <c r="O22" i="46"/>
  <c r="M22" i="46"/>
  <c r="L22" i="46"/>
  <c r="R23" i="46" s="1"/>
  <c r="S22" i="46" s="1"/>
  <c r="T22" i="46" s="1"/>
  <c r="R21" i="46"/>
  <c r="Q21" i="46"/>
  <c r="P21" i="46"/>
  <c r="O21" i="46"/>
  <c r="N21" i="46"/>
  <c r="M21" i="46"/>
  <c r="L21" i="46"/>
  <c r="R22" i="46" s="1"/>
  <c r="S21" i="46" s="1"/>
  <c r="T15" i="46"/>
  <c r="R12" i="46"/>
  <c r="Q12" i="46"/>
  <c r="Q31" i="46" s="1"/>
  <c r="Q32" i="46" s="1"/>
  <c r="Q33" i="46" s="1"/>
  <c r="Q34" i="46" s="1"/>
  <c r="N12" i="46"/>
  <c r="M12" i="46"/>
  <c r="R11" i="46"/>
  <c r="Q11" i="46"/>
  <c r="Q30" i="46" s="1"/>
  <c r="N11" i="46"/>
  <c r="M11" i="46"/>
  <c r="R10" i="46"/>
  <c r="Q10" i="46"/>
  <c r="N10" i="46"/>
  <c r="N29" i="46" s="1"/>
  <c r="M10" i="46"/>
  <c r="R9" i="46"/>
  <c r="S8" i="46" s="1"/>
  <c r="Q9" i="46"/>
  <c r="N9" i="46"/>
  <c r="N28" i="46" s="1"/>
  <c r="M9" i="46"/>
  <c r="R8" i="46"/>
  <c r="S7" i="46" s="1"/>
  <c r="Q8" i="46"/>
  <c r="N8" i="46"/>
  <c r="N27" i="46" s="1"/>
  <c r="M8" i="46"/>
  <c r="R7" i="46"/>
  <c r="S6" i="46" s="1"/>
  <c r="Q7" i="46"/>
  <c r="Q26" i="46" s="1"/>
  <c r="N7" i="46"/>
  <c r="N26" i="46" s="1"/>
  <c r="M7" i="46"/>
  <c r="R6" i="46"/>
  <c r="S5" i="46" s="1"/>
  <c r="Q6" i="46"/>
  <c r="N6" i="46"/>
  <c r="N25" i="46" s="1"/>
  <c r="M6" i="46"/>
  <c r="R5" i="46"/>
  <c r="S4" i="46" s="1"/>
  <c r="T4" i="46" s="1"/>
  <c r="Q5" i="46"/>
  <c r="N5" i="46"/>
  <c r="N24" i="46" s="1"/>
  <c r="M5" i="46"/>
  <c r="R4" i="46"/>
  <c r="Q4" i="46"/>
  <c r="Q23" i="46" s="1"/>
  <c r="O4" i="46"/>
  <c r="O23" i="46" s="1"/>
  <c r="N4" i="46"/>
  <c r="N23" i="46" s="1"/>
  <c r="M4" i="46"/>
  <c r="H4" i="46"/>
  <c r="S3" i="46"/>
  <c r="T3" i="46" s="1"/>
  <c r="R3" i="46"/>
  <c r="Q3" i="46"/>
  <c r="Q22" i="46" s="1"/>
  <c r="N3" i="46"/>
  <c r="M3" i="46"/>
  <c r="S2" i="46"/>
  <c r="U2" i="46" s="1"/>
  <c r="U3" i="46" s="1"/>
  <c r="M2" i="46"/>
  <c r="I2" i="46"/>
  <c r="P27" i="33"/>
  <c r="O27" i="33"/>
  <c r="L27" i="33"/>
  <c r="P26" i="33"/>
  <c r="O26" i="33"/>
  <c r="N26" i="33"/>
  <c r="M26" i="33"/>
  <c r="L26" i="33"/>
  <c r="P25" i="33"/>
  <c r="O25" i="33"/>
  <c r="N25" i="33"/>
  <c r="M25" i="33"/>
  <c r="L25" i="33"/>
  <c r="P24" i="33"/>
  <c r="O24" i="33"/>
  <c r="N24" i="33"/>
  <c r="M24" i="33"/>
  <c r="L24" i="33"/>
  <c r="P23" i="33"/>
  <c r="O23" i="33"/>
  <c r="N23" i="33"/>
  <c r="M23" i="33"/>
  <c r="L23" i="33"/>
  <c r="P22" i="33"/>
  <c r="O22" i="33"/>
  <c r="N22" i="33"/>
  <c r="M22" i="33"/>
  <c r="L22" i="33"/>
  <c r="P21" i="33"/>
  <c r="O21" i="33"/>
  <c r="M21" i="33"/>
  <c r="L21" i="33"/>
  <c r="P20" i="33"/>
  <c r="O20" i="33"/>
  <c r="M20" i="33"/>
  <c r="L20" i="33"/>
  <c r="P19" i="33"/>
  <c r="O19" i="33"/>
  <c r="N19" i="33"/>
  <c r="L19" i="33"/>
  <c r="P18" i="33"/>
  <c r="O18" i="33"/>
  <c r="M18" i="33"/>
  <c r="L18" i="33"/>
  <c r="P17" i="33"/>
  <c r="O17" i="33"/>
  <c r="M17" i="33"/>
  <c r="L17" i="33"/>
  <c r="P16" i="33"/>
  <c r="O16" i="33"/>
  <c r="M16" i="33"/>
  <c r="L16" i="33"/>
  <c r="P15" i="33"/>
  <c r="O15" i="33"/>
  <c r="L15" i="33"/>
  <c r="P14" i="33"/>
  <c r="O14" i="33"/>
  <c r="L14" i="33"/>
  <c r="P13" i="33"/>
  <c r="O13" i="33"/>
  <c r="L13" i="33"/>
  <c r="P12" i="33"/>
  <c r="O12" i="33"/>
  <c r="L12" i="33"/>
  <c r="P11" i="33"/>
  <c r="O11" i="33"/>
  <c r="N11" i="33"/>
  <c r="L11" i="33"/>
  <c r="F11" i="33" s="1"/>
  <c r="P10" i="33"/>
  <c r="O10" i="33"/>
  <c r="N10" i="33"/>
  <c r="L10" i="33"/>
  <c r="P9" i="33"/>
  <c r="O9" i="33"/>
  <c r="N9" i="33"/>
  <c r="L9" i="33"/>
  <c r="G9" i="33"/>
  <c r="F9" i="33"/>
  <c r="P8" i="33"/>
  <c r="O8" i="33"/>
  <c r="N8" i="33"/>
  <c r="L8" i="33"/>
  <c r="G8" i="33"/>
  <c r="P7" i="33"/>
  <c r="O7" i="33"/>
  <c r="L7" i="33"/>
  <c r="P6" i="33"/>
  <c r="O6" i="33"/>
  <c r="L6" i="33"/>
  <c r="P5" i="33"/>
  <c r="O5" i="33"/>
  <c r="N5" i="33"/>
  <c r="M5" i="33"/>
  <c r="L5" i="33"/>
  <c r="F5" i="33"/>
  <c r="P4" i="33"/>
  <c r="O4" i="33"/>
  <c r="N4" i="33"/>
  <c r="M4" i="33"/>
  <c r="L4" i="33"/>
  <c r="G6" i="33" s="1"/>
  <c r="D12" i="19"/>
  <c r="C12" i="19"/>
  <c r="D11" i="19"/>
  <c r="D10" i="19"/>
  <c r="C10" i="19"/>
  <c r="D9" i="19"/>
  <c r="E8" i="19"/>
  <c r="G7" i="19"/>
  <c r="G8" i="19" s="1"/>
  <c r="E7" i="19"/>
  <c r="D7" i="19"/>
  <c r="C8" i="19" s="1"/>
  <c r="D8" i="19" s="1"/>
  <c r="H6" i="19"/>
  <c r="H7" i="19" s="1"/>
  <c r="H8" i="19" s="1"/>
  <c r="G6" i="19"/>
  <c r="F6" i="19"/>
  <c r="F7" i="19" s="1"/>
  <c r="F8" i="19" s="1"/>
  <c r="E6" i="19"/>
  <c r="H5" i="19"/>
  <c r="D5" i="19"/>
  <c r="C6" i="19" s="1"/>
  <c r="D6" i="19" s="1"/>
  <c r="L3" i="19"/>
  <c r="C30" i="32"/>
  <c r="C21" i="32"/>
  <c r="C12" i="32"/>
  <c r="P5" i="34"/>
  <c r="O5" i="34"/>
  <c r="N5" i="34"/>
  <c r="M5" i="34"/>
  <c r="L5" i="34"/>
  <c r="K5" i="34"/>
  <c r="J5" i="34"/>
  <c r="I5" i="34"/>
  <c r="H5" i="34"/>
  <c r="G5" i="34"/>
  <c r="F5" i="34"/>
  <c r="E5" i="34"/>
  <c r="Q38" i="9"/>
  <c r="Q37" i="9"/>
  <c r="Q36" i="9"/>
  <c r="Q35" i="9"/>
  <c r="V27" i="9"/>
  <c r="U27" i="9"/>
  <c r="R27" i="9"/>
  <c r="V26" i="9"/>
  <c r="U26" i="9"/>
  <c r="T26" i="9"/>
  <c r="S26" i="9"/>
  <c r="R26" i="9"/>
  <c r="V25" i="9"/>
  <c r="U25" i="9"/>
  <c r="T25" i="9"/>
  <c r="S25" i="9"/>
  <c r="R25" i="9"/>
  <c r="V24" i="9"/>
  <c r="U24" i="9"/>
  <c r="T24" i="9"/>
  <c r="S24" i="9"/>
  <c r="R24" i="9"/>
  <c r="V23" i="9"/>
  <c r="U23" i="9"/>
  <c r="T23" i="9"/>
  <c r="S23" i="9"/>
  <c r="R23" i="9"/>
  <c r="V22" i="9"/>
  <c r="U22" i="9"/>
  <c r="T22" i="9"/>
  <c r="S22" i="9"/>
  <c r="R22" i="9"/>
  <c r="V21" i="9"/>
  <c r="U21" i="9"/>
  <c r="S21" i="9"/>
  <c r="R21" i="9"/>
  <c r="V20" i="9"/>
  <c r="U20" i="9"/>
  <c r="S20" i="9"/>
  <c r="R20" i="9"/>
  <c r="V19" i="9"/>
  <c r="U19" i="9"/>
  <c r="T19" i="9"/>
  <c r="R19" i="9"/>
  <c r="V18" i="9"/>
  <c r="U18" i="9"/>
  <c r="S18" i="9"/>
  <c r="R18" i="9"/>
  <c r="M18" i="9"/>
  <c r="V17" i="9"/>
  <c r="U17" i="9"/>
  <c r="S17" i="9"/>
  <c r="R17" i="9"/>
  <c r="M17" i="9"/>
  <c r="K17" i="9"/>
  <c r="V16" i="9"/>
  <c r="U16" i="9"/>
  <c r="R16" i="9"/>
  <c r="M16" i="9"/>
  <c r="V15" i="9"/>
  <c r="U15" i="9"/>
  <c r="R15" i="9"/>
  <c r="M15" i="9"/>
  <c r="V14" i="9"/>
  <c r="U14" i="9"/>
  <c r="R14" i="9"/>
  <c r="M14" i="9"/>
  <c r="L14" i="9"/>
  <c r="K14" i="9"/>
  <c r="C14" i="9" s="1"/>
  <c r="V13" i="9"/>
  <c r="U13" i="9"/>
  <c r="R13" i="9"/>
  <c r="M13" i="9"/>
  <c r="V12" i="9"/>
  <c r="U12" i="9"/>
  <c r="R12" i="9"/>
  <c r="M12" i="9"/>
  <c r="V11" i="9"/>
  <c r="U11" i="9"/>
  <c r="T11" i="9"/>
  <c r="R11" i="9"/>
  <c r="I11" i="9"/>
  <c r="N11" i="9" s="1"/>
  <c r="V10" i="9"/>
  <c r="U10" i="9"/>
  <c r="T10" i="9"/>
  <c r="R10" i="9"/>
  <c r="I10" i="9"/>
  <c r="N10" i="9" s="1"/>
  <c r="V9" i="9"/>
  <c r="U9" i="9"/>
  <c r="T9" i="9"/>
  <c r="R9" i="9"/>
  <c r="N9" i="9"/>
  <c r="L9" i="9"/>
  <c r="I9" i="9"/>
  <c r="V8" i="9"/>
  <c r="U8" i="9"/>
  <c r="T8" i="9"/>
  <c r="R8" i="9"/>
  <c r="Q8" i="9"/>
  <c r="K8" i="9"/>
  <c r="I8" i="9"/>
  <c r="N8" i="9" s="1"/>
  <c r="V7" i="9"/>
  <c r="U7" i="9"/>
  <c r="R7" i="9"/>
  <c r="Q7" i="9"/>
  <c r="K7" i="9"/>
  <c r="I7" i="9"/>
  <c r="N7" i="9" s="1"/>
  <c r="V6" i="9"/>
  <c r="U6" i="9"/>
  <c r="R6" i="9"/>
  <c r="Q6" i="9"/>
  <c r="I6" i="9"/>
  <c r="N6" i="9" s="1"/>
  <c r="V5" i="9"/>
  <c r="U5" i="9"/>
  <c r="T5" i="9"/>
  <c r="S5" i="9"/>
  <c r="R5" i="9"/>
  <c r="Q5" i="9"/>
  <c r="N5" i="9"/>
  <c r="L5" i="9"/>
  <c r="K5" i="9"/>
  <c r="G5" i="9"/>
  <c r="V4" i="9"/>
  <c r="U4" i="9"/>
  <c r="T4" i="9"/>
  <c r="S4" i="9"/>
  <c r="R4" i="9"/>
  <c r="L15" i="9" s="1"/>
  <c r="P4" i="9"/>
  <c r="O2" i="9"/>
  <c r="AK27" i="21"/>
  <c r="AJ27" i="21"/>
  <c r="AG27" i="21"/>
  <c r="AK26" i="21"/>
  <c r="AJ26" i="21"/>
  <c r="AI26" i="21"/>
  <c r="AH26" i="21"/>
  <c r="AG26" i="21"/>
  <c r="AK25" i="21"/>
  <c r="AJ25" i="21"/>
  <c r="AI25" i="21"/>
  <c r="AH25" i="21"/>
  <c r="AG25" i="21"/>
  <c r="AK24" i="21"/>
  <c r="AJ24" i="21"/>
  <c r="AI24" i="21"/>
  <c r="AH24" i="21"/>
  <c r="AG24" i="21"/>
  <c r="AK23" i="21"/>
  <c r="AJ23" i="21"/>
  <c r="AI23" i="21"/>
  <c r="AH23" i="21"/>
  <c r="AG23" i="21"/>
  <c r="AK22" i="21"/>
  <c r="AJ22" i="21"/>
  <c r="AI22" i="21"/>
  <c r="AH22" i="21"/>
  <c r="AG22" i="21"/>
  <c r="AK21" i="21"/>
  <c r="AJ21" i="21"/>
  <c r="AH21" i="21"/>
  <c r="AG21" i="21"/>
  <c r="AK20" i="21"/>
  <c r="AJ20" i="21"/>
  <c r="AI20" i="21"/>
  <c r="AH20" i="21"/>
  <c r="AG20" i="21"/>
  <c r="AK19" i="21"/>
  <c r="AJ19" i="21"/>
  <c r="AI19" i="21"/>
  <c r="AG19" i="21"/>
  <c r="AK18" i="21"/>
  <c r="AJ18" i="21"/>
  <c r="AI18" i="21"/>
  <c r="AH18" i="21"/>
  <c r="AG18" i="21"/>
  <c r="AK17" i="21"/>
  <c r="AJ17" i="21"/>
  <c r="AH17" i="21"/>
  <c r="AG17" i="21"/>
  <c r="AK16" i="21"/>
  <c r="AJ16" i="21"/>
  <c r="AG16" i="21"/>
  <c r="AK15" i="21"/>
  <c r="AJ15" i="21"/>
  <c r="AG15" i="21"/>
  <c r="AK14" i="21"/>
  <c r="AJ14" i="21"/>
  <c r="AG14" i="21"/>
  <c r="AK13" i="21"/>
  <c r="AJ13" i="21"/>
  <c r="AG13" i="21"/>
  <c r="AK12" i="21"/>
  <c r="AJ12" i="21"/>
  <c r="AG12" i="21"/>
  <c r="AK11" i="21"/>
  <c r="AJ11" i="21"/>
  <c r="AI11" i="21"/>
  <c r="AH11" i="21"/>
  <c r="AG11" i="21"/>
  <c r="AK10" i="21"/>
  <c r="AJ10" i="21"/>
  <c r="AI10" i="21"/>
  <c r="AG10" i="21"/>
  <c r="AK9" i="21"/>
  <c r="AJ9" i="21"/>
  <c r="AI9" i="21"/>
  <c r="AG9" i="21"/>
  <c r="AK8" i="21"/>
  <c r="AJ8" i="21"/>
  <c r="AI8" i="21"/>
  <c r="AG8" i="21"/>
  <c r="AK7" i="21"/>
  <c r="AJ7" i="21"/>
  <c r="AG7" i="21"/>
  <c r="AK6" i="21"/>
  <c r="AJ6" i="21"/>
  <c r="AG6" i="21"/>
  <c r="AK5" i="21"/>
  <c r="AJ5" i="21"/>
  <c r="AI5" i="21"/>
  <c r="AH5" i="21"/>
  <c r="AG5" i="21"/>
  <c r="K5" i="21"/>
  <c r="AK4" i="21"/>
  <c r="AJ4" i="21"/>
  <c r="AI4" i="21"/>
  <c r="AH4" i="21"/>
  <c r="AG4" i="21"/>
  <c r="M40" i="24"/>
  <c r="F40" i="24"/>
  <c r="F39" i="24"/>
  <c r="F35" i="24"/>
  <c r="F34" i="24"/>
  <c r="Z30" i="24"/>
  <c r="Y30" i="24"/>
  <c r="V30" i="24"/>
  <c r="F30" i="24"/>
  <c r="Z29" i="24"/>
  <c r="Y29" i="24"/>
  <c r="V29" i="24"/>
  <c r="F29" i="24"/>
  <c r="Z28" i="24"/>
  <c r="Y28" i="24"/>
  <c r="V28" i="24"/>
  <c r="Z27" i="24"/>
  <c r="Y27" i="24"/>
  <c r="V27" i="24"/>
  <c r="Z26" i="24"/>
  <c r="Y26" i="24"/>
  <c r="X26" i="24"/>
  <c r="W26" i="24"/>
  <c r="V26" i="24"/>
  <c r="Z25" i="24"/>
  <c r="Y25" i="24"/>
  <c r="X25" i="24"/>
  <c r="W25" i="24"/>
  <c r="V25" i="24"/>
  <c r="Z24" i="24"/>
  <c r="Y24" i="24"/>
  <c r="X24" i="24"/>
  <c r="W24" i="24"/>
  <c r="V24" i="24"/>
  <c r="AM23" i="24"/>
  <c r="AJ23" i="24"/>
  <c r="Z23" i="24"/>
  <c r="Y23" i="24"/>
  <c r="X23" i="24"/>
  <c r="W23" i="24"/>
  <c r="V23" i="24"/>
  <c r="K23" i="24"/>
  <c r="F23" i="24"/>
  <c r="AJ22" i="24"/>
  <c r="AM22" i="24" s="1"/>
  <c r="Z22" i="24"/>
  <c r="Y22" i="24"/>
  <c r="X22" i="24"/>
  <c r="W22" i="24"/>
  <c r="V22" i="24"/>
  <c r="Z21" i="24"/>
  <c r="Y21" i="24"/>
  <c r="W21" i="24"/>
  <c r="V21" i="24"/>
  <c r="Z20" i="24"/>
  <c r="Y20" i="24"/>
  <c r="W20" i="24"/>
  <c r="V20" i="24"/>
  <c r="P20" i="24"/>
  <c r="Z19" i="24"/>
  <c r="Y19" i="24"/>
  <c r="X19" i="24"/>
  <c r="V19" i="24"/>
  <c r="Z18" i="24"/>
  <c r="Y18" i="24"/>
  <c r="W18" i="24"/>
  <c r="V18" i="24"/>
  <c r="Z17" i="24"/>
  <c r="Y17" i="24"/>
  <c r="W17" i="24"/>
  <c r="V17" i="24"/>
  <c r="Z16" i="24"/>
  <c r="Y16" i="24"/>
  <c r="V16" i="24"/>
  <c r="S14" i="24" s="1"/>
  <c r="L14" i="24" s="1"/>
  <c r="Q16" i="24"/>
  <c r="Z15" i="24"/>
  <c r="Y15" i="24"/>
  <c r="V15" i="24"/>
  <c r="F15" i="24"/>
  <c r="Z14" i="24"/>
  <c r="Y14" i="24"/>
  <c r="V14" i="24"/>
  <c r="F14" i="24"/>
  <c r="Z13" i="24"/>
  <c r="Y13" i="24"/>
  <c r="V13" i="24"/>
  <c r="S13" i="24"/>
  <c r="L13" i="24" s="1"/>
  <c r="F13" i="24"/>
  <c r="Z12" i="24"/>
  <c r="Y12" i="24"/>
  <c r="X12" i="24"/>
  <c r="V12" i="24"/>
  <c r="AM11" i="24"/>
  <c r="Z11" i="24"/>
  <c r="Y11" i="24"/>
  <c r="X11" i="24"/>
  <c r="V11" i="24"/>
  <c r="AM10" i="24"/>
  <c r="Z10" i="24"/>
  <c r="Y10" i="24"/>
  <c r="X10" i="24"/>
  <c r="V10" i="24"/>
  <c r="AM9" i="24"/>
  <c r="Z9" i="24"/>
  <c r="Y9" i="24"/>
  <c r="X9" i="24"/>
  <c r="V9" i="24"/>
  <c r="Q9" i="24"/>
  <c r="AM8" i="24"/>
  <c r="Z8" i="24"/>
  <c r="Y8" i="24"/>
  <c r="X8" i="24"/>
  <c r="V8" i="24"/>
  <c r="AM7" i="24"/>
  <c r="AJ7" i="24"/>
  <c r="Z7" i="24"/>
  <c r="Y7" i="24"/>
  <c r="W7" i="24"/>
  <c r="V7" i="24"/>
  <c r="Q25" i="24" s="1"/>
  <c r="F7" i="24"/>
  <c r="AM6" i="24"/>
  <c r="Z6" i="24"/>
  <c r="Y6" i="24"/>
  <c r="V6" i="24"/>
  <c r="F6" i="24"/>
  <c r="Z5" i="24"/>
  <c r="Y5" i="24"/>
  <c r="X5" i="24"/>
  <c r="W5" i="24"/>
  <c r="W12" i="24" s="1"/>
  <c r="W30" i="24" s="1"/>
  <c r="X30" i="24" s="1"/>
  <c r="V5" i="24"/>
  <c r="F5" i="24"/>
  <c r="Z4" i="24"/>
  <c r="Y4" i="24"/>
  <c r="X4" i="24"/>
  <c r="W4" i="24"/>
  <c r="V4" i="24"/>
  <c r="Q42" i="24" s="1"/>
  <c r="R88" i="25"/>
  <c r="R87" i="25"/>
  <c r="R86" i="25"/>
  <c r="R85" i="25"/>
  <c r="R84" i="25"/>
  <c r="R83" i="25"/>
  <c r="R82" i="25"/>
  <c r="R81" i="25"/>
  <c r="R80" i="25"/>
  <c r="R79" i="25"/>
  <c r="R78" i="25"/>
  <c r="R77" i="25"/>
  <c r="R76" i="25"/>
  <c r="R75" i="25"/>
  <c r="R74" i="25"/>
  <c r="R63" i="25"/>
  <c r="R62" i="25"/>
  <c r="R61" i="25"/>
  <c r="R60" i="25"/>
  <c r="R59" i="25"/>
  <c r="R58" i="25"/>
  <c r="E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Q38" i="25"/>
  <c r="Q37" i="25"/>
  <c r="Q36" i="25"/>
  <c r="Q35" i="25"/>
  <c r="Q34" i="25"/>
  <c r="I33" i="25"/>
  <c r="Q33" i="25" s="1"/>
  <c r="AE32" i="25"/>
  <c r="AD32" i="25"/>
  <c r="AC32" i="25"/>
  <c r="AB32" i="25"/>
  <c r="AA32" i="25"/>
  <c r="Z32" i="25"/>
  <c r="Q32" i="25"/>
  <c r="K32" i="25"/>
  <c r="AE31" i="25"/>
  <c r="AD31" i="25"/>
  <c r="AC31" i="25"/>
  <c r="AB31" i="25"/>
  <c r="AA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I28" i="25"/>
  <c r="Q28" i="25" s="1"/>
  <c r="AE27" i="25"/>
  <c r="AD27" i="25"/>
  <c r="AC27" i="25"/>
  <c r="Z27" i="25"/>
  <c r="K27" i="25"/>
  <c r="Q27" i="25" s="1"/>
  <c r="AE26" i="25"/>
  <c r="AD26" i="25"/>
  <c r="AC26" i="25"/>
  <c r="AB26" i="25"/>
  <c r="AA26" i="25"/>
  <c r="Z26" i="25"/>
  <c r="Q26" i="25"/>
  <c r="AE25" i="25"/>
  <c r="AD25" i="25"/>
  <c r="AC25" i="25"/>
  <c r="AB25" i="25"/>
  <c r="AA25" i="25"/>
  <c r="Z25" i="25"/>
  <c r="Q25" i="25"/>
  <c r="AE24" i="25"/>
  <c r="AD24" i="25"/>
  <c r="AC24" i="25"/>
  <c r="AB24" i="25"/>
  <c r="AA24" i="25"/>
  <c r="Z24" i="25"/>
  <c r="Q24" i="25"/>
  <c r="AE23" i="25"/>
  <c r="AD23" i="25"/>
  <c r="AC23" i="25"/>
  <c r="AB23" i="25"/>
  <c r="AA23" i="25"/>
  <c r="Z23" i="25"/>
  <c r="Y23" i="25"/>
  <c r="Q23" i="25"/>
  <c r="I23" i="25"/>
  <c r="AE22" i="25"/>
  <c r="AD22" i="25"/>
  <c r="AC22" i="25"/>
  <c r="AB22" i="25"/>
  <c r="AA22" i="25"/>
  <c r="Z22" i="25"/>
  <c r="Y22" i="25"/>
  <c r="Q22" i="25"/>
  <c r="K22" i="25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B19" i="25"/>
  <c r="Z19" i="25"/>
  <c r="Q19" i="25"/>
  <c r="AE18" i="25"/>
  <c r="AD18" i="25"/>
  <c r="AC18" i="25"/>
  <c r="AA18" i="25"/>
  <c r="Z18" i="25"/>
  <c r="Q18" i="25"/>
  <c r="I18" i="25"/>
  <c r="AE17" i="25"/>
  <c r="AD17" i="25"/>
  <c r="AC17" i="25"/>
  <c r="AA17" i="25"/>
  <c r="Z17" i="25"/>
  <c r="Q17" i="25"/>
  <c r="K17" i="25"/>
  <c r="AE16" i="25"/>
  <c r="AD16" i="25"/>
  <c r="AC16" i="25"/>
  <c r="Z16" i="25"/>
  <c r="Q16" i="25"/>
  <c r="AE15" i="25"/>
  <c r="AD15" i="25"/>
  <c r="AC15" i="25"/>
  <c r="Z15" i="25"/>
  <c r="Q15" i="25"/>
  <c r="G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AA9" i="25"/>
  <c r="Z9" i="25"/>
  <c r="Q9" i="25"/>
  <c r="AE8" i="25"/>
  <c r="AD8" i="25"/>
  <c r="AC8" i="25"/>
  <c r="AB8" i="25"/>
  <c r="Z8" i="25"/>
  <c r="Q8" i="25"/>
  <c r="AE7" i="25"/>
  <c r="AD7" i="25"/>
  <c r="AC7" i="25"/>
  <c r="Z7" i="25"/>
  <c r="Q7" i="25"/>
  <c r="AE6" i="25"/>
  <c r="AD6" i="25"/>
  <c r="AC6" i="25"/>
  <c r="AB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DB84" i="31"/>
  <c r="DA84" i="31"/>
  <c r="CY84" i="31"/>
  <c r="CZ84" i="31" s="1"/>
  <c r="CW84" i="31"/>
  <c r="CJ12" i="31" s="1"/>
  <c r="CV84" i="31"/>
  <c r="DB83" i="31"/>
  <c r="CY83" i="31"/>
  <c r="CW83" i="31"/>
  <c r="CV83" i="31"/>
  <c r="DB82" i="31"/>
  <c r="CZ82" i="31"/>
  <c r="CY82" i="31"/>
  <c r="DA82" i="31" s="1"/>
  <c r="CW82" i="31"/>
  <c r="CV82" i="31"/>
  <c r="DD81" i="31"/>
  <c r="DB81" i="31"/>
  <c r="DA81" i="31"/>
  <c r="CZ81" i="31"/>
  <c r="CY81" i="31"/>
  <c r="CW81" i="31"/>
  <c r="CV81" i="31"/>
  <c r="DB80" i="31"/>
  <c r="CZ80" i="31"/>
  <c r="CY80" i="31"/>
  <c r="DD80" i="31" s="1"/>
  <c r="CW80" i="31"/>
  <c r="CV80" i="31"/>
  <c r="DB79" i="31"/>
  <c r="CZ79" i="31"/>
  <c r="CY79" i="31"/>
  <c r="DD79" i="31" s="1"/>
  <c r="CW79" i="31"/>
  <c r="CV79" i="31"/>
  <c r="DB78" i="31"/>
  <c r="CY78" i="31"/>
  <c r="CW78" i="31"/>
  <c r="CV78" i="31"/>
  <c r="AH12" i="31" s="1"/>
  <c r="DB77" i="31"/>
  <c r="DA77" i="31"/>
  <c r="CZ77" i="31"/>
  <c r="CY77" i="31"/>
  <c r="CW77" i="31"/>
  <c r="CV77" i="31"/>
  <c r="DB76" i="31"/>
  <c r="CY76" i="31"/>
  <c r="CW76" i="31"/>
  <c r="CV76" i="31"/>
  <c r="DE75" i="31"/>
  <c r="J12" i="31" s="1"/>
  <c r="DD75" i="31"/>
  <c r="DC75" i="31" s="1"/>
  <c r="I12" i="31" s="1"/>
  <c r="DB75" i="31"/>
  <c r="CY75" i="31"/>
  <c r="CW75" i="31"/>
  <c r="CV75" i="31"/>
  <c r="CT75" i="31"/>
  <c r="DE74" i="31"/>
  <c r="CM11" i="31" s="1"/>
  <c r="DB74" i="31"/>
  <c r="DA74" i="31"/>
  <c r="CY74" i="31"/>
  <c r="CZ74" i="31" s="1"/>
  <c r="CK11" i="31" s="1"/>
  <c r="CW74" i="31"/>
  <c r="CV74" i="31"/>
  <c r="DB73" i="31"/>
  <c r="CZ73" i="31"/>
  <c r="CY73" i="31"/>
  <c r="CW73" i="31"/>
  <c r="CV73" i="31"/>
  <c r="DB72" i="31"/>
  <c r="CY72" i="31"/>
  <c r="DD72" i="31" s="1"/>
  <c r="CW72" i="31"/>
  <c r="CV72" i="31"/>
  <c r="DB71" i="31"/>
  <c r="CY71" i="31"/>
  <c r="CW71" i="31"/>
  <c r="CV71" i="31"/>
  <c r="DB70" i="31"/>
  <c r="DA70" i="31"/>
  <c r="BA11" i="31" s="1"/>
  <c r="CZ70" i="31"/>
  <c r="CY70" i="31"/>
  <c r="CW70" i="31"/>
  <c r="CV70" i="31"/>
  <c r="DB69" i="31"/>
  <c r="CY69" i="31"/>
  <c r="CW69" i="31"/>
  <c r="AQ11" i="31" s="1"/>
  <c r="CV69" i="31"/>
  <c r="DB68" i="31"/>
  <c r="CY68" i="31"/>
  <c r="CW68" i="31"/>
  <c r="CV68" i="31"/>
  <c r="DB67" i="31"/>
  <c r="CY67" i="31"/>
  <c r="CW67" i="31"/>
  <c r="CV67" i="31"/>
  <c r="DB66" i="31"/>
  <c r="CY66" i="31"/>
  <c r="CZ66" i="31" s="1"/>
  <c r="CW66" i="31"/>
  <c r="CV66" i="31"/>
  <c r="DB65" i="31"/>
  <c r="CY65" i="31"/>
  <c r="CW65" i="31"/>
  <c r="CV65" i="31"/>
  <c r="G11" i="31" s="1"/>
  <c r="DD64" i="31"/>
  <c r="DB64" i="31"/>
  <c r="CY64" i="31"/>
  <c r="DA64" i="31" s="1"/>
  <c r="CW64" i="31"/>
  <c r="CV64" i="31"/>
  <c r="DB63" i="31"/>
  <c r="DA63" i="31"/>
  <c r="CZ63" i="31"/>
  <c r="CY63" i="31"/>
  <c r="CW63" i="31"/>
  <c r="CV63" i="31"/>
  <c r="DB62" i="31"/>
  <c r="BS10" i="31" s="1"/>
  <c r="DA62" i="31"/>
  <c r="CY62" i="31"/>
  <c r="CZ62" i="31" s="1"/>
  <c r="CW62" i="31"/>
  <c r="CV62" i="31"/>
  <c r="DB61" i="31"/>
  <c r="CY61" i="31"/>
  <c r="CW61" i="31"/>
  <c r="CV61" i="31"/>
  <c r="DB60" i="31"/>
  <c r="DA60" i="31"/>
  <c r="CZ60" i="31"/>
  <c r="CY60" i="31"/>
  <c r="DD60" i="31" s="1"/>
  <c r="CW60" i="31"/>
  <c r="CV60" i="31"/>
  <c r="DB59" i="31"/>
  <c r="DA59" i="31"/>
  <c r="AR10" i="31" s="1"/>
  <c r="CY59" i="31"/>
  <c r="CZ59" i="31" s="1"/>
  <c r="CW59" i="31"/>
  <c r="CV59" i="31"/>
  <c r="DB58" i="31"/>
  <c r="DA58" i="31"/>
  <c r="CZ58" i="31"/>
  <c r="CY58" i="31"/>
  <c r="DD58" i="31" s="1"/>
  <c r="CW58" i="31"/>
  <c r="CV58" i="31"/>
  <c r="DB57" i="31"/>
  <c r="DA57" i="31"/>
  <c r="CY57" i="31"/>
  <c r="CW57" i="31"/>
  <c r="Y10" i="31" s="1"/>
  <c r="CV57" i="31"/>
  <c r="DB56" i="31"/>
  <c r="CY56" i="31"/>
  <c r="CW56" i="31"/>
  <c r="CV56" i="31"/>
  <c r="DB55" i="31"/>
  <c r="DA55" i="31"/>
  <c r="CZ55" i="31"/>
  <c r="CY55" i="31"/>
  <c r="CW55" i="31"/>
  <c r="CV55" i="31"/>
  <c r="DB54" i="31"/>
  <c r="DA54" i="31"/>
  <c r="CY54" i="31"/>
  <c r="CW54" i="31"/>
  <c r="CV54" i="31"/>
  <c r="DB53" i="31"/>
  <c r="DA53" i="31"/>
  <c r="CY53" i="31"/>
  <c r="CW53" i="31"/>
  <c r="CV53" i="31"/>
  <c r="DB52" i="31"/>
  <c r="DA52" i="31"/>
  <c r="CZ52" i="31"/>
  <c r="CY52" i="31"/>
  <c r="CW52" i="31"/>
  <c r="CV52" i="31"/>
  <c r="DB51" i="31"/>
  <c r="DA51" i="31"/>
  <c r="CZ51" i="31"/>
  <c r="CY51" i="31"/>
  <c r="CW51" i="31"/>
  <c r="CV51" i="31"/>
  <c r="DE50" i="31"/>
  <c r="DD50" i="31"/>
  <c r="DB50" i="31"/>
  <c r="DA50" i="31"/>
  <c r="CZ50" i="31"/>
  <c r="CY50" i="31"/>
  <c r="CW50" i="31"/>
  <c r="CV50" i="31"/>
  <c r="DE49" i="31"/>
  <c r="AT9" i="31" s="1"/>
  <c r="DB49" i="31"/>
  <c r="CY49" i="31"/>
  <c r="DD49" i="31" s="1"/>
  <c r="CW49" i="31"/>
  <c r="CV49" i="31"/>
  <c r="AQ9" i="31" s="1"/>
  <c r="DE48" i="31"/>
  <c r="DB48" i="31"/>
  <c r="CZ48" i="31"/>
  <c r="CY48" i="31"/>
  <c r="DA48" i="31" s="1"/>
  <c r="AI9" i="31" s="1"/>
  <c r="CW48" i="31"/>
  <c r="AH9" i="31" s="1"/>
  <c r="CV48" i="31"/>
  <c r="DB47" i="31"/>
  <c r="CY47" i="31"/>
  <c r="CW47" i="31"/>
  <c r="Y9" i="31" s="1"/>
  <c r="CV47" i="31"/>
  <c r="DB46" i="31"/>
  <c r="CZ46" i="31"/>
  <c r="CY46" i="31"/>
  <c r="DD46" i="31" s="1"/>
  <c r="CW46" i="31"/>
  <c r="CV46" i="31"/>
  <c r="DB45" i="31"/>
  <c r="DA45" i="31"/>
  <c r="CZ45" i="31"/>
  <c r="H9" i="31" s="1"/>
  <c r="CY45" i="31"/>
  <c r="CW45" i="31"/>
  <c r="CV45" i="31"/>
  <c r="DB44" i="31"/>
  <c r="DA44" i="31"/>
  <c r="CZ44" i="31"/>
  <c r="CY44" i="31"/>
  <c r="CW44" i="31"/>
  <c r="CV44" i="31"/>
  <c r="DE43" i="31"/>
  <c r="DB43" i="31"/>
  <c r="DA43" i="31"/>
  <c r="CZ43" i="31"/>
  <c r="CY43" i="31"/>
  <c r="CW43" i="31"/>
  <c r="CV43" i="31"/>
  <c r="DB42" i="31"/>
  <c r="CY42" i="31"/>
  <c r="DD42" i="31" s="1"/>
  <c r="CW42" i="31"/>
  <c r="CV42" i="31"/>
  <c r="BR8" i="31" s="1"/>
  <c r="DE41" i="31"/>
  <c r="BL8" i="31" s="1"/>
  <c r="DB41" i="31"/>
  <c r="CZ41" i="31"/>
  <c r="CY41" i="31"/>
  <c r="DA41" i="31" s="1"/>
  <c r="CW41" i="31"/>
  <c r="CV41" i="31"/>
  <c r="DB40" i="31"/>
  <c r="CZ40" i="31"/>
  <c r="CY40" i="31"/>
  <c r="CW40" i="31"/>
  <c r="AZ8" i="31" s="1"/>
  <c r="CV40" i="31"/>
  <c r="DB39" i="31"/>
  <c r="CZ39" i="31"/>
  <c r="CY39" i="31"/>
  <c r="DD39" i="31" s="1"/>
  <c r="CW39" i="31"/>
  <c r="CV39" i="31"/>
  <c r="DB38" i="31"/>
  <c r="DA38" i="31"/>
  <c r="CZ38" i="31"/>
  <c r="CY38" i="31"/>
  <c r="CW38" i="31"/>
  <c r="CV38" i="31"/>
  <c r="DB37" i="31"/>
  <c r="CY37" i="31"/>
  <c r="DD37" i="31" s="1"/>
  <c r="CW37" i="31"/>
  <c r="CV37" i="31"/>
  <c r="DE36" i="31"/>
  <c r="DB36" i="31"/>
  <c r="DD36" i="31" s="1"/>
  <c r="DC36" i="31" s="1"/>
  <c r="R8" i="31" s="1"/>
  <c r="DA36" i="31"/>
  <c r="CY36" i="31"/>
  <c r="CZ36" i="31" s="1"/>
  <c r="Q8" i="31" s="1"/>
  <c r="CW36" i="31"/>
  <c r="CV36" i="31"/>
  <c r="DB35" i="31"/>
  <c r="DA35" i="31"/>
  <c r="CY35" i="31"/>
  <c r="CZ35" i="31" s="1"/>
  <c r="H8" i="31" s="1"/>
  <c r="CW35" i="31"/>
  <c r="CV35" i="31"/>
  <c r="G8" i="31" s="1"/>
  <c r="CT35" i="31"/>
  <c r="CY34" i="31"/>
  <c r="DA34" i="31" s="1"/>
  <c r="CW34" i="31"/>
  <c r="CV34" i="31"/>
  <c r="CY33" i="31"/>
  <c r="DD33" i="31" s="1"/>
  <c r="CW33" i="31"/>
  <c r="CV33" i="31"/>
  <c r="CA7" i="31" s="1"/>
  <c r="DE32" i="31"/>
  <c r="BU7" i="31" s="1"/>
  <c r="CY32" i="31"/>
  <c r="DA32" i="31" s="1"/>
  <c r="CW32" i="31"/>
  <c r="CV32" i="31"/>
  <c r="BR7" i="31" s="1"/>
  <c r="CY31" i="31"/>
  <c r="DD31" i="31" s="1"/>
  <c r="CW31" i="31"/>
  <c r="CV31" i="31"/>
  <c r="CZ30" i="31"/>
  <c r="CY30" i="31"/>
  <c r="CW30" i="31"/>
  <c r="CV30" i="31"/>
  <c r="DE29" i="31"/>
  <c r="DD29" i="31"/>
  <c r="DC29" i="31" s="1"/>
  <c r="AS7" i="31" s="1"/>
  <c r="DB29" i="31"/>
  <c r="DA29" i="31"/>
  <c r="CY29" i="31"/>
  <c r="CZ29" i="31" s="1"/>
  <c r="AR7" i="31" s="1"/>
  <c r="CW29" i="31"/>
  <c r="CV29" i="31"/>
  <c r="DO28" i="31"/>
  <c r="DB28" i="31"/>
  <c r="CY28" i="31"/>
  <c r="CW28" i="31"/>
  <c r="AH7" i="31" s="1"/>
  <c r="CV28" i="31"/>
  <c r="DB27" i="31"/>
  <c r="DA27" i="31"/>
  <c r="CY27" i="31"/>
  <c r="DD27" i="31" s="1"/>
  <c r="CW27" i="31"/>
  <c r="CV27" i="31"/>
  <c r="DB26" i="31"/>
  <c r="DD26" i="31" s="1"/>
  <c r="DA26" i="31"/>
  <c r="CZ26" i="31"/>
  <c r="CY26" i="31"/>
  <c r="CW26" i="31"/>
  <c r="CV26" i="31"/>
  <c r="DW25" i="31"/>
  <c r="DB25" i="31"/>
  <c r="DA25" i="31"/>
  <c r="CZ25" i="31"/>
  <c r="CY25" i="31"/>
  <c r="CW25" i="31"/>
  <c r="CV25" i="31"/>
  <c r="G7" i="31" s="1"/>
  <c r="CT25" i="31"/>
  <c r="DE24" i="31"/>
  <c r="CM6" i="31" s="1"/>
  <c r="DB24" i="31"/>
  <c r="CZ24" i="31"/>
  <c r="CY24" i="31"/>
  <c r="DA24" i="31" s="1"/>
  <c r="CK6" i="31" s="1"/>
  <c r="CW24" i="31"/>
  <c r="CJ6" i="31" s="1"/>
  <c r="CV24" i="31"/>
  <c r="DB23" i="31"/>
  <c r="CY23" i="31"/>
  <c r="CW23" i="31"/>
  <c r="CA6" i="31" s="1"/>
  <c r="CV23" i="31"/>
  <c r="DB22" i="31"/>
  <c r="CZ22" i="31"/>
  <c r="CY22" i="31"/>
  <c r="CW22" i="31"/>
  <c r="CV22" i="31"/>
  <c r="DP21" i="31"/>
  <c r="AB21" i="25" s="1"/>
  <c r="DB21" i="31"/>
  <c r="DD21" i="31" s="1"/>
  <c r="DA21" i="31"/>
  <c r="CZ21" i="31"/>
  <c r="CY21" i="31"/>
  <c r="CW21" i="31"/>
  <c r="CV21" i="31"/>
  <c r="DP20" i="31"/>
  <c r="X20" i="24" s="1"/>
  <c r="DD20" i="31"/>
  <c r="DB20" i="31"/>
  <c r="DA20" i="31"/>
  <c r="CY20" i="31"/>
  <c r="CZ20" i="31" s="1"/>
  <c r="BA6" i="31" s="1"/>
  <c r="CW20" i="31"/>
  <c r="CV20" i="31"/>
  <c r="AZ6" i="31" s="1"/>
  <c r="DO19" i="31"/>
  <c r="DE19" i="31"/>
  <c r="AT6" i="31" s="1"/>
  <c r="DB19" i="31"/>
  <c r="CZ19" i="31"/>
  <c r="CY19" i="31"/>
  <c r="DA19" i="31" s="1"/>
  <c r="AR6" i="31" s="1"/>
  <c r="CW19" i="31"/>
  <c r="AQ6" i="31" s="1"/>
  <c r="CV19" i="31"/>
  <c r="DP18" i="31"/>
  <c r="DE18" i="31"/>
  <c r="DB18" i="31"/>
  <c r="DA18" i="31"/>
  <c r="CY18" i="31"/>
  <c r="DD18" i="31" s="1"/>
  <c r="DC18" i="31" s="1"/>
  <c r="AJ6" i="31" s="1"/>
  <c r="CW18" i="31"/>
  <c r="CV18" i="31"/>
  <c r="DP17" i="31"/>
  <c r="X17" i="24" s="1"/>
  <c r="DB17" i="31"/>
  <c r="CY17" i="31"/>
  <c r="CW17" i="31"/>
  <c r="CV17" i="31"/>
  <c r="DP16" i="31"/>
  <c r="DO16" i="31"/>
  <c r="DE16" i="31"/>
  <c r="S6" i="31" s="1"/>
  <c r="DD16" i="31"/>
  <c r="DC16" i="31" s="1"/>
  <c r="R6" i="31" s="1"/>
  <c r="DB16" i="31"/>
  <c r="CY16" i="31"/>
  <c r="DA16" i="31" s="1"/>
  <c r="CW16" i="31"/>
  <c r="CV16" i="31"/>
  <c r="P6" i="31" s="1"/>
  <c r="DB15" i="31"/>
  <c r="CY15" i="31"/>
  <c r="CW15" i="31"/>
  <c r="CV15" i="31"/>
  <c r="DD14" i="31"/>
  <c r="DA14" i="31"/>
  <c r="CZ14" i="31"/>
  <c r="CK5" i="31" s="1"/>
  <c r="CY14" i="31"/>
  <c r="CW14" i="31"/>
  <c r="CV14" i="31"/>
  <c r="CJ5" i="31" s="1"/>
  <c r="DP13" i="31"/>
  <c r="DE34" i="31" s="1"/>
  <c r="CM7" i="31" s="1"/>
  <c r="DO13" i="31"/>
  <c r="DE13" i="31"/>
  <c r="CD5" i="31" s="1"/>
  <c r="DD13" i="31"/>
  <c r="CY13" i="31"/>
  <c r="DA13" i="31" s="1"/>
  <c r="CW13" i="31"/>
  <c r="CV13" i="31"/>
  <c r="DO12" i="31"/>
  <c r="DO29" i="31" s="1"/>
  <c r="DE12" i="31"/>
  <c r="CY12" i="31"/>
  <c r="CW12" i="31"/>
  <c r="BR5" i="31" s="1"/>
  <c r="CV12" i="31"/>
  <c r="CP12" i="31"/>
  <c r="CO12" i="31"/>
  <c r="CN12" i="31"/>
  <c r="CK12" i="31"/>
  <c r="CG12" i="31"/>
  <c r="CF12" i="31"/>
  <c r="CE12" i="31"/>
  <c r="CA12" i="31"/>
  <c r="BX12" i="31"/>
  <c r="BW12" i="31"/>
  <c r="BV12" i="31"/>
  <c r="BS12" i="31"/>
  <c r="BR12" i="31"/>
  <c r="BO12" i="31"/>
  <c r="BN12" i="31"/>
  <c r="BM12" i="31"/>
  <c r="BJ12" i="31"/>
  <c r="BI12" i="31"/>
  <c r="BF12" i="31"/>
  <c r="BE12" i="31"/>
  <c r="BD12" i="31"/>
  <c r="AZ12" i="31"/>
  <c r="AW12" i="31"/>
  <c r="AV12" i="31"/>
  <c r="AU12" i="31"/>
  <c r="AQ12" i="31"/>
  <c r="AN12" i="31"/>
  <c r="AM12" i="31"/>
  <c r="AL12" i="31"/>
  <c r="AE12" i="31"/>
  <c r="AD12" i="31"/>
  <c r="AC12" i="31"/>
  <c r="Z12" i="31"/>
  <c r="Y12" i="31"/>
  <c r="V12" i="31"/>
  <c r="U12" i="31"/>
  <c r="T12" i="31"/>
  <c r="P12" i="31"/>
  <c r="M12" i="31"/>
  <c r="L12" i="31"/>
  <c r="K12" i="31"/>
  <c r="G12" i="31"/>
  <c r="DO11" i="31"/>
  <c r="DE11" i="31"/>
  <c r="CY11" i="31"/>
  <c r="CW11" i="31"/>
  <c r="CV11" i="31"/>
  <c r="BI5" i="31" s="1"/>
  <c r="CP11" i="31"/>
  <c r="CO11" i="31"/>
  <c r="CN11" i="31"/>
  <c r="CJ11" i="31"/>
  <c r="CG11" i="31"/>
  <c r="CF11" i="31"/>
  <c r="CE11" i="31"/>
  <c r="CA11" i="31"/>
  <c r="BX11" i="31"/>
  <c r="BW11" i="31"/>
  <c r="BV11" i="31"/>
  <c r="BR11" i="31"/>
  <c r="BO11" i="31"/>
  <c r="BN11" i="31"/>
  <c r="BM11" i="31"/>
  <c r="BI11" i="31"/>
  <c r="BF11" i="31"/>
  <c r="BE11" i="31"/>
  <c r="BD11" i="31"/>
  <c r="AZ11" i="31"/>
  <c r="AW11" i="31"/>
  <c r="AV11" i="31"/>
  <c r="AU11" i="31"/>
  <c r="AN11" i="31"/>
  <c r="AM11" i="31"/>
  <c r="AL11" i="31"/>
  <c r="AH11" i="31"/>
  <c r="AE11" i="31"/>
  <c r="AD11" i="31"/>
  <c r="AC11" i="31"/>
  <c r="V11" i="31"/>
  <c r="U11" i="31"/>
  <c r="T11" i="31"/>
  <c r="P11" i="31"/>
  <c r="M11" i="31"/>
  <c r="L11" i="31"/>
  <c r="K11" i="31"/>
  <c r="E11" i="31"/>
  <c r="CT65" i="31" s="1"/>
  <c r="DO10" i="31"/>
  <c r="DE10" i="31"/>
  <c r="BC5" i="31" s="1"/>
  <c r="DB10" i="31"/>
  <c r="CZ10" i="31"/>
  <c r="CY10" i="31"/>
  <c r="CW10" i="31"/>
  <c r="CV10" i="31"/>
  <c r="CP10" i="31"/>
  <c r="CO10" i="31"/>
  <c r="CN10" i="31"/>
  <c r="CJ10" i="31"/>
  <c r="CG10" i="31"/>
  <c r="CF10" i="31"/>
  <c r="CE10" i="31"/>
  <c r="CB10" i="31"/>
  <c r="CA10" i="31"/>
  <c r="BX10" i="31"/>
  <c r="BW10" i="31"/>
  <c r="BV10" i="31"/>
  <c r="BR10" i="31"/>
  <c r="BO10" i="31"/>
  <c r="BN10" i="31"/>
  <c r="BM10" i="31"/>
  <c r="BI10" i="31"/>
  <c r="BF10" i="31"/>
  <c r="BE10" i="31"/>
  <c r="BD10" i="31"/>
  <c r="AZ10" i="31"/>
  <c r="AW10" i="31"/>
  <c r="AV10" i="31"/>
  <c r="AU10" i="31"/>
  <c r="AQ10" i="31"/>
  <c r="AN10" i="31"/>
  <c r="AM10" i="31"/>
  <c r="AL10" i="31"/>
  <c r="AH10" i="31"/>
  <c r="AE10" i="31"/>
  <c r="AD10" i="31"/>
  <c r="AC10" i="31"/>
  <c r="V10" i="31"/>
  <c r="U10" i="31"/>
  <c r="T10" i="31"/>
  <c r="P10" i="31"/>
  <c r="M10" i="31"/>
  <c r="L10" i="31"/>
  <c r="K10" i="31"/>
  <c r="H10" i="31"/>
  <c r="G10" i="31"/>
  <c r="E10" i="31"/>
  <c r="CT55" i="31" s="1"/>
  <c r="DO9" i="31"/>
  <c r="S9" i="9" s="1"/>
  <c r="DE9" i="31"/>
  <c r="AT5" i="31" s="1"/>
  <c r="DB9" i="31"/>
  <c r="CY9" i="31"/>
  <c r="DD9" i="31" s="1"/>
  <c r="DC9" i="31" s="1"/>
  <c r="AS5" i="31" s="1"/>
  <c r="CW9" i="31"/>
  <c r="AQ5" i="31" s="1"/>
  <c r="CV9" i="31"/>
  <c r="CP9" i="31"/>
  <c r="CO9" i="31"/>
  <c r="CN9" i="31"/>
  <c r="CJ9" i="31"/>
  <c r="CG9" i="31"/>
  <c r="CF9" i="31"/>
  <c r="CE9" i="31"/>
  <c r="CA9" i="31"/>
  <c r="BX9" i="31"/>
  <c r="BW9" i="31"/>
  <c r="BV9" i="31"/>
  <c r="BR9" i="31"/>
  <c r="BO9" i="31"/>
  <c r="BN9" i="31"/>
  <c r="BM9" i="31"/>
  <c r="BJ9" i="31"/>
  <c r="BI9" i="31"/>
  <c r="BF9" i="31"/>
  <c r="BE9" i="31"/>
  <c r="BD9" i="31"/>
  <c r="BA9" i="31"/>
  <c r="AZ9" i="31"/>
  <c r="AW9" i="31"/>
  <c r="AV9" i="31"/>
  <c r="AU9" i="31"/>
  <c r="AN9" i="31"/>
  <c r="AM9" i="31"/>
  <c r="AL9" i="31"/>
  <c r="AK9" i="31"/>
  <c r="AE9" i="31"/>
  <c r="AD9" i="31"/>
  <c r="AC9" i="31"/>
  <c r="V9" i="31"/>
  <c r="U9" i="31"/>
  <c r="T9" i="31"/>
  <c r="P9" i="31"/>
  <c r="M9" i="31"/>
  <c r="L9" i="31"/>
  <c r="K9" i="31"/>
  <c r="G9" i="31"/>
  <c r="E9" i="31"/>
  <c r="CT45" i="31" s="1"/>
  <c r="DO8" i="31"/>
  <c r="DB8" i="31"/>
  <c r="DA8" i="31"/>
  <c r="CZ8" i="31"/>
  <c r="CY8" i="31"/>
  <c r="DD8" i="31" s="1"/>
  <c r="CW8" i="31"/>
  <c r="CV8" i="31"/>
  <c r="CP8" i="31"/>
  <c r="CO8" i="31"/>
  <c r="CN8" i="31"/>
  <c r="CK8" i="31"/>
  <c r="CJ8" i="31"/>
  <c r="CG8" i="31"/>
  <c r="CF8" i="31"/>
  <c r="CE8" i="31"/>
  <c r="CD8" i="31"/>
  <c r="CB8" i="31"/>
  <c r="CA8" i="31"/>
  <c r="BX8" i="31"/>
  <c r="BW8" i="31"/>
  <c r="BV8" i="31"/>
  <c r="BO8" i="31"/>
  <c r="BN8" i="31"/>
  <c r="BM8" i="31"/>
  <c r="BJ8" i="31"/>
  <c r="BI8" i="31"/>
  <c r="BF8" i="31"/>
  <c r="BE8" i="31"/>
  <c r="BD8" i="31"/>
  <c r="AW8" i="31"/>
  <c r="AV8" i="31"/>
  <c r="AU8" i="31"/>
  <c r="AQ8" i="31"/>
  <c r="AN8" i="31"/>
  <c r="AM8" i="31"/>
  <c r="AL8" i="31"/>
  <c r="AH8" i="31"/>
  <c r="AE8" i="31"/>
  <c r="AD8" i="31"/>
  <c r="AC8" i="31"/>
  <c r="Y8" i="31"/>
  <c r="V8" i="31"/>
  <c r="U8" i="31"/>
  <c r="T8" i="31"/>
  <c r="S8" i="31"/>
  <c r="P8" i="31"/>
  <c r="M8" i="31"/>
  <c r="L8" i="31"/>
  <c r="K8" i="31"/>
  <c r="E8" i="31"/>
  <c r="DP7" i="31"/>
  <c r="DE52" i="31" s="1"/>
  <c r="BU9" i="31" s="1"/>
  <c r="DO7" i="31"/>
  <c r="DL7" i="31"/>
  <c r="DE7" i="31"/>
  <c r="DC7" i="31" s="1"/>
  <c r="AA5" i="31" s="1"/>
  <c r="DD7" i="31"/>
  <c r="DB7" i="31"/>
  <c r="Z5" i="31" s="1"/>
  <c r="DA7" i="31"/>
  <c r="CZ7" i="31"/>
  <c r="H7" i="31" s="1"/>
  <c r="CY7" i="31"/>
  <c r="CW7" i="31"/>
  <c r="Y5" i="31" s="1"/>
  <c r="CV7" i="31"/>
  <c r="CP7" i="31"/>
  <c r="CO7" i="31"/>
  <c r="CN7" i="31"/>
  <c r="CJ7" i="31"/>
  <c r="CG7" i="31"/>
  <c r="CF7" i="31"/>
  <c r="CE7" i="31"/>
  <c r="BX7" i="31"/>
  <c r="BW7" i="31"/>
  <c r="BV7" i="31"/>
  <c r="BO7" i="31"/>
  <c r="BN7" i="31"/>
  <c r="BM7" i="31"/>
  <c r="BF7" i="31"/>
  <c r="BE7" i="31"/>
  <c r="BD7" i="31"/>
  <c r="AZ7" i="31"/>
  <c r="AW7" i="31"/>
  <c r="AV7" i="31"/>
  <c r="AU7" i="31"/>
  <c r="AT7" i="31"/>
  <c r="AQ7" i="31"/>
  <c r="AN7" i="31"/>
  <c r="AM7" i="31"/>
  <c r="AL7" i="31"/>
  <c r="AE7" i="31"/>
  <c r="AD7" i="31"/>
  <c r="AC7" i="31"/>
  <c r="Y7" i="31"/>
  <c r="V7" i="31"/>
  <c r="U7" i="31"/>
  <c r="T7" i="31"/>
  <c r="P7" i="31"/>
  <c r="M7" i="31"/>
  <c r="L7" i="31"/>
  <c r="K7" i="31"/>
  <c r="E7" i="31"/>
  <c r="DP6" i="31"/>
  <c r="DE42" i="31" s="1"/>
  <c r="BU8" i="31" s="1"/>
  <c r="DO6" i="31"/>
  <c r="DL6" i="31"/>
  <c r="DE6" i="31"/>
  <c r="S5" i="31" s="1"/>
  <c r="DB6" i="31"/>
  <c r="CY6" i="31"/>
  <c r="CW6" i="31"/>
  <c r="CV6" i="31"/>
  <c r="P5" i="31" s="1"/>
  <c r="CP6" i="31"/>
  <c r="CO6" i="31"/>
  <c r="CN6" i="31"/>
  <c r="CG6" i="31"/>
  <c r="CF6" i="31"/>
  <c r="CE6" i="31"/>
  <c r="BX6" i="31"/>
  <c r="BW6" i="31"/>
  <c r="BV6" i="31"/>
  <c r="BR6" i="31"/>
  <c r="BO6" i="31"/>
  <c r="BN6" i="31"/>
  <c r="BM6" i="31"/>
  <c r="BI6" i="31"/>
  <c r="BF6" i="31"/>
  <c r="BE6" i="31"/>
  <c r="BD6" i="31"/>
  <c r="AW6" i="31"/>
  <c r="AV6" i="31"/>
  <c r="AU6" i="31"/>
  <c r="AN6" i="31"/>
  <c r="AM6" i="31"/>
  <c r="AL6" i="31"/>
  <c r="AK6" i="31"/>
  <c r="AH6" i="31"/>
  <c r="AE6" i="31"/>
  <c r="AD6" i="31"/>
  <c r="AC6" i="31"/>
  <c r="Y6" i="31"/>
  <c r="V6" i="31"/>
  <c r="U6" i="31"/>
  <c r="T6" i="31"/>
  <c r="M6" i="31"/>
  <c r="L6" i="31"/>
  <c r="K6" i="31"/>
  <c r="G6" i="31"/>
  <c r="E6" i="31"/>
  <c r="CT15" i="31" s="1"/>
  <c r="DK5" i="31"/>
  <c r="DB5" i="31"/>
  <c r="DA5" i="31"/>
  <c r="CY5" i="31"/>
  <c r="CW5" i="31"/>
  <c r="G5" i="31" s="1"/>
  <c r="CV5" i="31"/>
  <c r="CP5" i="31"/>
  <c r="CO5" i="31"/>
  <c r="CN5" i="31"/>
  <c r="CG5" i="31"/>
  <c r="CF5" i="31"/>
  <c r="CE5" i="31"/>
  <c r="CA5" i="31"/>
  <c r="BX5" i="31"/>
  <c r="BW5" i="31"/>
  <c r="BV5" i="31"/>
  <c r="BU5" i="31"/>
  <c r="BO5" i="31"/>
  <c r="BN5" i="31"/>
  <c r="BM5" i="31"/>
  <c r="BL5" i="31"/>
  <c r="BF5" i="31"/>
  <c r="BE5" i="31"/>
  <c r="BD5" i="31"/>
  <c r="AZ5" i="31"/>
  <c r="AW5" i="31"/>
  <c r="AV5" i="31"/>
  <c r="AU5" i="31"/>
  <c r="AN5" i="31"/>
  <c r="AM5" i="31"/>
  <c r="AL5" i="31"/>
  <c r="AH5" i="31"/>
  <c r="AE5" i="31"/>
  <c r="AD5" i="31"/>
  <c r="AC5" i="31"/>
  <c r="AB5" i="31"/>
  <c r="V5" i="31"/>
  <c r="U5" i="31"/>
  <c r="T5" i="31"/>
  <c r="M5" i="31"/>
  <c r="L5" i="31"/>
  <c r="K5" i="31"/>
  <c r="E5" i="31"/>
  <c r="CT5" i="31" s="1"/>
  <c r="B8" i="45"/>
  <c r="H7" i="45"/>
  <c r="D7" i="45"/>
  <c r="C8" i="45" s="1"/>
  <c r="C7" i="45"/>
  <c r="B7" i="45"/>
  <c r="F8" i="45" s="1"/>
  <c r="D6" i="45"/>
  <c r="C6" i="45"/>
  <c r="B6" i="45"/>
  <c r="F7" i="45" s="1"/>
  <c r="G5" i="45"/>
  <c r="F5" i="45"/>
  <c r="D5" i="45"/>
  <c r="B5" i="45"/>
  <c r="C5" i="45" s="1"/>
  <c r="J7" i="42"/>
  <c r="M7" i="42" s="1"/>
  <c r="I7" i="42"/>
  <c r="I8" i="42" s="1"/>
  <c r="I9" i="42" s="1"/>
  <c r="C7" i="42"/>
  <c r="M6" i="42"/>
  <c r="J6" i="42"/>
  <c r="C6" i="42"/>
  <c r="V103" i="2"/>
  <c r="O103" i="2"/>
  <c r="P103" i="2" s="1"/>
  <c r="M103" i="2"/>
  <c r="G103" i="2"/>
  <c r="F103" i="2"/>
  <c r="V102" i="2"/>
  <c r="O102" i="2"/>
  <c r="P102" i="2" s="1"/>
  <c r="M102" i="2"/>
  <c r="G102" i="2"/>
  <c r="F102" i="2"/>
  <c r="V101" i="2"/>
  <c r="P101" i="2"/>
  <c r="O101" i="2"/>
  <c r="M101" i="2"/>
  <c r="G101" i="2"/>
  <c r="F101" i="2"/>
  <c r="V100" i="2"/>
  <c r="P100" i="2"/>
  <c r="O100" i="2"/>
  <c r="M100" i="2"/>
  <c r="G100" i="2"/>
  <c r="F100" i="2"/>
  <c r="V99" i="2"/>
  <c r="O99" i="2"/>
  <c r="P99" i="2" s="1"/>
  <c r="M99" i="2"/>
  <c r="G99" i="2"/>
  <c r="F99" i="2"/>
  <c r="V98" i="2"/>
  <c r="O98" i="2"/>
  <c r="P98" i="2" s="1"/>
  <c r="M98" i="2"/>
  <c r="G98" i="2"/>
  <c r="F98" i="2"/>
  <c r="V97" i="2"/>
  <c r="P97" i="2"/>
  <c r="O97" i="2"/>
  <c r="M97" i="2"/>
  <c r="G97" i="2"/>
  <c r="F97" i="2"/>
  <c r="V96" i="2"/>
  <c r="O96" i="2"/>
  <c r="P96" i="2" s="1"/>
  <c r="M96" i="2"/>
  <c r="G96" i="2"/>
  <c r="F96" i="2"/>
  <c r="V95" i="2"/>
  <c r="O95" i="2"/>
  <c r="P95" i="2" s="1"/>
  <c r="M95" i="2"/>
  <c r="G95" i="2"/>
  <c r="F95" i="2"/>
  <c r="V94" i="2"/>
  <c r="O94" i="2"/>
  <c r="P94" i="2" s="1"/>
  <c r="M94" i="2"/>
  <c r="G94" i="2"/>
  <c r="F94" i="2"/>
  <c r="V93" i="2"/>
  <c r="P93" i="2"/>
  <c r="O93" i="2"/>
  <c r="M93" i="2"/>
  <c r="G93" i="2"/>
  <c r="F93" i="2"/>
  <c r="V92" i="2"/>
  <c r="P92" i="2"/>
  <c r="O92" i="2"/>
  <c r="M92" i="2"/>
  <c r="G92" i="2"/>
  <c r="F92" i="2"/>
  <c r="V91" i="2"/>
  <c r="O91" i="2"/>
  <c r="P91" i="2" s="1"/>
  <c r="M91" i="2"/>
  <c r="G91" i="2"/>
  <c r="F91" i="2"/>
  <c r="V90" i="2"/>
  <c r="O90" i="2"/>
  <c r="P90" i="2" s="1"/>
  <c r="M90" i="2"/>
  <c r="G90" i="2"/>
  <c r="F90" i="2"/>
  <c r="V89" i="2"/>
  <c r="P89" i="2"/>
  <c r="O89" i="2"/>
  <c r="M89" i="2"/>
  <c r="G89" i="2"/>
  <c r="F89" i="2"/>
  <c r="V88" i="2"/>
  <c r="O88" i="2"/>
  <c r="P88" i="2" s="1"/>
  <c r="M88" i="2"/>
  <c r="G88" i="2"/>
  <c r="F88" i="2"/>
  <c r="V87" i="2"/>
  <c r="O87" i="2"/>
  <c r="P87" i="2" s="1"/>
  <c r="M87" i="2"/>
  <c r="G87" i="2"/>
  <c r="F87" i="2"/>
  <c r="V86" i="2"/>
  <c r="O86" i="2"/>
  <c r="P86" i="2" s="1"/>
  <c r="M86" i="2"/>
  <c r="G86" i="2"/>
  <c r="F86" i="2"/>
  <c r="V85" i="2"/>
  <c r="O85" i="2"/>
  <c r="P85" i="2" s="1"/>
  <c r="M85" i="2"/>
  <c r="G85" i="2"/>
  <c r="F85" i="2"/>
  <c r="V84" i="2"/>
  <c r="O84" i="2"/>
  <c r="P84" i="2" s="1"/>
  <c r="M84" i="2"/>
  <c r="G84" i="2"/>
  <c r="F84" i="2"/>
  <c r="V83" i="2"/>
  <c r="O83" i="2"/>
  <c r="P83" i="2" s="1"/>
  <c r="M83" i="2"/>
  <c r="G83" i="2"/>
  <c r="F83" i="2"/>
  <c r="V82" i="2"/>
  <c r="O82" i="2"/>
  <c r="P82" i="2" s="1"/>
  <c r="M82" i="2"/>
  <c r="G82" i="2"/>
  <c r="F82" i="2"/>
  <c r="V81" i="2"/>
  <c r="P81" i="2"/>
  <c r="O81" i="2"/>
  <c r="M81" i="2"/>
  <c r="G81" i="2"/>
  <c r="F81" i="2"/>
  <c r="V80" i="2"/>
  <c r="P80" i="2"/>
  <c r="O80" i="2"/>
  <c r="M80" i="2"/>
  <c r="G80" i="2"/>
  <c r="F80" i="2"/>
  <c r="V79" i="2"/>
  <c r="O79" i="2"/>
  <c r="P79" i="2" s="1"/>
  <c r="M79" i="2"/>
  <c r="G79" i="2"/>
  <c r="F79" i="2"/>
  <c r="V78" i="2"/>
  <c r="O78" i="2"/>
  <c r="P78" i="2" s="1"/>
  <c r="M78" i="2"/>
  <c r="G78" i="2"/>
  <c r="F78" i="2"/>
  <c r="V77" i="2"/>
  <c r="T77" i="2"/>
  <c r="O77" i="2"/>
  <c r="P77" i="2" s="1"/>
  <c r="M77" i="2"/>
  <c r="G77" i="2"/>
  <c r="F77" i="2"/>
  <c r="V76" i="2"/>
  <c r="O76" i="2"/>
  <c r="P76" i="2" s="1"/>
  <c r="M76" i="2"/>
  <c r="G76" i="2"/>
  <c r="F76" i="2"/>
  <c r="V75" i="2"/>
  <c r="O75" i="2"/>
  <c r="P75" i="2" s="1"/>
  <c r="M75" i="2"/>
  <c r="G75" i="2"/>
  <c r="F75" i="2"/>
  <c r="V74" i="2"/>
  <c r="O74" i="2"/>
  <c r="P74" i="2" s="1"/>
  <c r="M74" i="2"/>
  <c r="G74" i="2"/>
  <c r="F74" i="2"/>
  <c r="V73" i="2"/>
  <c r="P73" i="2"/>
  <c r="O73" i="2"/>
  <c r="M73" i="2"/>
  <c r="G73" i="2"/>
  <c r="F73" i="2"/>
  <c r="V72" i="2"/>
  <c r="P72" i="2"/>
  <c r="O72" i="2"/>
  <c r="M72" i="2"/>
  <c r="G72" i="2"/>
  <c r="F72" i="2"/>
  <c r="V71" i="2"/>
  <c r="O71" i="2"/>
  <c r="P71" i="2" s="1"/>
  <c r="M71" i="2"/>
  <c r="G71" i="2"/>
  <c r="F71" i="2"/>
  <c r="V70" i="2"/>
  <c r="O70" i="2"/>
  <c r="P70" i="2" s="1"/>
  <c r="M70" i="2"/>
  <c r="G70" i="2"/>
  <c r="F70" i="2"/>
  <c r="V69" i="2"/>
  <c r="O69" i="2"/>
  <c r="P69" i="2" s="1"/>
  <c r="M69" i="2"/>
  <c r="G69" i="2"/>
  <c r="F69" i="2"/>
  <c r="V68" i="2"/>
  <c r="O68" i="2"/>
  <c r="P68" i="2" s="1"/>
  <c r="M68" i="2"/>
  <c r="G68" i="2"/>
  <c r="F68" i="2"/>
  <c r="V67" i="2"/>
  <c r="O67" i="2"/>
  <c r="P67" i="2" s="1"/>
  <c r="M67" i="2"/>
  <c r="G67" i="2"/>
  <c r="F67" i="2"/>
  <c r="V66" i="2"/>
  <c r="O66" i="2"/>
  <c r="P66" i="2" s="1"/>
  <c r="M66" i="2"/>
  <c r="G66" i="2"/>
  <c r="F66" i="2"/>
  <c r="V65" i="2"/>
  <c r="P65" i="2"/>
  <c r="O65" i="2"/>
  <c r="M65" i="2"/>
  <c r="G65" i="2"/>
  <c r="F65" i="2"/>
  <c r="V64" i="2"/>
  <c r="P64" i="2"/>
  <c r="O64" i="2"/>
  <c r="M64" i="2"/>
  <c r="G64" i="2"/>
  <c r="F64" i="2"/>
  <c r="V63" i="2"/>
  <c r="O63" i="2"/>
  <c r="P63" i="2" s="1"/>
  <c r="M63" i="2"/>
  <c r="G63" i="2"/>
  <c r="F63" i="2"/>
  <c r="V62" i="2"/>
  <c r="O62" i="2"/>
  <c r="P62" i="2" s="1"/>
  <c r="M62" i="2"/>
  <c r="G62" i="2"/>
  <c r="F62" i="2"/>
  <c r="V61" i="2"/>
  <c r="O61" i="2"/>
  <c r="P61" i="2" s="1"/>
  <c r="M61" i="2"/>
  <c r="G61" i="2"/>
  <c r="F61" i="2"/>
  <c r="V60" i="2"/>
  <c r="O60" i="2"/>
  <c r="P60" i="2" s="1"/>
  <c r="M60" i="2"/>
  <c r="G60" i="2"/>
  <c r="F60" i="2"/>
  <c r="V59" i="2"/>
  <c r="O59" i="2"/>
  <c r="P59" i="2" s="1"/>
  <c r="M59" i="2"/>
  <c r="G59" i="2"/>
  <c r="F59" i="2"/>
  <c r="V58" i="2"/>
  <c r="O58" i="2"/>
  <c r="P58" i="2" s="1"/>
  <c r="M58" i="2"/>
  <c r="G58" i="2"/>
  <c r="F58" i="2"/>
  <c r="V57" i="2"/>
  <c r="P57" i="2"/>
  <c r="O57" i="2"/>
  <c r="M57" i="2"/>
  <c r="G57" i="2"/>
  <c r="F57" i="2"/>
  <c r="V56" i="2"/>
  <c r="P56" i="2"/>
  <c r="O56" i="2"/>
  <c r="M56" i="2"/>
  <c r="G56" i="2"/>
  <c r="F56" i="2"/>
  <c r="V55" i="2"/>
  <c r="O55" i="2"/>
  <c r="P55" i="2" s="1"/>
  <c r="M55" i="2"/>
  <c r="G55" i="2"/>
  <c r="F55" i="2"/>
  <c r="V54" i="2"/>
  <c r="O54" i="2"/>
  <c r="P54" i="2" s="1"/>
  <c r="M54" i="2"/>
  <c r="AP53" i="2"/>
  <c r="AO53" i="2"/>
  <c r="AL53" i="2"/>
  <c r="AK53" i="2"/>
  <c r="AA53" i="2"/>
  <c r="V53" i="2"/>
  <c r="O53" i="2"/>
  <c r="P53" i="2" s="1"/>
  <c r="M53" i="2"/>
  <c r="G53" i="2"/>
  <c r="F53" i="2"/>
  <c r="AO52" i="2"/>
  <c r="AL52" i="2"/>
  <c r="V52" i="2"/>
  <c r="P52" i="2"/>
  <c r="O52" i="2"/>
  <c r="M52" i="2"/>
  <c r="AL51" i="2"/>
  <c r="AP51" i="2" s="1"/>
  <c r="AK51" i="2"/>
  <c r="V51" i="2"/>
  <c r="P51" i="2"/>
  <c r="O51" i="2"/>
  <c r="M51" i="2"/>
  <c r="G51" i="2"/>
  <c r="F51" i="2"/>
  <c r="AP50" i="2"/>
  <c r="AL50" i="2"/>
  <c r="AK50" i="2"/>
  <c r="V50" i="2"/>
  <c r="P50" i="2"/>
  <c r="O50" i="2"/>
  <c r="M50" i="2"/>
  <c r="G50" i="2"/>
  <c r="F50" i="2"/>
  <c r="AO49" i="2"/>
  <c r="AL49" i="2"/>
  <c r="V49" i="2"/>
  <c r="O49" i="2"/>
  <c r="P49" i="2" s="1"/>
  <c r="M49" i="2"/>
  <c r="AL48" i="2"/>
  <c r="AK48" i="2"/>
  <c r="V48" i="2"/>
  <c r="O48" i="2"/>
  <c r="P48" i="2" s="1"/>
  <c r="M48" i="2"/>
  <c r="F48" i="2"/>
  <c r="AO47" i="2"/>
  <c r="AL47" i="2"/>
  <c r="V47" i="2"/>
  <c r="O47" i="2"/>
  <c r="P47" i="2" s="1"/>
  <c r="M47" i="2"/>
  <c r="AP46" i="2"/>
  <c r="AL46" i="2"/>
  <c r="AK46" i="2"/>
  <c r="V46" i="2"/>
  <c r="O46" i="2"/>
  <c r="P46" i="2" s="1"/>
  <c r="M46" i="2"/>
  <c r="F46" i="2"/>
  <c r="AP45" i="2"/>
  <c r="AN45" i="2"/>
  <c r="AL45" i="2"/>
  <c r="AK45" i="2"/>
  <c r="V45" i="2"/>
  <c r="U45" i="2"/>
  <c r="T45" i="2"/>
  <c r="C45" i="2" s="1"/>
  <c r="P45" i="2"/>
  <c r="O45" i="2"/>
  <c r="M45" i="2"/>
  <c r="G45" i="2"/>
  <c r="F45" i="2"/>
  <c r="V44" i="2"/>
  <c r="P44" i="2"/>
  <c r="O44" i="2"/>
  <c r="M44" i="2"/>
  <c r="AP43" i="2"/>
  <c r="AL43" i="2"/>
  <c r="AK43" i="2"/>
  <c r="AH43" i="2"/>
  <c r="V43" i="2"/>
  <c r="P43" i="2"/>
  <c r="O43" i="2"/>
  <c r="M43" i="2"/>
  <c r="F43" i="2"/>
  <c r="AO42" i="2"/>
  <c r="AL42" i="2"/>
  <c r="V42" i="2"/>
  <c r="O42" i="2"/>
  <c r="P42" i="2" s="1"/>
  <c r="M42" i="2"/>
  <c r="AP41" i="2"/>
  <c r="AK41" i="2"/>
  <c r="W41" i="2"/>
  <c r="V41" i="2"/>
  <c r="P41" i="2"/>
  <c r="O41" i="2"/>
  <c r="M41" i="2"/>
  <c r="G41" i="2"/>
  <c r="F41" i="2"/>
  <c r="AL40" i="2"/>
  <c r="AK40" i="2"/>
  <c r="AI40" i="2"/>
  <c r="V40" i="2"/>
  <c r="P40" i="2"/>
  <c r="O40" i="2"/>
  <c r="M40" i="2"/>
  <c r="F40" i="2"/>
  <c r="W39" i="2"/>
  <c r="V39" i="2"/>
  <c r="O39" i="2"/>
  <c r="P39" i="2" s="1"/>
  <c r="M39" i="2"/>
  <c r="AP38" i="2"/>
  <c r="AK38" i="2"/>
  <c r="AI38" i="2"/>
  <c r="V38" i="2"/>
  <c r="P38" i="2"/>
  <c r="O38" i="2"/>
  <c r="M38" i="2"/>
  <c r="G38" i="2"/>
  <c r="F38" i="2"/>
  <c r="AO37" i="2"/>
  <c r="AL37" i="2"/>
  <c r="AA37" i="2"/>
  <c r="V37" i="2"/>
  <c r="P37" i="2"/>
  <c r="O37" i="2"/>
  <c r="M37" i="2"/>
  <c r="AP36" i="2"/>
  <c r="AL36" i="2"/>
  <c r="G36" i="2" s="1"/>
  <c r="AK36" i="2"/>
  <c r="V36" i="2"/>
  <c r="O36" i="2"/>
  <c r="P36" i="2" s="1"/>
  <c r="M36" i="2"/>
  <c r="F36" i="2"/>
  <c r="AN35" i="2"/>
  <c r="AL35" i="2"/>
  <c r="AP35" i="2" s="1"/>
  <c r="AK35" i="2"/>
  <c r="V35" i="2"/>
  <c r="P35" i="2"/>
  <c r="O35" i="2"/>
  <c r="M35" i="2"/>
  <c r="F35" i="2"/>
  <c r="V34" i="2"/>
  <c r="P34" i="2"/>
  <c r="O34" i="2"/>
  <c r="M34" i="2"/>
  <c r="AP33" i="2"/>
  <c r="AL33" i="2"/>
  <c r="AK33" i="2"/>
  <c r="AI33" i="2"/>
  <c r="AD33" i="2"/>
  <c r="AA33" i="2"/>
  <c r="AA43" i="2" s="1"/>
  <c r="W33" i="2"/>
  <c r="V33" i="2"/>
  <c r="O33" i="2"/>
  <c r="P33" i="2" s="1"/>
  <c r="M33" i="2"/>
  <c r="G33" i="2"/>
  <c r="F33" i="2"/>
  <c r="AO32" i="2"/>
  <c r="AL32" i="2"/>
  <c r="AN32" i="2" s="1"/>
  <c r="AA32" i="2"/>
  <c r="W32" i="2"/>
  <c r="W42" i="2" s="1"/>
  <c r="V32" i="2"/>
  <c r="O32" i="2"/>
  <c r="P32" i="2" s="1"/>
  <c r="M32" i="2"/>
  <c r="AL31" i="2"/>
  <c r="AP31" i="2" s="1"/>
  <c r="AK31" i="2"/>
  <c r="AH31" i="2"/>
  <c r="AA31" i="2"/>
  <c r="AD31" i="2" s="1"/>
  <c r="W31" i="2"/>
  <c r="V31" i="2"/>
  <c r="P31" i="2"/>
  <c r="O31" i="2"/>
  <c r="M31" i="2"/>
  <c r="F31" i="2"/>
  <c r="AY30" i="2"/>
  <c r="AX30" i="2"/>
  <c r="AW30" i="2"/>
  <c r="AT30" i="2"/>
  <c r="AL30" i="2"/>
  <c r="AK30" i="2"/>
  <c r="AI30" i="2"/>
  <c r="AA30" i="2"/>
  <c r="W30" i="2"/>
  <c r="V30" i="2"/>
  <c r="O30" i="2"/>
  <c r="P30" i="2" s="1"/>
  <c r="M30" i="2"/>
  <c r="F30" i="2"/>
  <c r="AZ29" i="2"/>
  <c r="AY29" i="2"/>
  <c r="AX29" i="2"/>
  <c r="AW29" i="2"/>
  <c r="AU29" i="2"/>
  <c r="AT29" i="2"/>
  <c r="AO29" i="2"/>
  <c r="AN29" i="2"/>
  <c r="AL29" i="2"/>
  <c r="AA29" i="2"/>
  <c r="W29" i="2"/>
  <c r="V29" i="2"/>
  <c r="O29" i="2"/>
  <c r="P29" i="2" s="1"/>
  <c r="M29" i="2"/>
  <c r="AZ28" i="2"/>
  <c r="AY28" i="2"/>
  <c r="AX28" i="2"/>
  <c r="AW28" i="2"/>
  <c r="AU28" i="2"/>
  <c r="AT28" i="2"/>
  <c r="AP28" i="2"/>
  <c r="AM28" i="2"/>
  <c r="AL28" i="2"/>
  <c r="AK28" i="2"/>
  <c r="AA28" i="2"/>
  <c r="W28" i="2"/>
  <c r="W38" i="2" s="1"/>
  <c r="V28" i="2"/>
  <c r="O28" i="2"/>
  <c r="P28" i="2" s="1"/>
  <c r="M28" i="2"/>
  <c r="G28" i="2"/>
  <c r="F28" i="2"/>
  <c r="AY27" i="2"/>
  <c r="AX27" i="2"/>
  <c r="AW27" i="2"/>
  <c r="AT27" i="2"/>
  <c r="AO27" i="2"/>
  <c r="AN27" i="2"/>
  <c r="AL27" i="2"/>
  <c r="AD27" i="2"/>
  <c r="AA27" i="2"/>
  <c r="W27" i="2"/>
  <c r="W37" i="2" s="1"/>
  <c r="W47" i="2" s="1"/>
  <c r="V27" i="2"/>
  <c r="P27" i="2"/>
  <c r="O27" i="2"/>
  <c r="M27" i="2"/>
  <c r="AZ26" i="2"/>
  <c r="AY26" i="2"/>
  <c r="AX26" i="2"/>
  <c r="AW26" i="2"/>
  <c r="AV26" i="2"/>
  <c r="AU26" i="2"/>
  <c r="AT26" i="2"/>
  <c r="AN26" i="2"/>
  <c r="AL26" i="2"/>
  <c r="AP26" i="2" s="1"/>
  <c r="AK26" i="2"/>
  <c r="AD26" i="2"/>
  <c r="AB26" i="2"/>
  <c r="AA26" i="2"/>
  <c r="AA36" i="2" s="1"/>
  <c r="W26" i="2"/>
  <c r="W36" i="2" s="1"/>
  <c r="V26" i="2"/>
  <c r="P26" i="2"/>
  <c r="O26" i="2"/>
  <c r="M26" i="2"/>
  <c r="F26" i="2"/>
  <c r="AZ25" i="2"/>
  <c r="AY25" i="2"/>
  <c r="AX25" i="2"/>
  <c r="AW25" i="2"/>
  <c r="AV25" i="2"/>
  <c r="AU25" i="2"/>
  <c r="AT25" i="2"/>
  <c r="AN25" i="2"/>
  <c r="AL25" i="2"/>
  <c r="AP25" i="2" s="1"/>
  <c r="AK25" i="2"/>
  <c r="AD25" i="2"/>
  <c r="AA25" i="2"/>
  <c r="AA35" i="2" s="1"/>
  <c r="W25" i="2"/>
  <c r="W35" i="2" s="1"/>
  <c r="W45" i="2" s="1"/>
  <c r="V25" i="2"/>
  <c r="P25" i="2"/>
  <c r="O25" i="2"/>
  <c r="M25" i="2"/>
  <c r="F25" i="2"/>
  <c r="AZ24" i="2"/>
  <c r="AY24" i="2"/>
  <c r="AX24" i="2"/>
  <c r="AW24" i="2"/>
  <c r="AV24" i="2"/>
  <c r="AU24" i="2"/>
  <c r="AT24" i="2"/>
  <c r="AA24" i="2"/>
  <c r="W24" i="2"/>
  <c r="W34" i="2" s="1"/>
  <c r="V24" i="2"/>
  <c r="O24" i="2"/>
  <c r="P24" i="2" s="1"/>
  <c r="M24" i="2"/>
  <c r="AZ23" i="2"/>
  <c r="AY23" i="2"/>
  <c r="AX23" i="2"/>
  <c r="AW23" i="2"/>
  <c r="AV23" i="2"/>
  <c r="AU23" i="2"/>
  <c r="AT23" i="2"/>
  <c r="AP23" i="2"/>
  <c r="AM23" i="2"/>
  <c r="AL23" i="2"/>
  <c r="AK23" i="2"/>
  <c r="AD23" i="2"/>
  <c r="Y23" i="2"/>
  <c r="V23" i="2"/>
  <c r="P23" i="2"/>
  <c r="O23" i="2"/>
  <c r="M23" i="2"/>
  <c r="G23" i="2"/>
  <c r="F23" i="2"/>
  <c r="AY22" i="2"/>
  <c r="AX22" i="2"/>
  <c r="AW22" i="2"/>
  <c r="AV22" i="2"/>
  <c r="AU22" i="2"/>
  <c r="AZ22" i="2" s="1"/>
  <c r="AT22" i="2"/>
  <c r="AO22" i="2"/>
  <c r="AL22" i="2"/>
  <c r="AD22" i="2"/>
  <c r="AB22" i="2"/>
  <c r="X22" i="2"/>
  <c r="V22" i="2"/>
  <c r="O22" i="2"/>
  <c r="P22" i="2" s="1"/>
  <c r="M22" i="2"/>
  <c r="AY21" i="2"/>
  <c r="AX21" i="2"/>
  <c r="AW21" i="2"/>
  <c r="AV21" i="2"/>
  <c r="AU21" i="2"/>
  <c r="AZ21" i="2" s="1"/>
  <c r="AT21" i="2"/>
  <c r="AL21" i="2"/>
  <c r="AP21" i="2" s="1"/>
  <c r="AK21" i="2"/>
  <c r="AI21" i="2"/>
  <c r="AD21" i="2"/>
  <c r="X21" i="2"/>
  <c r="V21" i="2"/>
  <c r="U21" i="2"/>
  <c r="P21" i="2"/>
  <c r="O21" i="2"/>
  <c r="M21" i="2"/>
  <c r="G21" i="2"/>
  <c r="F21" i="2"/>
  <c r="AY20" i="2"/>
  <c r="AX20" i="2"/>
  <c r="AW20" i="2"/>
  <c r="AV20" i="2"/>
  <c r="AU20" i="2"/>
  <c r="AZ20" i="2" s="1"/>
  <c r="AT20" i="2"/>
  <c r="AP20" i="2"/>
  <c r="AL20" i="2"/>
  <c r="AK20" i="2"/>
  <c r="AD20" i="2"/>
  <c r="V20" i="2"/>
  <c r="U20" i="2"/>
  <c r="T20" i="2"/>
  <c r="P20" i="2"/>
  <c r="O20" i="2"/>
  <c r="M20" i="2"/>
  <c r="G20" i="2"/>
  <c r="F20" i="2"/>
  <c r="AZ19" i="2"/>
  <c r="AY19" i="2"/>
  <c r="AX19" i="2"/>
  <c r="AW19" i="2"/>
  <c r="AV19" i="2"/>
  <c r="AU19" i="2"/>
  <c r="AT19" i="2"/>
  <c r="AO19" i="2"/>
  <c r="AP19" i="2" s="1"/>
  <c r="AL19" i="2"/>
  <c r="AD19" i="2"/>
  <c r="V19" i="2"/>
  <c r="T19" i="2"/>
  <c r="P19" i="2"/>
  <c r="O19" i="2"/>
  <c r="M19" i="2"/>
  <c r="AY18" i="2"/>
  <c r="AX18" i="2"/>
  <c r="AW18" i="2"/>
  <c r="AV18" i="2"/>
  <c r="AU18" i="2"/>
  <c r="AZ18" i="2" s="1"/>
  <c r="AT18" i="2"/>
  <c r="AP18" i="2"/>
  <c r="AN18" i="2"/>
  <c r="AM18" i="2"/>
  <c r="AL18" i="2"/>
  <c r="AK18" i="2"/>
  <c r="AD18" i="2"/>
  <c r="V18" i="2"/>
  <c r="O18" i="2"/>
  <c r="P18" i="2" s="1"/>
  <c r="M18" i="2"/>
  <c r="G18" i="2"/>
  <c r="F18" i="2"/>
  <c r="AY17" i="2"/>
  <c r="AX17" i="2"/>
  <c r="AW17" i="2"/>
  <c r="AV17" i="2"/>
  <c r="AU17" i="2"/>
  <c r="AT17" i="2"/>
  <c r="AO17" i="2"/>
  <c r="AN17" i="2"/>
  <c r="AL17" i="2"/>
  <c r="AD17" i="2"/>
  <c r="X17" i="2"/>
  <c r="V17" i="2"/>
  <c r="P17" i="2"/>
  <c r="O17" i="2"/>
  <c r="M17" i="2"/>
  <c r="AY16" i="2"/>
  <c r="AX16" i="2"/>
  <c r="AW16" i="2"/>
  <c r="AV16" i="2"/>
  <c r="AU16" i="2"/>
  <c r="AT16" i="2"/>
  <c r="AL16" i="2"/>
  <c r="AK16" i="2"/>
  <c r="AI16" i="2"/>
  <c r="AH16" i="2"/>
  <c r="AD16" i="2"/>
  <c r="V16" i="2"/>
  <c r="U16" i="2"/>
  <c r="P16" i="2"/>
  <c r="O16" i="2"/>
  <c r="M16" i="2"/>
  <c r="F16" i="2"/>
  <c r="AY15" i="2"/>
  <c r="AX15" i="2"/>
  <c r="AW15" i="2"/>
  <c r="AT15" i="2"/>
  <c r="AL15" i="2"/>
  <c r="AP15" i="2" s="1"/>
  <c r="AK15" i="2"/>
  <c r="AI15" i="2"/>
  <c r="AH15" i="2"/>
  <c r="AD15" i="2"/>
  <c r="V15" i="2"/>
  <c r="P15" i="2"/>
  <c r="O15" i="2"/>
  <c r="M15" i="2"/>
  <c r="F15" i="2"/>
  <c r="AY14" i="2"/>
  <c r="AX14" i="2"/>
  <c r="AW14" i="2"/>
  <c r="AT14" i="2"/>
  <c r="AO14" i="2"/>
  <c r="AL14" i="2"/>
  <c r="AD14" i="2"/>
  <c r="V14" i="2"/>
  <c r="O14" i="2"/>
  <c r="P14" i="2" s="1"/>
  <c r="M14" i="2"/>
  <c r="AZ13" i="2"/>
  <c r="AY13" i="2"/>
  <c r="AX13" i="2"/>
  <c r="AW13" i="2"/>
  <c r="AV13" i="2"/>
  <c r="AU13" i="2"/>
  <c r="AT13" i="2"/>
  <c r="AP13" i="2"/>
  <c r="AM13" i="2"/>
  <c r="AL13" i="2"/>
  <c r="AK13" i="2"/>
  <c r="AD13" i="2"/>
  <c r="Y13" i="2"/>
  <c r="V13" i="2"/>
  <c r="O13" i="2"/>
  <c r="P13" i="2" s="1"/>
  <c r="M13" i="2"/>
  <c r="G13" i="2"/>
  <c r="F13" i="2"/>
  <c r="AY12" i="2"/>
  <c r="AX12" i="2"/>
  <c r="AW12" i="2"/>
  <c r="AU12" i="2"/>
  <c r="AZ12" i="2" s="1"/>
  <c r="AT12" i="2"/>
  <c r="AO12" i="2"/>
  <c r="AL12" i="2"/>
  <c r="AD12" i="2"/>
  <c r="X12" i="2"/>
  <c r="V12" i="2"/>
  <c r="O12" i="2"/>
  <c r="P12" i="2" s="1"/>
  <c r="M12" i="2"/>
  <c r="AY11" i="2"/>
  <c r="AX11" i="2"/>
  <c r="AW11" i="2"/>
  <c r="AV11" i="2"/>
  <c r="AU11" i="2"/>
  <c r="AZ11" i="2" s="1"/>
  <c r="AT11" i="2"/>
  <c r="AL11" i="2"/>
  <c r="AP11" i="2" s="1"/>
  <c r="AK11" i="2"/>
  <c r="AI11" i="2"/>
  <c r="AD11" i="2"/>
  <c r="X11" i="2"/>
  <c r="V11" i="2"/>
  <c r="U11" i="2"/>
  <c r="P11" i="2"/>
  <c r="O11" i="2"/>
  <c r="M11" i="2"/>
  <c r="F11" i="2"/>
  <c r="AY10" i="2"/>
  <c r="AX10" i="2"/>
  <c r="AW10" i="2"/>
  <c r="AV10" i="2"/>
  <c r="AU10" i="2"/>
  <c r="AZ10" i="2" s="1"/>
  <c r="AT10" i="2"/>
  <c r="AP10" i="2"/>
  <c r="AL10" i="2"/>
  <c r="AK10" i="2"/>
  <c r="AD10" i="2"/>
  <c r="V10" i="2"/>
  <c r="U10" i="2"/>
  <c r="T10" i="2"/>
  <c r="P10" i="2"/>
  <c r="O10" i="2"/>
  <c r="M10" i="2"/>
  <c r="G10" i="2"/>
  <c r="F10" i="2"/>
  <c r="AZ9" i="2"/>
  <c r="AY9" i="2"/>
  <c r="AX9" i="2"/>
  <c r="AW9" i="2"/>
  <c r="AV9" i="2"/>
  <c r="AU9" i="2"/>
  <c r="AT9" i="2"/>
  <c r="Y8" i="2" s="1"/>
  <c r="AP9" i="2"/>
  <c r="AO9" i="2"/>
  <c r="AL9" i="2"/>
  <c r="AD9" i="2"/>
  <c r="AC9" i="2"/>
  <c r="V9" i="2"/>
  <c r="T9" i="2"/>
  <c r="O9" i="2"/>
  <c r="P9" i="2" s="1"/>
  <c r="M9" i="2"/>
  <c r="AY8" i="2"/>
  <c r="AX8" i="2"/>
  <c r="AW8" i="2"/>
  <c r="AV8" i="2"/>
  <c r="AU8" i="2"/>
  <c r="AZ8" i="2" s="1"/>
  <c r="AT8" i="2"/>
  <c r="AP8" i="2"/>
  <c r="AN8" i="2"/>
  <c r="AM8" i="2"/>
  <c r="AL8" i="2"/>
  <c r="AK8" i="2"/>
  <c r="AD8" i="2"/>
  <c r="V8" i="2"/>
  <c r="O8" i="2"/>
  <c r="P8" i="2" s="1"/>
  <c r="M8" i="2"/>
  <c r="G8" i="2"/>
  <c r="F8" i="2"/>
  <c r="AZ7" i="2"/>
  <c r="AY7" i="2"/>
  <c r="AX7" i="2"/>
  <c r="AW7" i="2"/>
  <c r="AV7" i="2"/>
  <c r="AU7" i="2"/>
  <c r="AZ16" i="2" s="1"/>
  <c r="AT7" i="2"/>
  <c r="AO7" i="2"/>
  <c r="AN7" i="2"/>
  <c r="G7" i="2" s="1"/>
  <c r="AM7" i="2"/>
  <c r="AL7" i="2"/>
  <c r="AP7" i="2" s="1"/>
  <c r="AD7" i="2"/>
  <c r="X7" i="2"/>
  <c r="V7" i="2"/>
  <c r="P7" i="2"/>
  <c r="O7" i="2"/>
  <c r="M7" i="2"/>
  <c r="AY6" i="2"/>
  <c r="AX6" i="2"/>
  <c r="AW6" i="2"/>
  <c r="AV6" i="2"/>
  <c r="AU6" i="2"/>
  <c r="AZ6" i="2" s="1"/>
  <c r="AT6" i="2"/>
  <c r="AL6" i="2"/>
  <c r="AK6" i="2"/>
  <c r="AI6" i="2"/>
  <c r="AH6" i="2"/>
  <c r="AD6" i="2"/>
  <c r="V6" i="2"/>
  <c r="U6" i="2"/>
  <c r="O6" i="2"/>
  <c r="P6" i="2" s="1"/>
  <c r="M6" i="2"/>
  <c r="F6" i="2"/>
  <c r="AZ5" i="2"/>
  <c r="AY5" i="2"/>
  <c r="AX5" i="2"/>
  <c r="AW5" i="2"/>
  <c r="AV5" i="2"/>
  <c r="AU5" i="2"/>
  <c r="AT5" i="2"/>
  <c r="AL5" i="2"/>
  <c r="AK5" i="2"/>
  <c r="AI5" i="2"/>
  <c r="AH5" i="2"/>
  <c r="AD5" i="2"/>
  <c r="V5" i="2"/>
  <c r="P5" i="2"/>
  <c r="O5" i="2"/>
  <c r="M5" i="2"/>
  <c r="F5" i="2"/>
  <c r="AY4" i="2"/>
  <c r="AX4" i="2"/>
  <c r="AW4" i="2"/>
  <c r="AV4" i="2"/>
  <c r="AU4" i="2"/>
  <c r="AT4" i="2"/>
  <c r="U55" i="2" s="1"/>
  <c r="AJ3" i="2"/>
  <c r="AH3" i="2"/>
  <c r="AJ2" i="2"/>
  <c r="AH2" i="2"/>
  <c r="M2" i="2"/>
  <c r="AJ1" i="2"/>
  <c r="AH1" i="2"/>
  <c r="AE28" i="47"/>
  <c r="AD28" i="47"/>
  <c r="AA28" i="47"/>
  <c r="Z28" i="47"/>
  <c r="W28" i="47"/>
  <c r="V28" i="47"/>
  <c r="S28" i="47"/>
  <c r="R28" i="47"/>
  <c r="O28" i="47"/>
  <c r="AN27" i="47"/>
  <c r="AM27" i="47"/>
  <c r="AL27" i="47"/>
  <c r="AK27" i="47"/>
  <c r="AJ27" i="47"/>
  <c r="R27" i="47"/>
  <c r="AN26" i="47"/>
  <c r="AM26" i="47"/>
  <c r="AL26" i="47"/>
  <c r="AK26" i="47"/>
  <c r="AJ26" i="47"/>
  <c r="R26" i="47"/>
  <c r="AN25" i="47"/>
  <c r="AM25" i="47"/>
  <c r="AL25" i="47"/>
  <c r="AK25" i="47"/>
  <c r="AJ25" i="47"/>
  <c r="R25" i="47"/>
  <c r="AN24" i="47"/>
  <c r="AM24" i="47"/>
  <c r="AL24" i="47"/>
  <c r="AK24" i="47"/>
  <c r="AJ24" i="47"/>
  <c r="U24" i="47"/>
  <c r="R24" i="47"/>
  <c r="AN23" i="47"/>
  <c r="AM23" i="47"/>
  <c r="AL23" i="47"/>
  <c r="AK23" i="47"/>
  <c r="AJ23" i="47"/>
  <c r="M23" i="47"/>
  <c r="AN22" i="47"/>
  <c r="AM22" i="47"/>
  <c r="AL22" i="47"/>
  <c r="AK22" i="47"/>
  <c r="AJ22" i="47"/>
  <c r="AE22" i="47"/>
  <c r="AD22" i="47"/>
  <c r="AA22" i="47"/>
  <c r="AB22" i="47" s="1"/>
  <c r="Z22" i="47"/>
  <c r="W22" i="47"/>
  <c r="V22" i="47"/>
  <c r="S22" i="47"/>
  <c r="R22" i="47"/>
  <c r="P22" i="47"/>
  <c r="O22" i="47"/>
  <c r="N22" i="47"/>
  <c r="N28" i="47" s="1"/>
  <c r="AN21" i="47"/>
  <c r="AM21" i="47"/>
  <c r="AL21" i="47"/>
  <c r="AK21" i="47"/>
  <c r="AJ21" i="47"/>
  <c r="AH21" i="47"/>
  <c r="AH27" i="47" s="1"/>
  <c r="AF21" i="47"/>
  <c r="T21" i="47"/>
  <c r="R21" i="47"/>
  <c r="AN20" i="47"/>
  <c r="AM20" i="47"/>
  <c r="AL20" i="47"/>
  <c r="AK20" i="47"/>
  <c r="AJ20" i="47"/>
  <c r="AH20" i="47"/>
  <c r="AH26" i="47" s="1"/>
  <c r="R20" i="47"/>
  <c r="AN19" i="47"/>
  <c r="AM19" i="47"/>
  <c r="AL19" i="47"/>
  <c r="AK19" i="47"/>
  <c r="AJ19" i="47"/>
  <c r="R19" i="47"/>
  <c r="N19" i="47"/>
  <c r="N25" i="47" s="1"/>
  <c r="AN18" i="47"/>
  <c r="AM18" i="47"/>
  <c r="AL18" i="47"/>
  <c r="AK18" i="47"/>
  <c r="AJ18" i="47"/>
  <c r="AF18" i="47"/>
  <c r="AB18" i="47"/>
  <c r="R18" i="47"/>
  <c r="N18" i="47"/>
  <c r="N24" i="47" s="1"/>
  <c r="AN17" i="47"/>
  <c r="AM17" i="47"/>
  <c r="AL17" i="47"/>
  <c r="AK17" i="47"/>
  <c r="AJ17" i="47"/>
  <c r="AH17" i="47"/>
  <c r="AF17" i="47"/>
  <c r="N17" i="47"/>
  <c r="N23" i="47" s="1"/>
  <c r="M17" i="47"/>
  <c r="AN16" i="47"/>
  <c r="AM16" i="47"/>
  <c r="AL16" i="47"/>
  <c r="AK16" i="47"/>
  <c r="AJ16" i="47"/>
  <c r="AH16" i="47"/>
  <c r="AE16" i="47"/>
  <c r="AD16" i="47"/>
  <c r="AA16" i="47"/>
  <c r="Z16" i="47"/>
  <c r="W16" i="47"/>
  <c r="V16" i="47"/>
  <c r="S16" i="47"/>
  <c r="R16" i="47"/>
  <c r="O16" i="47"/>
  <c r="P16" i="47" s="1"/>
  <c r="N16" i="47"/>
  <c r="AN15" i="47"/>
  <c r="AM15" i="47"/>
  <c r="AJ15" i="47"/>
  <c r="AH15" i="47"/>
  <c r="R15" i="47"/>
  <c r="N15" i="47"/>
  <c r="N21" i="47" s="1"/>
  <c r="N27" i="47" s="1"/>
  <c r="AN14" i="47"/>
  <c r="AM14" i="47"/>
  <c r="AJ14" i="47"/>
  <c r="AH14" i="47"/>
  <c r="AF14" i="47"/>
  <c r="R14" i="47"/>
  <c r="N14" i="47"/>
  <c r="N20" i="47" s="1"/>
  <c r="N26" i="47" s="1"/>
  <c r="AN13" i="47"/>
  <c r="AM13" i="47"/>
  <c r="AL13" i="47"/>
  <c r="AK13" i="47"/>
  <c r="AJ13" i="47"/>
  <c r="AH13" i="47"/>
  <c r="AH19" i="47" s="1"/>
  <c r="AH25" i="47" s="1"/>
  <c r="AG13" i="47"/>
  <c r="R13" i="47"/>
  <c r="N13" i="47"/>
  <c r="AN12" i="47"/>
  <c r="AM12" i="47"/>
  <c r="AK12" i="47"/>
  <c r="AJ12" i="47"/>
  <c r="AH12" i="47"/>
  <c r="AH18" i="47" s="1"/>
  <c r="AH24" i="47" s="1"/>
  <c r="R12" i="47"/>
  <c r="N12" i="47"/>
  <c r="AN11" i="47"/>
  <c r="AM11" i="47"/>
  <c r="AL11" i="47"/>
  <c r="AK11" i="47"/>
  <c r="AJ11" i="47"/>
  <c r="AH11" i="47"/>
  <c r="X11" i="47"/>
  <c r="N11" i="47"/>
  <c r="M11" i="47"/>
  <c r="AN10" i="47"/>
  <c r="AC14" i="47" s="1"/>
  <c r="AM10" i="47"/>
  <c r="AL10" i="47"/>
  <c r="AK10" i="47"/>
  <c r="AJ10" i="47"/>
  <c r="AH10" i="47"/>
  <c r="AE10" i="47"/>
  <c r="AD10" i="47"/>
  <c r="AA10" i="47"/>
  <c r="Z10" i="47"/>
  <c r="W10" i="47"/>
  <c r="V10" i="47"/>
  <c r="S10" i="47"/>
  <c r="T10" i="47" s="1"/>
  <c r="R10" i="47"/>
  <c r="P10" i="47"/>
  <c r="O10" i="47"/>
  <c r="Q10" i="47" s="1"/>
  <c r="AN9" i="47"/>
  <c r="AM9" i="47"/>
  <c r="AL9" i="47"/>
  <c r="AK9" i="47"/>
  <c r="AJ9" i="47"/>
  <c r="AF9" i="47"/>
  <c r="R9" i="47"/>
  <c r="AN8" i="47"/>
  <c r="U10" i="47" s="1"/>
  <c r="AM8" i="47"/>
  <c r="AL8" i="47"/>
  <c r="AK8" i="47"/>
  <c r="AJ8" i="47"/>
  <c r="Y23" i="47" s="1"/>
  <c r="AF8" i="47"/>
  <c r="R8" i="47"/>
  <c r="Q8" i="47"/>
  <c r="AN7" i="47"/>
  <c r="AM7" i="47"/>
  <c r="AL7" i="47"/>
  <c r="AK7" i="47"/>
  <c r="AJ7" i="47"/>
  <c r="Y7" i="47"/>
  <c r="X7" i="47"/>
  <c r="R7" i="47"/>
  <c r="AN6" i="47"/>
  <c r="AM6" i="47"/>
  <c r="AL6" i="47"/>
  <c r="AK6" i="47"/>
  <c r="AJ6" i="47"/>
  <c r="AF5" i="47" s="1"/>
  <c r="AB6" i="47"/>
  <c r="X6" i="47"/>
  <c r="T6" i="47"/>
  <c r="R6" i="47"/>
  <c r="AN5" i="47"/>
  <c r="AM5" i="47"/>
  <c r="AL5" i="47"/>
  <c r="AK5" i="47"/>
  <c r="AJ5" i="47"/>
  <c r="Q26" i="47" s="1"/>
  <c r="AG5" i="47"/>
  <c r="T5" i="47"/>
  <c r="Q5" i="47"/>
  <c r="M5" i="47"/>
  <c r="AN4" i="47"/>
  <c r="AM4" i="47"/>
  <c r="AL4" i="47"/>
  <c r="AK4" i="47"/>
  <c r="AJ4" i="47"/>
  <c r="Q24" i="47" s="1"/>
  <c r="W28" i="44"/>
  <c r="U28" i="44"/>
  <c r="T28" i="44"/>
  <c r="S28" i="44"/>
  <c r="AX27" i="44"/>
  <c r="AW27" i="44"/>
  <c r="AT27" i="44"/>
  <c r="W27" i="44"/>
  <c r="U27" i="44"/>
  <c r="T27" i="44"/>
  <c r="S27" i="44"/>
  <c r="AX26" i="44"/>
  <c r="AW26" i="44"/>
  <c r="AV26" i="44"/>
  <c r="AU26" i="44"/>
  <c r="AT26" i="44"/>
  <c r="W26" i="44"/>
  <c r="U26" i="44"/>
  <c r="T26" i="44"/>
  <c r="S26" i="44"/>
  <c r="AX25" i="44"/>
  <c r="AW25" i="44"/>
  <c r="AV25" i="44"/>
  <c r="AU25" i="44"/>
  <c r="AT25" i="44"/>
  <c r="W25" i="44"/>
  <c r="U25" i="44"/>
  <c r="T25" i="44"/>
  <c r="S25" i="44"/>
  <c r="AX24" i="44"/>
  <c r="AW24" i="44"/>
  <c r="AV24" i="44"/>
  <c r="AU24" i="44"/>
  <c r="AT24" i="44"/>
  <c r="W24" i="44"/>
  <c r="U24" i="44"/>
  <c r="T24" i="44"/>
  <c r="S24" i="44"/>
  <c r="AX23" i="44"/>
  <c r="AW23" i="44"/>
  <c r="AV23" i="44"/>
  <c r="AU23" i="44"/>
  <c r="AT23" i="44"/>
  <c r="AX22" i="44"/>
  <c r="AW22" i="44"/>
  <c r="AV22" i="44"/>
  <c r="AU22" i="44"/>
  <c r="AT22" i="44"/>
  <c r="AX21" i="44"/>
  <c r="AW21" i="44"/>
  <c r="AV21" i="44"/>
  <c r="AU21" i="44"/>
  <c r="AT21" i="44"/>
  <c r="AX20" i="44"/>
  <c r="AW20" i="44"/>
  <c r="AV20" i="44"/>
  <c r="AU20" i="44"/>
  <c r="AT20" i="44"/>
  <c r="AX19" i="44"/>
  <c r="AW19" i="44"/>
  <c r="AV19" i="44"/>
  <c r="AU19" i="44"/>
  <c r="AT19" i="44"/>
  <c r="AX18" i="44"/>
  <c r="AW18" i="44"/>
  <c r="AV18" i="44"/>
  <c r="AU18" i="44"/>
  <c r="AT18" i="44"/>
  <c r="AX17" i="44"/>
  <c r="AW17" i="44"/>
  <c r="AV17" i="44"/>
  <c r="AU17" i="44"/>
  <c r="AT17" i="44"/>
  <c r="AX16" i="44"/>
  <c r="AW16" i="44"/>
  <c r="AV16" i="44"/>
  <c r="AU16" i="44"/>
  <c r="AT16" i="44"/>
  <c r="AX15" i="44"/>
  <c r="AW15" i="44"/>
  <c r="AT15" i="44"/>
  <c r="AX14" i="44"/>
  <c r="AW14" i="44"/>
  <c r="AT14" i="44"/>
  <c r="J14" i="44"/>
  <c r="AX13" i="44"/>
  <c r="AW13" i="44"/>
  <c r="AV13" i="44"/>
  <c r="AU13" i="44"/>
  <c r="AT13" i="44"/>
  <c r="J13" i="44"/>
  <c r="AX12" i="44"/>
  <c r="AW12" i="44"/>
  <c r="AU12" i="44"/>
  <c r="AT12" i="44"/>
  <c r="J12" i="44"/>
  <c r="AX11" i="44"/>
  <c r="AW11" i="44"/>
  <c r="AV11" i="44"/>
  <c r="AU11" i="44"/>
  <c r="AT11" i="44"/>
  <c r="AB11" i="44"/>
  <c r="K11" i="44"/>
  <c r="AX10" i="44"/>
  <c r="AW10" i="44"/>
  <c r="AV10" i="44"/>
  <c r="AU10" i="44"/>
  <c r="AT10" i="44"/>
  <c r="K10" i="44"/>
  <c r="AX9" i="44"/>
  <c r="AW9" i="44"/>
  <c r="AV9" i="44"/>
  <c r="AU9" i="44"/>
  <c r="AT9" i="44"/>
  <c r="K9" i="44"/>
  <c r="AX8" i="44"/>
  <c r="AW8" i="44"/>
  <c r="AV8" i="44"/>
  <c r="AU8" i="44"/>
  <c r="AT8" i="44"/>
  <c r="J8" i="44"/>
  <c r="AX7" i="44"/>
  <c r="AW7" i="44"/>
  <c r="AV7" i="44"/>
  <c r="AU7" i="44"/>
  <c r="AT7" i="44"/>
  <c r="J7" i="44"/>
  <c r="AX6" i="44"/>
  <c r="AW6" i="44"/>
  <c r="AV6" i="44"/>
  <c r="AU6" i="44"/>
  <c r="AT6" i="44"/>
  <c r="AX5" i="44"/>
  <c r="AW5" i="44"/>
  <c r="AV5" i="44"/>
  <c r="AU5" i="44"/>
  <c r="AT5" i="44"/>
  <c r="AX4" i="44"/>
  <c r="AW4" i="44"/>
  <c r="AV4" i="44"/>
  <c r="AU4" i="44"/>
  <c r="AT4" i="44"/>
  <c r="AV15" i="27"/>
  <c r="AX15" i="27" s="1"/>
  <c r="AS15" i="27"/>
  <c r="AQ15" i="27"/>
  <c r="AF15" i="27"/>
  <c r="M15" i="27"/>
  <c r="J15" i="27"/>
  <c r="I15" i="27"/>
  <c r="AX14" i="27"/>
  <c r="AV14" i="27"/>
  <c r="AQ14" i="27"/>
  <c r="AS14" i="27" s="1"/>
  <c r="AF14" i="27"/>
  <c r="M14" i="27"/>
  <c r="J14" i="27"/>
  <c r="I14" i="27"/>
  <c r="AV13" i="27"/>
  <c r="AX13" i="27" s="1"/>
  <c r="AQ13" i="27"/>
  <c r="AS13" i="27" s="1"/>
  <c r="AF13" i="27"/>
  <c r="M13" i="27"/>
  <c r="J13" i="27"/>
  <c r="I13" i="27"/>
  <c r="AV12" i="27"/>
  <c r="AX12" i="27" s="1"/>
  <c r="AQ12" i="27"/>
  <c r="AS12" i="27" s="1"/>
  <c r="AF12" i="27"/>
  <c r="M12" i="27"/>
  <c r="J12" i="27"/>
  <c r="I12" i="27"/>
  <c r="AV11" i="27"/>
  <c r="AX11" i="27" s="1"/>
  <c r="AQ11" i="27"/>
  <c r="AS11" i="27" s="1"/>
  <c r="AF11" i="27"/>
  <c r="M11" i="27"/>
  <c r="J11" i="27"/>
  <c r="I11" i="27"/>
  <c r="AX10" i="27"/>
  <c r="AV10" i="27"/>
  <c r="AS10" i="27"/>
  <c r="AQ10" i="27"/>
  <c r="AF10" i="27"/>
  <c r="M10" i="27"/>
  <c r="J10" i="27"/>
  <c r="I10" i="27"/>
  <c r="AV9" i="27"/>
  <c r="AX9" i="27" s="1"/>
  <c r="AQ9" i="27"/>
  <c r="AS9" i="27" s="1"/>
  <c r="AF9" i="27"/>
  <c r="M9" i="27"/>
  <c r="J9" i="27"/>
  <c r="I9" i="27"/>
  <c r="AV8" i="27"/>
  <c r="AX8" i="27" s="1"/>
  <c r="AQ8" i="27"/>
  <c r="AS8" i="27" s="1"/>
  <c r="AF8" i="27"/>
  <c r="M8" i="27"/>
  <c r="J8" i="27"/>
  <c r="I8" i="27"/>
  <c r="AV7" i="27"/>
  <c r="AX7" i="27" s="1"/>
  <c r="AS7" i="27"/>
  <c r="AQ7" i="27"/>
  <c r="AF7" i="27"/>
  <c r="M7" i="27"/>
  <c r="J7" i="27"/>
  <c r="I7" i="27"/>
  <c r="AV6" i="27"/>
  <c r="AX6" i="27" s="1"/>
  <c r="AS6" i="27"/>
  <c r="AQ6" i="27"/>
  <c r="AF6" i="27"/>
  <c r="M6" i="27"/>
  <c r="J6" i="27"/>
  <c r="I6" i="27"/>
  <c r="AV5" i="27"/>
  <c r="AX5" i="27" s="1"/>
  <c r="AQ5" i="27"/>
  <c r="AS5" i="27" s="1"/>
  <c r="AF5" i="27"/>
  <c r="M5" i="27"/>
  <c r="J5" i="27"/>
  <c r="I5" i="27"/>
  <c r="C19" i="30"/>
  <c r="G19" i="30" s="1"/>
  <c r="B19" i="30"/>
  <c r="G18" i="30"/>
  <c r="C18" i="30"/>
  <c r="B18" i="30"/>
  <c r="C17" i="30"/>
  <c r="G17" i="30" s="1"/>
  <c r="B17" i="30"/>
  <c r="G16" i="30"/>
  <c r="C16" i="30"/>
  <c r="B16" i="30"/>
  <c r="C15" i="30"/>
  <c r="B15" i="30"/>
  <c r="C14" i="30"/>
  <c r="B14" i="30"/>
  <c r="G14" i="30" s="1"/>
  <c r="G13" i="30"/>
  <c r="C13" i="30"/>
  <c r="B13" i="30"/>
  <c r="C12" i="30"/>
  <c r="B12" i="30"/>
  <c r="G12" i="30" s="1"/>
  <c r="G11" i="30"/>
  <c r="C11" i="30"/>
  <c r="B11" i="30"/>
  <c r="G10" i="30"/>
  <c r="C10" i="30"/>
  <c r="B10" i="30"/>
  <c r="G9" i="30"/>
  <c r="C9" i="30"/>
  <c r="B9" i="30"/>
  <c r="G8" i="30"/>
  <c r="C8" i="30"/>
  <c r="B8" i="30"/>
  <c r="C7" i="30"/>
  <c r="G7" i="30" s="1"/>
  <c r="B7" i="30"/>
  <c r="C6" i="30"/>
  <c r="G6" i="30" s="1"/>
  <c r="B6" i="30"/>
  <c r="C5" i="30"/>
  <c r="G5" i="30" s="1"/>
  <c r="B5" i="30"/>
  <c r="EZ62" i="1"/>
  <c r="DN62" i="1"/>
  <c r="DK62" i="1"/>
  <c r="DJ62" i="1"/>
  <c r="DM62" i="1" s="1"/>
  <c r="DP62" i="1" s="1"/>
  <c r="DS62" i="1" s="1"/>
  <c r="DV62" i="1" s="1"/>
  <c r="DY62" i="1" s="1"/>
  <c r="EB62" i="1" s="1"/>
  <c r="EE62" i="1" s="1"/>
  <c r="DI62" i="1"/>
  <c r="DL62" i="1" s="1"/>
  <c r="DO62" i="1" s="1"/>
  <c r="DH62" i="1"/>
  <c r="DG62" i="1"/>
  <c r="DF62" i="1"/>
  <c r="DE62" i="1"/>
  <c r="CR62" i="1"/>
  <c r="CQ62" i="1"/>
  <c r="CE62" i="1"/>
  <c r="CC62" i="1"/>
  <c r="CA62" i="1"/>
  <c r="BZ62" i="1"/>
  <c r="BR62" i="1"/>
  <c r="BG62" i="1"/>
  <c r="BD62" i="1"/>
  <c r="BE62" i="1" s="1"/>
  <c r="BB62" i="1"/>
  <c r="AC62" i="1"/>
  <c r="T62" i="1"/>
  <c r="N62" i="1"/>
  <c r="M62" i="1"/>
  <c r="I62" i="1"/>
  <c r="H62" i="1"/>
  <c r="DS61" i="1"/>
  <c r="DV61" i="1" s="1"/>
  <c r="DY61" i="1" s="1"/>
  <c r="EB61" i="1" s="1"/>
  <c r="EE61" i="1" s="1"/>
  <c r="DM61" i="1"/>
  <c r="DP61" i="1" s="1"/>
  <c r="DG61" i="1"/>
  <c r="DJ61" i="1" s="1"/>
  <c r="DF61" i="1"/>
  <c r="DE61" i="1"/>
  <c r="CR61" i="1"/>
  <c r="CQ61" i="1"/>
  <c r="CE61" i="1"/>
  <c r="CC61" i="1"/>
  <c r="CA61" i="1"/>
  <c r="BZ61" i="1"/>
  <c r="BR61" i="1"/>
  <c r="BG61" i="1"/>
  <c r="BB61" i="1"/>
  <c r="AC61" i="1"/>
  <c r="N61" i="1"/>
  <c r="M61" i="1"/>
  <c r="I61" i="1"/>
  <c r="H61" i="1"/>
  <c r="BD61" i="1" s="1"/>
  <c r="EE60" i="1"/>
  <c r="DJ60" i="1"/>
  <c r="DM60" i="1" s="1"/>
  <c r="DP60" i="1" s="1"/>
  <c r="DS60" i="1" s="1"/>
  <c r="DV60" i="1" s="1"/>
  <c r="DY60" i="1" s="1"/>
  <c r="EB60" i="1" s="1"/>
  <c r="DG60" i="1"/>
  <c r="DF60" i="1"/>
  <c r="DH60" i="1" s="1"/>
  <c r="DE60" i="1"/>
  <c r="CR60" i="1"/>
  <c r="CQ60" i="1"/>
  <c r="CE60" i="1"/>
  <c r="CC60" i="1"/>
  <c r="CA60" i="1"/>
  <c r="BZ60" i="1"/>
  <c r="BR60" i="1"/>
  <c r="BG60" i="1"/>
  <c r="BD60" i="1"/>
  <c r="BB60" i="1"/>
  <c r="AC60" i="1"/>
  <c r="N60" i="1"/>
  <c r="M60" i="1"/>
  <c r="I60" i="1"/>
  <c r="H60" i="1"/>
  <c r="FF59" i="1"/>
  <c r="DM59" i="1"/>
  <c r="DP59" i="1" s="1"/>
  <c r="DS59" i="1" s="1"/>
  <c r="DV59" i="1" s="1"/>
  <c r="DY59" i="1" s="1"/>
  <c r="EB59" i="1" s="1"/>
  <c r="EE59" i="1" s="1"/>
  <c r="DJ59" i="1"/>
  <c r="DG59" i="1"/>
  <c r="DF59" i="1"/>
  <c r="DE59" i="1"/>
  <c r="CR59" i="1"/>
  <c r="CQ59" i="1"/>
  <c r="CE59" i="1"/>
  <c r="CC59" i="1"/>
  <c r="CA59" i="1"/>
  <c r="BZ59" i="1"/>
  <c r="BR59" i="1"/>
  <c r="BG59" i="1"/>
  <c r="BB59" i="1"/>
  <c r="AC59" i="1"/>
  <c r="T59" i="1"/>
  <c r="N59" i="1"/>
  <c r="M59" i="1"/>
  <c r="I59" i="1"/>
  <c r="H59" i="1"/>
  <c r="DM58" i="1"/>
  <c r="DP58" i="1" s="1"/>
  <c r="DS58" i="1" s="1"/>
  <c r="DV58" i="1" s="1"/>
  <c r="DY58" i="1" s="1"/>
  <c r="EB58" i="1" s="1"/>
  <c r="EE58" i="1" s="1"/>
  <c r="DJ58" i="1"/>
  <c r="DG58" i="1"/>
  <c r="DF58" i="1"/>
  <c r="DE58" i="1"/>
  <c r="CR58" i="1"/>
  <c r="CQ58" i="1"/>
  <c r="CE58" i="1"/>
  <c r="CC58" i="1"/>
  <c r="CA58" i="1"/>
  <c r="BZ58" i="1"/>
  <c r="BS58" i="1"/>
  <c r="BR58" i="1"/>
  <c r="BG58" i="1"/>
  <c r="BE58" i="1"/>
  <c r="BD58" i="1"/>
  <c r="BB58" i="1"/>
  <c r="AZ58" i="1"/>
  <c r="AY58" i="1"/>
  <c r="AC58" i="1"/>
  <c r="N58" i="1"/>
  <c r="M58" i="1"/>
  <c r="I58" i="1"/>
  <c r="H58" i="1"/>
  <c r="FI57" i="1"/>
  <c r="EN57" i="1"/>
  <c r="DH57" i="1"/>
  <c r="DG57" i="1"/>
  <c r="DJ57" i="1" s="1"/>
  <c r="DM57" i="1" s="1"/>
  <c r="DP57" i="1" s="1"/>
  <c r="DS57" i="1" s="1"/>
  <c r="DV57" i="1" s="1"/>
  <c r="DY57" i="1" s="1"/>
  <c r="EB57" i="1" s="1"/>
  <c r="EE57" i="1" s="1"/>
  <c r="DF57" i="1"/>
  <c r="DI57" i="1" s="1"/>
  <c r="DL57" i="1" s="1"/>
  <c r="DO57" i="1" s="1"/>
  <c r="DE57" i="1"/>
  <c r="CR57" i="1"/>
  <c r="CQ57" i="1"/>
  <c r="CE57" i="1"/>
  <c r="CD57" i="1"/>
  <c r="CC57" i="1"/>
  <c r="CA57" i="1"/>
  <c r="BZ57" i="1"/>
  <c r="BS57" i="1"/>
  <c r="BR57" i="1"/>
  <c r="BG57" i="1"/>
  <c r="BB57" i="1"/>
  <c r="AC57" i="1"/>
  <c r="N57" i="1"/>
  <c r="M57" i="1"/>
  <c r="I57" i="1"/>
  <c r="H57" i="1"/>
  <c r="DS56" i="1"/>
  <c r="DV56" i="1" s="1"/>
  <c r="DY56" i="1" s="1"/>
  <c r="EB56" i="1" s="1"/>
  <c r="EE56" i="1" s="1"/>
  <c r="DP56" i="1"/>
  <c r="DM56" i="1"/>
  <c r="DK56" i="1"/>
  <c r="DJ56" i="1"/>
  <c r="DG56" i="1"/>
  <c r="DF56" i="1"/>
  <c r="DI56" i="1" s="1"/>
  <c r="DL56" i="1" s="1"/>
  <c r="DE56" i="1"/>
  <c r="CR56" i="1"/>
  <c r="CQ56" i="1"/>
  <c r="CE56" i="1"/>
  <c r="CD56" i="1"/>
  <c r="CC56" i="1"/>
  <c r="CA56" i="1"/>
  <c r="CB56" i="1" s="1"/>
  <c r="BZ56" i="1"/>
  <c r="CF56" i="1" s="1"/>
  <c r="BR56" i="1"/>
  <c r="BG56" i="1"/>
  <c r="BD56" i="1"/>
  <c r="BB56" i="1"/>
  <c r="AC56" i="1"/>
  <c r="T56" i="1"/>
  <c r="N56" i="1"/>
  <c r="M56" i="1"/>
  <c r="I56" i="1"/>
  <c r="H56" i="1"/>
  <c r="DN55" i="1"/>
  <c r="DK55" i="1"/>
  <c r="DH55" i="1"/>
  <c r="DG55" i="1"/>
  <c r="DJ55" i="1" s="1"/>
  <c r="DM55" i="1" s="1"/>
  <c r="DP55" i="1" s="1"/>
  <c r="DS55" i="1" s="1"/>
  <c r="DV55" i="1" s="1"/>
  <c r="DY55" i="1" s="1"/>
  <c r="EB55" i="1" s="1"/>
  <c r="EE55" i="1" s="1"/>
  <c r="DF55" i="1"/>
  <c r="DI55" i="1" s="1"/>
  <c r="DL55" i="1" s="1"/>
  <c r="DO55" i="1" s="1"/>
  <c r="DE55" i="1"/>
  <c r="CR55" i="1"/>
  <c r="CQ55" i="1"/>
  <c r="CE55" i="1"/>
  <c r="CC55" i="1"/>
  <c r="CA55" i="1"/>
  <c r="BZ55" i="1"/>
  <c r="BR55" i="1"/>
  <c r="BG55" i="1"/>
  <c r="BB55" i="1"/>
  <c r="AC55" i="1"/>
  <c r="N55" i="1"/>
  <c r="M55" i="1"/>
  <c r="I55" i="1"/>
  <c r="H55" i="1"/>
  <c r="BD55" i="1" s="1"/>
  <c r="F55" i="1"/>
  <c r="ET54" i="1"/>
  <c r="DP54" i="1"/>
  <c r="DS54" i="1" s="1"/>
  <c r="DV54" i="1" s="1"/>
  <c r="DY54" i="1" s="1"/>
  <c r="EB54" i="1" s="1"/>
  <c r="EE54" i="1" s="1"/>
  <c r="DM54" i="1"/>
  <c r="DI54" i="1"/>
  <c r="DG54" i="1"/>
  <c r="DJ54" i="1" s="1"/>
  <c r="DF54" i="1"/>
  <c r="DH54" i="1" s="1"/>
  <c r="DE54" i="1"/>
  <c r="CR54" i="1"/>
  <c r="CQ54" i="1"/>
  <c r="CE54" i="1"/>
  <c r="CC54" i="1"/>
  <c r="CA54" i="1"/>
  <c r="BZ54" i="1"/>
  <c r="BR54" i="1"/>
  <c r="BG54" i="1"/>
  <c r="BB54" i="1"/>
  <c r="AY54" i="1"/>
  <c r="AC54" i="1"/>
  <c r="N54" i="1"/>
  <c r="M54" i="1"/>
  <c r="I54" i="1"/>
  <c r="H54" i="1"/>
  <c r="BD54" i="1" s="1"/>
  <c r="BE54" i="1" s="1"/>
  <c r="F54" i="1"/>
  <c r="DJ53" i="1"/>
  <c r="DM53" i="1" s="1"/>
  <c r="DP53" i="1" s="1"/>
  <c r="DS53" i="1" s="1"/>
  <c r="DV53" i="1" s="1"/>
  <c r="DY53" i="1" s="1"/>
  <c r="EB53" i="1" s="1"/>
  <c r="EE53" i="1" s="1"/>
  <c r="DG53" i="1"/>
  <c r="DF53" i="1"/>
  <c r="CR53" i="1"/>
  <c r="CQ53" i="1"/>
  <c r="CE53" i="1"/>
  <c r="CC53" i="1"/>
  <c r="CB53" i="1"/>
  <c r="CA53" i="1"/>
  <c r="BZ53" i="1"/>
  <c r="BR53" i="1"/>
  <c r="BG53" i="1"/>
  <c r="BD53" i="1"/>
  <c r="BB53" i="1"/>
  <c r="T53" i="1"/>
  <c r="N53" i="1"/>
  <c r="BE53" i="1" s="1"/>
  <c r="M53" i="1"/>
  <c r="I53" i="1"/>
  <c r="H53" i="1"/>
  <c r="FF52" i="1"/>
  <c r="EW52" i="1"/>
  <c r="DU52" i="1"/>
  <c r="DR52" i="1"/>
  <c r="DT52" i="1" s="1"/>
  <c r="DO52" i="1"/>
  <c r="DQ52" i="1" s="1"/>
  <c r="DN52" i="1"/>
  <c r="DL52" i="1"/>
  <c r="DH52" i="1"/>
  <c r="DG52" i="1"/>
  <c r="DJ52" i="1" s="1"/>
  <c r="DM52" i="1" s="1"/>
  <c r="DP52" i="1" s="1"/>
  <c r="DS52" i="1" s="1"/>
  <c r="DV52" i="1" s="1"/>
  <c r="DY52" i="1" s="1"/>
  <c r="EB52" i="1" s="1"/>
  <c r="EE52" i="1" s="1"/>
  <c r="EN52" i="1" s="1"/>
  <c r="DF52" i="1"/>
  <c r="DI52" i="1" s="1"/>
  <c r="DK52" i="1" s="1"/>
  <c r="DE52" i="1"/>
  <c r="CR52" i="1"/>
  <c r="CQ52" i="1"/>
  <c r="CF52" i="1"/>
  <c r="CE52" i="1"/>
  <c r="CD52" i="1"/>
  <c r="CC52" i="1"/>
  <c r="CA52" i="1"/>
  <c r="CB52" i="1" s="1"/>
  <c r="BZ52" i="1"/>
  <c r="BS52" i="1"/>
  <c r="BS53" i="1" s="1"/>
  <c r="BR52" i="1"/>
  <c r="BG52" i="1"/>
  <c r="BB52" i="1"/>
  <c r="AC52" i="1"/>
  <c r="N52" i="1"/>
  <c r="M52" i="1"/>
  <c r="I52" i="1"/>
  <c r="H52" i="1"/>
  <c r="BD52" i="1" s="1"/>
  <c r="AY52" i="1" s="1"/>
  <c r="F52" i="1"/>
  <c r="EE51" i="1"/>
  <c r="DG51" i="1"/>
  <c r="DJ51" i="1" s="1"/>
  <c r="DM51" i="1" s="1"/>
  <c r="DP51" i="1" s="1"/>
  <c r="DS51" i="1" s="1"/>
  <c r="DV51" i="1" s="1"/>
  <c r="DY51" i="1" s="1"/>
  <c r="EB51" i="1" s="1"/>
  <c r="DF51" i="1"/>
  <c r="DI51" i="1" s="1"/>
  <c r="DL51" i="1" s="1"/>
  <c r="DN51" i="1" s="1"/>
  <c r="DE51" i="1"/>
  <c r="CR51" i="1"/>
  <c r="CQ51" i="1"/>
  <c r="CF51" i="1"/>
  <c r="CE51" i="1"/>
  <c r="CD51" i="1"/>
  <c r="CC51" i="1"/>
  <c r="CB51" i="1"/>
  <c r="CA51" i="1"/>
  <c r="BZ51" i="1"/>
  <c r="BR51" i="1"/>
  <c r="BG51" i="1"/>
  <c r="BB51" i="1"/>
  <c r="AC51" i="1"/>
  <c r="N51" i="1"/>
  <c r="BE51" i="1" s="1"/>
  <c r="M51" i="1"/>
  <c r="I51" i="1"/>
  <c r="H51" i="1"/>
  <c r="BD51" i="1" s="1"/>
  <c r="AY51" i="1" s="1"/>
  <c r="DV50" i="1"/>
  <c r="DY50" i="1" s="1"/>
  <c r="EB50" i="1" s="1"/>
  <c r="EE50" i="1" s="1"/>
  <c r="DR50" i="1"/>
  <c r="DM50" i="1"/>
  <c r="DP50" i="1" s="1"/>
  <c r="DS50" i="1" s="1"/>
  <c r="DL50" i="1"/>
  <c r="DO50" i="1" s="1"/>
  <c r="DQ50" i="1" s="1"/>
  <c r="DK50" i="1"/>
  <c r="DJ50" i="1"/>
  <c r="DH50" i="1"/>
  <c r="DG50" i="1"/>
  <c r="DF50" i="1"/>
  <c r="DI50" i="1" s="1"/>
  <c r="DE50" i="1"/>
  <c r="CR50" i="1"/>
  <c r="CQ50" i="1"/>
  <c r="CE50" i="1"/>
  <c r="CC50" i="1"/>
  <c r="CA50" i="1"/>
  <c r="BZ50" i="1"/>
  <c r="BS50" i="1"/>
  <c r="BR50" i="1"/>
  <c r="BG50" i="1"/>
  <c r="BB50" i="1"/>
  <c r="T50" i="1"/>
  <c r="N50" i="1"/>
  <c r="M50" i="1"/>
  <c r="I50" i="1"/>
  <c r="H50" i="1"/>
  <c r="BD50" i="1" s="1"/>
  <c r="AY50" i="1" s="1"/>
  <c r="ET49" i="1"/>
  <c r="DM49" i="1"/>
  <c r="DP49" i="1" s="1"/>
  <c r="DS49" i="1" s="1"/>
  <c r="DV49" i="1" s="1"/>
  <c r="DY49" i="1" s="1"/>
  <c r="EB49" i="1" s="1"/>
  <c r="EE49" i="1" s="1"/>
  <c r="DJ49" i="1"/>
  <c r="DG49" i="1"/>
  <c r="DF49" i="1"/>
  <c r="DE49" i="1"/>
  <c r="CR49" i="1"/>
  <c r="CQ49" i="1"/>
  <c r="CI49" i="1"/>
  <c r="CJ49" i="1" s="1"/>
  <c r="CE49" i="1"/>
  <c r="CC49" i="1"/>
  <c r="CA49" i="1"/>
  <c r="BZ49" i="1"/>
  <c r="BS49" i="1"/>
  <c r="BR49" i="1"/>
  <c r="BG49" i="1"/>
  <c r="BB49" i="1"/>
  <c r="AC49" i="1"/>
  <c r="N49" i="1"/>
  <c r="M49" i="1"/>
  <c r="I49" i="1"/>
  <c r="H49" i="1"/>
  <c r="BD49" i="1" s="1"/>
  <c r="AY49" i="1" s="1"/>
  <c r="DM48" i="1"/>
  <c r="DP48" i="1" s="1"/>
  <c r="DS48" i="1" s="1"/>
  <c r="DV48" i="1" s="1"/>
  <c r="DY48" i="1" s="1"/>
  <c r="EB48" i="1" s="1"/>
  <c r="EE48" i="1" s="1"/>
  <c r="DJ48" i="1"/>
  <c r="DI48" i="1"/>
  <c r="DL48" i="1" s="1"/>
  <c r="DO48" i="1" s="1"/>
  <c r="DH48" i="1"/>
  <c r="DG48" i="1"/>
  <c r="DF48" i="1"/>
  <c r="DE48" i="1"/>
  <c r="CR48" i="1"/>
  <c r="CQ48" i="1"/>
  <c r="CJ48" i="1"/>
  <c r="CE48" i="1"/>
  <c r="CC48" i="1"/>
  <c r="CA48" i="1"/>
  <c r="BZ48" i="1"/>
  <c r="BR48" i="1"/>
  <c r="BG48" i="1"/>
  <c r="BB48" i="1"/>
  <c r="N48" i="1"/>
  <c r="BE48" i="1" s="1"/>
  <c r="M48" i="1"/>
  <c r="I48" i="1"/>
  <c r="BD48" i="1" s="1"/>
  <c r="AY48" i="1" s="1"/>
  <c r="H48" i="1"/>
  <c r="DS47" i="1"/>
  <c r="DV47" i="1" s="1"/>
  <c r="DY47" i="1" s="1"/>
  <c r="EB47" i="1" s="1"/>
  <c r="EE47" i="1" s="1"/>
  <c r="DJ47" i="1"/>
  <c r="DM47" i="1" s="1"/>
  <c r="DP47" i="1" s="1"/>
  <c r="DG47" i="1"/>
  <c r="DF47" i="1"/>
  <c r="DI47" i="1" s="1"/>
  <c r="DE47" i="1"/>
  <c r="CR47" i="1"/>
  <c r="CQ47" i="1"/>
  <c r="CJ47" i="1"/>
  <c r="CE47" i="1"/>
  <c r="CF47" i="1" s="1"/>
  <c r="CC47" i="1"/>
  <c r="CD47" i="1" s="1"/>
  <c r="CA47" i="1"/>
  <c r="CB47" i="1" s="1"/>
  <c r="BZ47" i="1"/>
  <c r="BR47" i="1"/>
  <c r="BB47" i="1"/>
  <c r="T47" i="1"/>
  <c r="N47" i="1"/>
  <c r="I47" i="1"/>
  <c r="H47" i="1"/>
  <c r="BD47" i="1" s="1"/>
  <c r="DP46" i="1"/>
  <c r="DS46" i="1" s="1"/>
  <c r="DV46" i="1" s="1"/>
  <c r="DY46" i="1" s="1"/>
  <c r="EB46" i="1" s="1"/>
  <c r="EE46" i="1" s="1"/>
  <c r="DG46" i="1"/>
  <c r="DJ46" i="1" s="1"/>
  <c r="DM46" i="1" s="1"/>
  <c r="DF46" i="1"/>
  <c r="CR46" i="1"/>
  <c r="CQ46" i="1"/>
  <c r="CJ46" i="1"/>
  <c r="CI46" i="1"/>
  <c r="CE46" i="1"/>
  <c r="CF46" i="1" s="1"/>
  <c r="CD46" i="1"/>
  <c r="CC46" i="1"/>
  <c r="CB46" i="1"/>
  <c r="CA46" i="1"/>
  <c r="BZ46" i="1"/>
  <c r="BR46" i="1"/>
  <c r="BD46" i="1"/>
  <c r="AY46" i="1" s="1"/>
  <c r="BB46" i="1"/>
  <c r="N46" i="1"/>
  <c r="BE46" i="1" s="1"/>
  <c r="I46" i="1"/>
  <c r="H46" i="1"/>
  <c r="EH45" i="1"/>
  <c r="DV45" i="1"/>
  <c r="DY45" i="1" s="1"/>
  <c r="EB45" i="1" s="1"/>
  <c r="EE45" i="1" s="1"/>
  <c r="DJ45" i="1"/>
  <c r="DM45" i="1" s="1"/>
  <c r="DP45" i="1" s="1"/>
  <c r="DS45" i="1" s="1"/>
  <c r="DG45" i="1"/>
  <c r="DF45" i="1"/>
  <c r="DE45" i="1"/>
  <c r="CR45" i="1"/>
  <c r="CQ45" i="1"/>
  <c r="CJ45" i="1"/>
  <c r="CE45" i="1"/>
  <c r="CC45" i="1"/>
  <c r="CA45" i="1"/>
  <c r="BZ45" i="1"/>
  <c r="BR45" i="1"/>
  <c r="BB45" i="1"/>
  <c r="N45" i="1"/>
  <c r="I45" i="1"/>
  <c r="H45" i="1"/>
  <c r="BD45" i="1" s="1"/>
  <c r="AY45" i="1" s="1"/>
  <c r="EZ44" i="1"/>
  <c r="DP44" i="1"/>
  <c r="DS44" i="1" s="1"/>
  <c r="DV44" i="1" s="1"/>
  <c r="DY44" i="1" s="1"/>
  <c r="EB44" i="1" s="1"/>
  <c r="EE44" i="1" s="1"/>
  <c r="DL44" i="1"/>
  <c r="DJ44" i="1"/>
  <c r="DM44" i="1" s="1"/>
  <c r="DI44" i="1"/>
  <c r="DG44" i="1"/>
  <c r="DF44" i="1"/>
  <c r="CR44" i="1"/>
  <c r="CQ44" i="1"/>
  <c r="CE44" i="1"/>
  <c r="CC44" i="1"/>
  <c r="CA44" i="1"/>
  <c r="BZ44" i="1"/>
  <c r="BR44" i="1"/>
  <c r="BB44" i="1"/>
  <c r="T44" i="1"/>
  <c r="N44" i="1"/>
  <c r="I44" i="1"/>
  <c r="H44" i="1"/>
  <c r="EB43" i="1"/>
  <c r="EE43" i="1" s="1"/>
  <c r="DP43" i="1"/>
  <c r="DS43" i="1" s="1"/>
  <c r="DV43" i="1" s="1"/>
  <c r="DY43" i="1" s="1"/>
  <c r="DM43" i="1"/>
  <c r="DJ43" i="1"/>
  <c r="DI43" i="1"/>
  <c r="DG43" i="1"/>
  <c r="DF43" i="1"/>
  <c r="CR43" i="1"/>
  <c r="CQ43" i="1"/>
  <c r="CE43" i="1"/>
  <c r="CC43" i="1"/>
  <c r="CA43" i="1"/>
  <c r="BZ43" i="1"/>
  <c r="BR43" i="1"/>
  <c r="BE43" i="1"/>
  <c r="BD43" i="1"/>
  <c r="AY43" i="1" s="1"/>
  <c r="BB43" i="1"/>
  <c r="N43" i="1"/>
  <c r="I43" i="1"/>
  <c r="H43" i="1"/>
  <c r="EZ42" i="1"/>
  <c r="EW42" i="1"/>
  <c r="DY42" i="1"/>
  <c r="EB42" i="1" s="1"/>
  <c r="EE42" i="1" s="1"/>
  <c r="DV42" i="1"/>
  <c r="DI42" i="1"/>
  <c r="DG42" i="1"/>
  <c r="DJ42" i="1" s="1"/>
  <c r="DM42" i="1" s="1"/>
  <c r="DP42" i="1" s="1"/>
  <c r="DS42" i="1" s="1"/>
  <c r="DF42" i="1"/>
  <c r="CR42" i="1"/>
  <c r="CQ42" i="1"/>
  <c r="CE42" i="1"/>
  <c r="CC42" i="1"/>
  <c r="CA42" i="1"/>
  <c r="BZ42" i="1"/>
  <c r="BR42" i="1"/>
  <c r="BB42" i="1"/>
  <c r="N42" i="1"/>
  <c r="I42" i="1"/>
  <c r="H42" i="1"/>
  <c r="DO41" i="1"/>
  <c r="DJ41" i="1"/>
  <c r="DM41" i="1" s="1"/>
  <c r="DP41" i="1" s="1"/>
  <c r="DS41" i="1" s="1"/>
  <c r="DV41" i="1" s="1"/>
  <c r="DY41" i="1" s="1"/>
  <c r="EB41" i="1" s="1"/>
  <c r="EE41" i="1" s="1"/>
  <c r="DG41" i="1"/>
  <c r="DF41" i="1"/>
  <c r="DI41" i="1" s="1"/>
  <c r="DL41" i="1" s="1"/>
  <c r="CR41" i="1"/>
  <c r="CQ41" i="1"/>
  <c r="CE41" i="1"/>
  <c r="CC41" i="1"/>
  <c r="CA41" i="1"/>
  <c r="BZ41" i="1"/>
  <c r="BR41" i="1"/>
  <c r="BB41" i="1"/>
  <c r="T41" i="1"/>
  <c r="N41" i="1"/>
  <c r="I41" i="1"/>
  <c r="H41" i="1"/>
  <c r="DM40" i="1"/>
  <c r="DP40" i="1" s="1"/>
  <c r="DS40" i="1" s="1"/>
  <c r="DV40" i="1" s="1"/>
  <c r="DY40" i="1" s="1"/>
  <c r="EB40" i="1" s="1"/>
  <c r="EE40" i="1" s="1"/>
  <c r="DJ40" i="1"/>
  <c r="DG40" i="1"/>
  <c r="DF40" i="1"/>
  <c r="DI40" i="1" s="1"/>
  <c r="CR40" i="1"/>
  <c r="CQ40" i="1"/>
  <c r="CE40" i="1"/>
  <c r="CC40" i="1"/>
  <c r="CA40" i="1"/>
  <c r="BZ40" i="1"/>
  <c r="BR40" i="1"/>
  <c r="BB40" i="1"/>
  <c r="AC40" i="1"/>
  <c r="N40" i="1"/>
  <c r="I40" i="1"/>
  <c r="H40" i="1"/>
  <c r="F40" i="1"/>
  <c r="DP39" i="1"/>
  <c r="DS39" i="1" s="1"/>
  <c r="DV39" i="1" s="1"/>
  <c r="DY39" i="1" s="1"/>
  <c r="EB39" i="1" s="1"/>
  <c r="EE39" i="1" s="1"/>
  <c r="DG39" i="1"/>
  <c r="DJ39" i="1" s="1"/>
  <c r="DM39" i="1" s="1"/>
  <c r="DF39" i="1"/>
  <c r="CR39" i="1"/>
  <c r="CQ39" i="1"/>
  <c r="CE39" i="1"/>
  <c r="CC39" i="1"/>
  <c r="CA39" i="1"/>
  <c r="BZ39" i="1"/>
  <c r="BB39" i="1"/>
  <c r="H39" i="1"/>
  <c r="F39" i="1"/>
  <c r="E39" i="1"/>
  <c r="DM38" i="1"/>
  <c r="DP38" i="1" s="1"/>
  <c r="DS38" i="1" s="1"/>
  <c r="DV38" i="1" s="1"/>
  <c r="DY38" i="1" s="1"/>
  <c r="EB38" i="1" s="1"/>
  <c r="EE38" i="1" s="1"/>
  <c r="DL38" i="1"/>
  <c r="DJ38" i="1"/>
  <c r="DI38" i="1"/>
  <c r="DG38" i="1"/>
  <c r="DF38" i="1"/>
  <c r="CR38" i="1"/>
  <c r="CQ38" i="1"/>
  <c r="CE38" i="1"/>
  <c r="CC38" i="1"/>
  <c r="CA38" i="1"/>
  <c r="BZ38" i="1"/>
  <c r="BP38" i="1"/>
  <c r="BQ38" i="1" s="1"/>
  <c r="BK38" i="1"/>
  <c r="BB38" i="1"/>
  <c r="AC38" i="1"/>
  <c r="T38" i="1"/>
  <c r="F38" i="1"/>
  <c r="DM37" i="1"/>
  <c r="DP37" i="1" s="1"/>
  <c r="DS37" i="1" s="1"/>
  <c r="DV37" i="1" s="1"/>
  <c r="DY37" i="1" s="1"/>
  <c r="EB37" i="1" s="1"/>
  <c r="EE37" i="1" s="1"/>
  <c r="DG37" i="1"/>
  <c r="DJ37" i="1" s="1"/>
  <c r="DF37" i="1"/>
  <c r="DI37" i="1" s="1"/>
  <c r="CR37" i="1"/>
  <c r="CQ37" i="1"/>
  <c r="CE37" i="1"/>
  <c r="CC37" i="1"/>
  <c r="CA37" i="1"/>
  <c r="BZ37" i="1"/>
  <c r="BQ37" i="1"/>
  <c r="BP37" i="1"/>
  <c r="BM37" i="1"/>
  <c r="BK37" i="1"/>
  <c r="G37" i="1" s="1"/>
  <c r="BB37" i="1"/>
  <c r="AC37" i="1"/>
  <c r="F37" i="1"/>
  <c r="EW36" i="1"/>
  <c r="EH36" i="1"/>
  <c r="DG36" i="1"/>
  <c r="DJ36" i="1" s="1"/>
  <c r="DM36" i="1" s="1"/>
  <c r="DP36" i="1" s="1"/>
  <c r="DS36" i="1" s="1"/>
  <c r="DV36" i="1" s="1"/>
  <c r="DY36" i="1" s="1"/>
  <c r="EB36" i="1" s="1"/>
  <c r="EE36" i="1" s="1"/>
  <c r="DF36" i="1"/>
  <c r="DI36" i="1" s="1"/>
  <c r="CR36" i="1"/>
  <c r="CQ36" i="1"/>
  <c r="CE36" i="1"/>
  <c r="CC36" i="1"/>
  <c r="CA36" i="1"/>
  <c r="BZ36" i="1"/>
  <c r="BQ36" i="1"/>
  <c r="BP36" i="1"/>
  <c r="BM36" i="1"/>
  <c r="BK36" i="1"/>
  <c r="BB36" i="1"/>
  <c r="AC36" i="1"/>
  <c r="F36" i="1"/>
  <c r="EE35" i="1"/>
  <c r="DM35" i="1"/>
  <c r="DP35" i="1" s="1"/>
  <c r="DS35" i="1" s="1"/>
  <c r="DV35" i="1" s="1"/>
  <c r="DY35" i="1" s="1"/>
  <c r="EB35" i="1" s="1"/>
  <c r="DG35" i="1"/>
  <c r="DJ35" i="1" s="1"/>
  <c r="DF35" i="1"/>
  <c r="DI35" i="1" s="1"/>
  <c r="CR35" i="1"/>
  <c r="CQ35" i="1"/>
  <c r="CE35" i="1"/>
  <c r="CC35" i="1"/>
  <c r="CA35" i="1"/>
  <c r="BZ35" i="1"/>
  <c r="BQ35" i="1"/>
  <c r="BP35" i="1"/>
  <c r="BK35" i="1"/>
  <c r="BB35" i="1"/>
  <c r="AC35" i="1"/>
  <c r="T35" i="1"/>
  <c r="F35" i="1"/>
  <c r="DG34" i="1"/>
  <c r="DJ34" i="1" s="1"/>
  <c r="DM34" i="1" s="1"/>
  <c r="DP34" i="1" s="1"/>
  <c r="DS34" i="1" s="1"/>
  <c r="DV34" i="1" s="1"/>
  <c r="DY34" i="1" s="1"/>
  <c r="EB34" i="1" s="1"/>
  <c r="EE34" i="1" s="1"/>
  <c r="DF34" i="1"/>
  <c r="DI34" i="1" s="1"/>
  <c r="CR34" i="1"/>
  <c r="CQ34" i="1"/>
  <c r="CE34" i="1"/>
  <c r="CC34" i="1"/>
  <c r="CA34" i="1"/>
  <c r="BZ34" i="1"/>
  <c r="BP34" i="1"/>
  <c r="BQ34" i="1" s="1"/>
  <c r="BO34" i="1"/>
  <c r="E34" i="1" s="1"/>
  <c r="BM34" i="1"/>
  <c r="G34" i="1" s="1"/>
  <c r="BK34" i="1"/>
  <c r="BB34" i="1"/>
  <c r="AC34" i="1"/>
  <c r="I34" i="1"/>
  <c r="I35" i="1" s="1"/>
  <c r="I36" i="1" s="1"/>
  <c r="I37" i="1" s="1"/>
  <c r="I38" i="1" s="1"/>
  <c r="F34" i="1"/>
  <c r="DS33" i="1"/>
  <c r="DV33" i="1" s="1"/>
  <c r="DY33" i="1" s="1"/>
  <c r="EB33" i="1" s="1"/>
  <c r="EE33" i="1" s="1"/>
  <c r="EH33" i="1" s="1"/>
  <c r="DP33" i="1"/>
  <c r="DG33" i="1"/>
  <c r="DJ33" i="1" s="1"/>
  <c r="DM33" i="1" s="1"/>
  <c r="DF33" i="1"/>
  <c r="DI33" i="1" s="1"/>
  <c r="CR33" i="1"/>
  <c r="CQ33" i="1"/>
  <c r="CE33" i="1"/>
  <c r="CC33" i="1"/>
  <c r="CA33" i="1"/>
  <c r="BZ33" i="1"/>
  <c r="BP33" i="1"/>
  <c r="BQ33" i="1" s="1"/>
  <c r="BM33" i="1"/>
  <c r="G33" i="1" s="1"/>
  <c r="BK33" i="1"/>
  <c r="BB33" i="1"/>
  <c r="AC33" i="1"/>
  <c r="F33" i="1"/>
  <c r="DS32" i="1"/>
  <c r="DV32" i="1" s="1"/>
  <c r="DY32" i="1" s="1"/>
  <c r="EB32" i="1" s="1"/>
  <c r="EE32" i="1" s="1"/>
  <c r="DP32" i="1"/>
  <c r="DG32" i="1"/>
  <c r="DJ32" i="1" s="1"/>
  <c r="DM32" i="1" s="1"/>
  <c r="DF32" i="1"/>
  <c r="DI32" i="1" s="1"/>
  <c r="CR32" i="1"/>
  <c r="CQ32" i="1"/>
  <c r="CE32" i="1"/>
  <c r="CC32" i="1"/>
  <c r="CA32" i="1"/>
  <c r="BZ32" i="1"/>
  <c r="BP32" i="1"/>
  <c r="BQ32" i="1" s="1"/>
  <c r="BM32" i="1"/>
  <c r="BO32" i="1" s="1"/>
  <c r="BK32" i="1"/>
  <c r="BB32" i="1"/>
  <c r="AC32" i="1"/>
  <c r="T32" i="1"/>
  <c r="G32" i="1"/>
  <c r="F32" i="1"/>
  <c r="E32" i="1"/>
  <c r="EK31" i="1"/>
  <c r="DI31" i="1"/>
  <c r="DG31" i="1"/>
  <c r="DJ31" i="1" s="1"/>
  <c r="DM31" i="1" s="1"/>
  <c r="DP31" i="1" s="1"/>
  <c r="DS31" i="1" s="1"/>
  <c r="DV31" i="1" s="1"/>
  <c r="DY31" i="1" s="1"/>
  <c r="EB31" i="1" s="1"/>
  <c r="EE31" i="1" s="1"/>
  <c r="DF31" i="1"/>
  <c r="CR31" i="1"/>
  <c r="CQ31" i="1"/>
  <c r="CE31" i="1"/>
  <c r="CC31" i="1"/>
  <c r="CA31" i="1"/>
  <c r="BZ31" i="1"/>
  <c r="BQ31" i="1"/>
  <c r="BP31" i="1"/>
  <c r="BO31" i="1"/>
  <c r="E31" i="1" s="1"/>
  <c r="BM31" i="1"/>
  <c r="BK31" i="1"/>
  <c r="BB31" i="1"/>
  <c r="AC31" i="1"/>
  <c r="I31" i="1"/>
  <c r="I32" i="1" s="1"/>
  <c r="I33" i="1" s="1"/>
  <c r="H31" i="1"/>
  <c r="H32" i="1" s="1"/>
  <c r="H33" i="1" s="1"/>
  <c r="H34" i="1" s="1"/>
  <c r="H35" i="1" s="1"/>
  <c r="H36" i="1" s="1"/>
  <c r="H37" i="1" s="1"/>
  <c r="H38" i="1" s="1"/>
  <c r="G31" i="1"/>
  <c r="F31" i="1"/>
  <c r="EW30" i="1"/>
  <c r="DP30" i="1"/>
  <c r="DS30" i="1" s="1"/>
  <c r="DV30" i="1" s="1"/>
  <c r="DY30" i="1" s="1"/>
  <c r="EB30" i="1" s="1"/>
  <c r="EE30" i="1" s="1"/>
  <c r="DI30" i="1"/>
  <c r="DG30" i="1"/>
  <c r="DJ30" i="1" s="1"/>
  <c r="DM30" i="1" s="1"/>
  <c r="DF30" i="1"/>
  <c r="CR30" i="1"/>
  <c r="CQ30" i="1"/>
  <c r="CE30" i="1"/>
  <c r="CC30" i="1"/>
  <c r="CA30" i="1"/>
  <c r="BZ30" i="1"/>
  <c r="BP30" i="1"/>
  <c r="BQ30" i="1" s="1"/>
  <c r="BK30" i="1"/>
  <c r="BM30" i="1" s="1"/>
  <c r="BO30" i="1" s="1"/>
  <c r="E30" i="1" s="1"/>
  <c r="BB30" i="1"/>
  <c r="AC30" i="1"/>
  <c r="G30" i="1"/>
  <c r="F30" i="1"/>
  <c r="DG29" i="1"/>
  <c r="DJ29" i="1" s="1"/>
  <c r="DM29" i="1" s="1"/>
  <c r="DP29" i="1" s="1"/>
  <c r="DS29" i="1" s="1"/>
  <c r="DV29" i="1" s="1"/>
  <c r="DY29" i="1" s="1"/>
  <c r="EB29" i="1" s="1"/>
  <c r="EE29" i="1" s="1"/>
  <c r="DF29" i="1"/>
  <c r="CR29" i="1"/>
  <c r="CQ29" i="1"/>
  <c r="CE29" i="1"/>
  <c r="CC29" i="1"/>
  <c r="CA29" i="1"/>
  <c r="BZ29" i="1"/>
  <c r="BR29" i="1"/>
  <c r="BB29" i="1"/>
  <c r="T29" i="1"/>
  <c r="N29" i="1"/>
  <c r="I29" i="1"/>
  <c r="BD29" i="1" s="1"/>
  <c r="H29" i="1"/>
  <c r="BE29" i="1" s="1"/>
  <c r="F29" i="1"/>
  <c r="DM28" i="1"/>
  <c r="DP28" i="1" s="1"/>
  <c r="DS28" i="1" s="1"/>
  <c r="DV28" i="1" s="1"/>
  <c r="DY28" i="1" s="1"/>
  <c r="EB28" i="1" s="1"/>
  <c r="EE28" i="1" s="1"/>
  <c r="DG28" i="1"/>
  <c r="DJ28" i="1" s="1"/>
  <c r="DF28" i="1"/>
  <c r="DI28" i="1" s="1"/>
  <c r="CR28" i="1"/>
  <c r="CQ28" i="1"/>
  <c r="CE28" i="1"/>
  <c r="CC28" i="1"/>
  <c r="CA28" i="1"/>
  <c r="BZ28" i="1"/>
  <c r="BR28" i="1"/>
  <c r="BD28" i="1"/>
  <c r="BB28" i="1"/>
  <c r="N28" i="1"/>
  <c r="I28" i="1"/>
  <c r="H28" i="1"/>
  <c r="BE28" i="1" s="1"/>
  <c r="F28" i="1"/>
  <c r="FI27" i="1"/>
  <c r="DV27" i="1"/>
  <c r="DY27" i="1" s="1"/>
  <c r="EB27" i="1" s="1"/>
  <c r="EE27" i="1" s="1"/>
  <c r="DJ27" i="1"/>
  <c r="DM27" i="1" s="1"/>
  <c r="DP27" i="1" s="1"/>
  <c r="DS27" i="1" s="1"/>
  <c r="DI27" i="1"/>
  <c r="DG27" i="1"/>
  <c r="DF27" i="1"/>
  <c r="CR27" i="1"/>
  <c r="CQ27" i="1"/>
  <c r="CE27" i="1"/>
  <c r="CC27" i="1"/>
  <c r="CA27" i="1"/>
  <c r="BZ27" i="1"/>
  <c r="BR27" i="1"/>
  <c r="BB27" i="1"/>
  <c r="N27" i="1"/>
  <c r="I27" i="1"/>
  <c r="H27" i="1"/>
  <c r="F27" i="1"/>
  <c r="FI26" i="1"/>
  <c r="EZ26" i="1"/>
  <c r="DM26" i="1"/>
  <c r="DP26" i="1" s="1"/>
  <c r="DS26" i="1" s="1"/>
  <c r="DV26" i="1" s="1"/>
  <c r="DY26" i="1" s="1"/>
  <c r="EB26" i="1" s="1"/>
  <c r="EE26" i="1" s="1"/>
  <c r="DG26" i="1"/>
  <c r="DJ26" i="1" s="1"/>
  <c r="DF26" i="1"/>
  <c r="DC26" i="1"/>
  <c r="CR26" i="1"/>
  <c r="CQ26" i="1"/>
  <c r="CE26" i="1"/>
  <c r="CC26" i="1"/>
  <c r="CA26" i="1"/>
  <c r="BZ26" i="1"/>
  <c r="BR26" i="1"/>
  <c r="BA26" i="1"/>
  <c r="AX26" i="1"/>
  <c r="AV26" i="1"/>
  <c r="AU26" i="1"/>
  <c r="AT26" i="1"/>
  <c r="AS26" i="1"/>
  <c r="AR26" i="1"/>
  <c r="AQ26" i="1"/>
  <c r="AP26" i="1"/>
  <c r="AO26" i="1"/>
  <c r="AL26" i="1"/>
  <c r="AK26" i="1"/>
  <c r="AJ26" i="1"/>
  <c r="AI26" i="1"/>
  <c r="AG26" i="1"/>
  <c r="AF26" i="1"/>
  <c r="AE26" i="1"/>
  <c r="AD26" i="1"/>
  <c r="AB26" i="1"/>
  <c r="T26" i="1"/>
  <c r="Q26" i="1"/>
  <c r="P26" i="1"/>
  <c r="L26" i="1"/>
  <c r="J26" i="1"/>
  <c r="D26" i="1"/>
  <c r="C26" i="1"/>
  <c r="DY25" i="1"/>
  <c r="EB25" i="1" s="1"/>
  <c r="EE25" i="1" s="1"/>
  <c r="DJ25" i="1"/>
  <c r="DM25" i="1" s="1"/>
  <c r="DP25" i="1" s="1"/>
  <c r="DS25" i="1" s="1"/>
  <c r="DV25" i="1" s="1"/>
  <c r="DG25" i="1"/>
  <c r="DF25" i="1"/>
  <c r="CR25" i="1"/>
  <c r="CQ25" i="1"/>
  <c r="CE25" i="1"/>
  <c r="CC25" i="1"/>
  <c r="CA25" i="1"/>
  <c r="BZ25" i="1"/>
  <c r="BR25" i="1"/>
  <c r="BB25" i="1"/>
  <c r="N25" i="1"/>
  <c r="I25" i="1"/>
  <c r="H25" i="1"/>
  <c r="F25" i="1"/>
  <c r="DR24" i="1"/>
  <c r="DU24" i="1" s="1"/>
  <c r="DM24" i="1"/>
  <c r="DP24" i="1" s="1"/>
  <c r="DS24" i="1" s="1"/>
  <c r="DV24" i="1" s="1"/>
  <c r="DY24" i="1" s="1"/>
  <c r="EB24" i="1" s="1"/>
  <c r="EE24" i="1" s="1"/>
  <c r="DJ24" i="1"/>
  <c r="DI24" i="1"/>
  <c r="DL24" i="1" s="1"/>
  <c r="DO24" i="1" s="1"/>
  <c r="DG24" i="1"/>
  <c r="DF24" i="1"/>
  <c r="CR24" i="1"/>
  <c r="CQ24" i="1"/>
  <c r="CE24" i="1"/>
  <c r="CC24" i="1"/>
  <c r="CA24" i="1"/>
  <c r="BZ24" i="1"/>
  <c r="BR24" i="1"/>
  <c r="BB24" i="1"/>
  <c r="N24" i="1"/>
  <c r="I24" i="1"/>
  <c r="BE24" i="1" s="1"/>
  <c r="H24" i="1"/>
  <c r="BD24" i="1" s="1"/>
  <c r="F24" i="1"/>
  <c r="EN23" i="1"/>
  <c r="DV23" i="1"/>
  <c r="DY23" i="1" s="1"/>
  <c r="EB23" i="1" s="1"/>
  <c r="EE23" i="1" s="1"/>
  <c r="DS23" i="1"/>
  <c r="DJ23" i="1"/>
  <c r="DM23" i="1" s="1"/>
  <c r="DP23" i="1" s="1"/>
  <c r="DG23" i="1"/>
  <c r="DF23" i="1"/>
  <c r="DI23" i="1" s="1"/>
  <c r="CR23" i="1"/>
  <c r="CQ23" i="1"/>
  <c r="CE23" i="1"/>
  <c r="CC23" i="1"/>
  <c r="CA23" i="1"/>
  <c r="BZ23" i="1"/>
  <c r="BR23" i="1"/>
  <c r="BB23" i="1"/>
  <c r="AC23" i="1"/>
  <c r="N23" i="1"/>
  <c r="I23" i="1"/>
  <c r="H23" i="1"/>
  <c r="F23" i="1"/>
  <c r="DU22" i="1"/>
  <c r="DR22" i="1"/>
  <c r="DO22" i="1"/>
  <c r="DL22" i="1"/>
  <c r="DJ22" i="1"/>
  <c r="DM22" i="1" s="1"/>
  <c r="DP22" i="1" s="1"/>
  <c r="DS22" i="1" s="1"/>
  <c r="DV22" i="1" s="1"/>
  <c r="DY22" i="1" s="1"/>
  <c r="EB22" i="1" s="1"/>
  <c r="EE22" i="1" s="1"/>
  <c r="DI22" i="1"/>
  <c r="DG22" i="1"/>
  <c r="DF22" i="1"/>
  <c r="CR22" i="1"/>
  <c r="CQ22" i="1"/>
  <c r="CE22" i="1"/>
  <c r="CC22" i="1"/>
  <c r="CA22" i="1"/>
  <c r="BZ22" i="1"/>
  <c r="BR22" i="1"/>
  <c r="BB22" i="1"/>
  <c r="AC22" i="1"/>
  <c r="N22" i="1"/>
  <c r="I22" i="1"/>
  <c r="BD22" i="1" s="1"/>
  <c r="H22" i="1"/>
  <c r="F22" i="1"/>
  <c r="EW21" i="1"/>
  <c r="ET21" i="1"/>
  <c r="DJ21" i="1"/>
  <c r="DM21" i="1" s="1"/>
  <c r="DP21" i="1" s="1"/>
  <c r="DS21" i="1" s="1"/>
  <c r="DV21" i="1" s="1"/>
  <c r="DY21" i="1" s="1"/>
  <c r="EB21" i="1" s="1"/>
  <c r="EE21" i="1" s="1"/>
  <c r="DG21" i="1"/>
  <c r="DF21" i="1"/>
  <c r="DI21" i="1" s="1"/>
  <c r="DL21" i="1" s="1"/>
  <c r="CR21" i="1"/>
  <c r="CQ21" i="1"/>
  <c r="CE21" i="1"/>
  <c r="CC21" i="1"/>
  <c r="CA21" i="1"/>
  <c r="BZ21" i="1"/>
  <c r="BR21" i="1"/>
  <c r="BE21" i="1"/>
  <c r="BB21" i="1"/>
  <c r="AC21" i="1"/>
  <c r="N21" i="1"/>
  <c r="I21" i="1"/>
  <c r="H21" i="1"/>
  <c r="F21" i="1"/>
  <c r="DL20" i="1"/>
  <c r="DO20" i="1" s="1"/>
  <c r="DR20" i="1" s="1"/>
  <c r="DU20" i="1" s="1"/>
  <c r="DI20" i="1"/>
  <c r="DG20" i="1"/>
  <c r="DJ20" i="1" s="1"/>
  <c r="DM20" i="1" s="1"/>
  <c r="DP20" i="1" s="1"/>
  <c r="DS20" i="1" s="1"/>
  <c r="DV20" i="1" s="1"/>
  <c r="DY20" i="1" s="1"/>
  <c r="EB20" i="1" s="1"/>
  <c r="EE20" i="1" s="1"/>
  <c r="DF20" i="1"/>
  <c r="CR20" i="1"/>
  <c r="CQ20" i="1"/>
  <c r="CE20" i="1"/>
  <c r="CC20" i="1"/>
  <c r="CA20" i="1"/>
  <c r="BZ20" i="1"/>
  <c r="BR20" i="1"/>
  <c r="BB20" i="1"/>
  <c r="AC20" i="1"/>
  <c r="N20" i="1"/>
  <c r="I20" i="1"/>
  <c r="H20" i="1"/>
  <c r="BD20" i="1" s="1"/>
  <c r="F20" i="1"/>
  <c r="DM19" i="1"/>
  <c r="DP19" i="1" s="1"/>
  <c r="DS19" i="1" s="1"/>
  <c r="DV19" i="1" s="1"/>
  <c r="DY19" i="1" s="1"/>
  <c r="EB19" i="1" s="1"/>
  <c r="EE19" i="1" s="1"/>
  <c r="DJ19" i="1"/>
  <c r="DI19" i="1"/>
  <c r="DG19" i="1"/>
  <c r="DF19" i="1"/>
  <c r="CR19" i="1"/>
  <c r="CQ19" i="1"/>
  <c r="CE19" i="1"/>
  <c r="CC19" i="1"/>
  <c r="CA19" i="1"/>
  <c r="BZ19" i="1"/>
  <c r="BR19" i="1"/>
  <c r="BE19" i="1"/>
  <c r="BD19" i="1"/>
  <c r="BB19" i="1"/>
  <c r="AC19" i="1"/>
  <c r="N19" i="1"/>
  <c r="I19" i="1"/>
  <c r="H19" i="1"/>
  <c r="F19" i="1"/>
  <c r="DG18" i="1"/>
  <c r="DJ18" i="1" s="1"/>
  <c r="DM18" i="1" s="1"/>
  <c r="DP18" i="1" s="1"/>
  <c r="DS18" i="1" s="1"/>
  <c r="DV18" i="1" s="1"/>
  <c r="DY18" i="1" s="1"/>
  <c r="EB18" i="1" s="1"/>
  <c r="EE18" i="1" s="1"/>
  <c r="DF18" i="1"/>
  <c r="DI18" i="1" s="1"/>
  <c r="CR18" i="1"/>
  <c r="CQ18" i="1"/>
  <c r="CE18" i="1"/>
  <c r="CC18" i="1"/>
  <c r="CA18" i="1"/>
  <c r="BZ18" i="1"/>
  <c r="BR18" i="1"/>
  <c r="BB18" i="1"/>
  <c r="AC18" i="1"/>
  <c r="N18" i="1"/>
  <c r="I18" i="1"/>
  <c r="H18" i="1"/>
  <c r="F18" i="1"/>
  <c r="DO17" i="1"/>
  <c r="DR17" i="1" s="1"/>
  <c r="DI17" i="1"/>
  <c r="DL17" i="1" s="1"/>
  <c r="DG17" i="1"/>
  <c r="DJ17" i="1" s="1"/>
  <c r="DM17" i="1" s="1"/>
  <c r="DP17" i="1" s="1"/>
  <c r="DS17" i="1" s="1"/>
  <c r="DV17" i="1" s="1"/>
  <c r="DY17" i="1" s="1"/>
  <c r="EB17" i="1" s="1"/>
  <c r="EE17" i="1" s="1"/>
  <c r="DF17" i="1"/>
  <c r="CR17" i="1"/>
  <c r="CQ17" i="1"/>
  <c r="CE17" i="1"/>
  <c r="CC17" i="1"/>
  <c r="CA17" i="1"/>
  <c r="BZ17" i="1"/>
  <c r="BR17" i="1"/>
  <c r="BE17" i="1"/>
  <c r="BD17" i="1"/>
  <c r="BB17" i="1"/>
  <c r="AC17" i="1"/>
  <c r="N17" i="1"/>
  <c r="I17" i="1"/>
  <c r="H17" i="1"/>
  <c r="F17" i="1"/>
  <c r="DJ16" i="1"/>
  <c r="DM16" i="1" s="1"/>
  <c r="DP16" i="1" s="1"/>
  <c r="DS16" i="1" s="1"/>
  <c r="DV16" i="1" s="1"/>
  <c r="DY16" i="1" s="1"/>
  <c r="EB16" i="1" s="1"/>
  <c r="EE16" i="1" s="1"/>
  <c r="DI16" i="1"/>
  <c r="DH16" i="1"/>
  <c r="DG16" i="1"/>
  <c r="DF16" i="1"/>
  <c r="CR16" i="1"/>
  <c r="CQ16" i="1"/>
  <c r="CE16" i="1"/>
  <c r="CC16" i="1"/>
  <c r="CA16" i="1"/>
  <c r="BZ16" i="1"/>
  <c r="BR16" i="1"/>
  <c r="BB16" i="1"/>
  <c r="AY16" i="1"/>
  <c r="AZ16" i="1" s="1"/>
  <c r="AC16" i="1"/>
  <c r="N16" i="1"/>
  <c r="I16" i="1"/>
  <c r="BE16" i="1" s="1"/>
  <c r="H16" i="1"/>
  <c r="BD16" i="1" s="1"/>
  <c r="F16" i="1"/>
  <c r="DG15" i="1"/>
  <c r="DJ15" i="1" s="1"/>
  <c r="DM15" i="1" s="1"/>
  <c r="DP15" i="1" s="1"/>
  <c r="DS15" i="1" s="1"/>
  <c r="DV15" i="1" s="1"/>
  <c r="DY15" i="1" s="1"/>
  <c r="EB15" i="1" s="1"/>
  <c r="EE15" i="1" s="1"/>
  <c r="DF15" i="1"/>
  <c r="DI15" i="1" s="1"/>
  <c r="CR15" i="1"/>
  <c r="CQ15" i="1"/>
  <c r="CE15" i="1"/>
  <c r="CC15" i="1"/>
  <c r="CA15" i="1"/>
  <c r="BZ15" i="1"/>
  <c r="BR15" i="1"/>
  <c r="BE15" i="1"/>
  <c r="BB15" i="1"/>
  <c r="AC15" i="1"/>
  <c r="N15" i="1"/>
  <c r="I15" i="1"/>
  <c r="BD15" i="1" s="1"/>
  <c r="F15" i="1"/>
  <c r="DO14" i="1"/>
  <c r="DM14" i="1"/>
  <c r="DP14" i="1" s="1"/>
  <c r="DS14" i="1" s="1"/>
  <c r="DV14" i="1" s="1"/>
  <c r="DY14" i="1" s="1"/>
  <c r="EB14" i="1" s="1"/>
  <c r="EE14" i="1" s="1"/>
  <c r="DJ14" i="1"/>
  <c r="DI14" i="1"/>
  <c r="DL14" i="1" s="1"/>
  <c r="DG14" i="1"/>
  <c r="DF14" i="1"/>
  <c r="CR14" i="1"/>
  <c r="CQ14" i="1"/>
  <c r="CE14" i="1"/>
  <c r="CC14" i="1"/>
  <c r="CA14" i="1"/>
  <c r="BZ14" i="1"/>
  <c r="BR14" i="1"/>
  <c r="BD14" i="1"/>
  <c r="BB14" i="1"/>
  <c r="AC14" i="1"/>
  <c r="N14" i="1"/>
  <c r="I14" i="1"/>
  <c r="BE14" i="1" s="1"/>
  <c r="H14" i="1"/>
  <c r="F14" i="1"/>
  <c r="DR13" i="1"/>
  <c r="DU13" i="1" s="1"/>
  <c r="DL13" i="1"/>
  <c r="DO13" i="1" s="1"/>
  <c r="DG13" i="1"/>
  <c r="DJ13" i="1" s="1"/>
  <c r="DM13" i="1" s="1"/>
  <c r="DP13" i="1" s="1"/>
  <c r="DS13" i="1" s="1"/>
  <c r="DV13" i="1" s="1"/>
  <c r="DY13" i="1" s="1"/>
  <c r="EB13" i="1" s="1"/>
  <c r="EE13" i="1" s="1"/>
  <c r="DF13" i="1"/>
  <c r="DI13" i="1" s="1"/>
  <c r="CR13" i="1"/>
  <c r="CQ13" i="1"/>
  <c r="CE13" i="1"/>
  <c r="CC13" i="1"/>
  <c r="CA13" i="1"/>
  <c r="BZ13" i="1"/>
  <c r="BR13" i="1"/>
  <c r="BB13" i="1"/>
  <c r="BB26" i="1" s="1"/>
  <c r="AC13" i="1"/>
  <c r="AC26" i="1" s="1"/>
  <c r="N13" i="1"/>
  <c r="N26" i="1" s="1"/>
  <c r="I13" i="1"/>
  <c r="I26" i="1" s="1"/>
  <c r="H13" i="1"/>
  <c r="F13" i="1"/>
  <c r="F26" i="1" s="1"/>
  <c r="DM12" i="1"/>
  <c r="DP12" i="1" s="1"/>
  <c r="DS12" i="1" s="1"/>
  <c r="DV12" i="1" s="1"/>
  <c r="DY12" i="1" s="1"/>
  <c r="EB12" i="1" s="1"/>
  <c r="EE12" i="1" s="1"/>
  <c r="DL12" i="1"/>
  <c r="DN12" i="1" s="1"/>
  <c r="DK12" i="1"/>
  <c r="DG12" i="1"/>
  <c r="DJ12" i="1" s="1"/>
  <c r="DF12" i="1"/>
  <c r="DI12" i="1" s="1"/>
  <c r="CR12" i="1"/>
  <c r="CQ12" i="1"/>
  <c r="CE12" i="1"/>
  <c r="CC12" i="1"/>
  <c r="CA12" i="1"/>
  <c r="BZ12" i="1"/>
  <c r="BR12" i="1"/>
  <c r="BB12" i="1"/>
  <c r="AC12" i="1"/>
  <c r="N12" i="1"/>
  <c r="I12" i="1"/>
  <c r="H12" i="1"/>
  <c r="BE12" i="1" s="1"/>
  <c r="F12" i="1"/>
  <c r="DG11" i="1"/>
  <c r="DJ11" i="1" s="1"/>
  <c r="DM11" i="1" s="1"/>
  <c r="DP11" i="1" s="1"/>
  <c r="DS11" i="1" s="1"/>
  <c r="DV11" i="1" s="1"/>
  <c r="DY11" i="1" s="1"/>
  <c r="EB11" i="1" s="1"/>
  <c r="EE11" i="1" s="1"/>
  <c r="DF11" i="1"/>
  <c r="DH11" i="1" s="1"/>
  <c r="CR11" i="1"/>
  <c r="CQ11" i="1"/>
  <c r="CE11" i="1"/>
  <c r="CC11" i="1"/>
  <c r="CA11" i="1"/>
  <c r="BZ11" i="1"/>
  <c r="BR11" i="1"/>
  <c r="BE11" i="1"/>
  <c r="BB11" i="1"/>
  <c r="AC11" i="1"/>
  <c r="N11" i="1"/>
  <c r="I11" i="1"/>
  <c r="H11" i="1"/>
  <c r="F11" i="1"/>
  <c r="DM10" i="1"/>
  <c r="DP10" i="1" s="1"/>
  <c r="DS10" i="1" s="1"/>
  <c r="DV10" i="1" s="1"/>
  <c r="DY10" i="1" s="1"/>
  <c r="EB10" i="1" s="1"/>
  <c r="EE10" i="1" s="1"/>
  <c r="DI10" i="1"/>
  <c r="DG10" i="1"/>
  <c r="DJ10" i="1" s="1"/>
  <c r="DF10" i="1"/>
  <c r="CR10" i="1"/>
  <c r="CQ10" i="1"/>
  <c r="CE10" i="1"/>
  <c r="CC10" i="1"/>
  <c r="CA10" i="1"/>
  <c r="BZ10" i="1"/>
  <c r="BR10" i="1"/>
  <c r="BD10" i="1"/>
  <c r="BB10" i="1"/>
  <c r="AY10" i="1"/>
  <c r="AZ10" i="1" s="1"/>
  <c r="AC10" i="1"/>
  <c r="N10" i="1"/>
  <c r="I10" i="1"/>
  <c r="H10" i="1"/>
  <c r="BE10" i="1" s="1"/>
  <c r="F10" i="1"/>
  <c r="DG9" i="1"/>
  <c r="DJ9" i="1" s="1"/>
  <c r="DM9" i="1" s="1"/>
  <c r="DP9" i="1" s="1"/>
  <c r="DS9" i="1" s="1"/>
  <c r="DV9" i="1" s="1"/>
  <c r="DY9" i="1" s="1"/>
  <c r="EB9" i="1" s="1"/>
  <c r="EE9" i="1" s="1"/>
  <c r="DF9" i="1"/>
  <c r="DI9" i="1" s="1"/>
  <c r="CR9" i="1"/>
  <c r="CQ9" i="1"/>
  <c r="CE9" i="1"/>
  <c r="CC9" i="1"/>
  <c r="CA9" i="1"/>
  <c r="BZ9" i="1"/>
  <c r="BR9" i="1"/>
  <c r="BB9" i="1"/>
  <c r="AC9" i="1"/>
  <c r="N9" i="1"/>
  <c r="I9" i="1"/>
  <c r="H9" i="1"/>
  <c r="BE9" i="1" s="1"/>
  <c r="F9" i="1"/>
  <c r="DJ8" i="1"/>
  <c r="DM8" i="1" s="1"/>
  <c r="DP8" i="1" s="1"/>
  <c r="DS8" i="1" s="1"/>
  <c r="DV8" i="1" s="1"/>
  <c r="DY8" i="1" s="1"/>
  <c r="EB8" i="1" s="1"/>
  <c r="EE8" i="1" s="1"/>
  <c r="DI8" i="1"/>
  <c r="DK8" i="1" s="1"/>
  <c r="DG8" i="1"/>
  <c r="DF8" i="1"/>
  <c r="CR8" i="1"/>
  <c r="CQ8" i="1"/>
  <c r="CE8" i="1"/>
  <c r="CC8" i="1"/>
  <c r="CA8" i="1"/>
  <c r="BZ8" i="1"/>
  <c r="BR8" i="1"/>
  <c r="BB8" i="1"/>
  <c r="AC8" i="1"/>
  <c r="N8" i="1"/>
  <c r="I8" i="1"/>
  <c r="H8" i="1"/>
  <c r="BE8" i="1" s="1"/>
  <c r="F8" i="1"/>
  <c r="DG7" i="1"/>
  <c r="DJ7" i="1" s="1"/>
  <c r="DM7" i="1" s="1"/>
  <c r="DP7" i="1" s="1"/>
  <c r="DS7" i="1" s="1"/>
  <c r="DV7" i="1" s="1"/>
  <c r="DY7" i="1" s="1"/>
  <c r="EB7" i="1" s="1"/>
  <c r="EE7" i="1" s="1"/>
  <c r="DF7" i="1"/>
  <c r="DI7" i="1" s="1"/>
  <c r="CR7" i="1"/>
  <c r="CQ7" i="1"/>
  <c r="CE7" i="1"/>
  <c r="CC7" i="1"/>
  <c r="CA7" i="1"/>
  <c r="BZ7" i="1"/>
  <c r="BR7" i="1"/>
  <c r="BE7" i="1"/>
  <c r="BD7" i="1"/>
  <c r="BB7" i="1"/>
  <c r="AC7" i="1"/>
  <c r="N7" i="1"/>
  <c r="I7" i="1"/>
  <c r="H7" i="1"/>
  <c r="F7" i="1"/>
  <c r="DG6" i="1"/>
  <c r="DJ6" i="1" s="1"/>
  <c r="DM6" i="1" s="1"/>
  <c r="DP6" i="1" s="1"/>
  <c r="DS6" i="1" s="1"/>
  <c r="DV6" i="1" s="1"/>
  <c r="DY6" i="1" s="1"/>
  <c r="EB6" i="1" s="1"/>
  <c r="EE6" i="1" s="1"/>
  <c r="DF6" i="1"/>
  <c r="DI6" i="1" s="1"/>
  <c r="CR6" i="1"/>
  <c r="CQ6" i="1"/>
  <c r="CI6" i="1"/>
  <c r="CI7" i="1" s="1"/>
  <c r="CE6" i="1"/>
  <c r="CC6" i="1"/>
  <c r="CA6" i="1"/>
  <c r="BZ6" i="1"/>
  <c r="BR6" i="1"/>
  <c r="BI6" i="1"/>
  <c r="BB6" i="1"/>
  <c r="AC6" i="1"/>
  <c r="N6" i="1"/>
  <c r="I6" i="1"/>
  <c r="H6" i="1"/>
  <c r="BE6" i="1" s="1"/>
  <c r="F6" i="1"/>
  <c r="DI5" i="1"/>
  <c r="DL5" i="1" s="1"/>
  <c r="DG5" i="1"/>
  <c r="DJ5" i="1" s="1"/>
  <c r="DM5" i="1" s="1"/>
  <c r="DP5" i="1" s="1"/>
  <c r="DS5" i="1" s="1"/>
  <c r="DV5" i="1" s="1"/>
  <c r="DY5" i="1" s="1"/>
  <c r="EB5" i="1" s="1"/>
  <c r="EE5" i="1" s="1"/>
  <c r="DF5" i="1"/>
  <c r="DH5" i="1" s="1"/>
  <c r="CR5" i="1"/>
  <c r="CQ5" i="1"/>
  <c r="CP2" i="1" s="1"/>
  <c r="CK5" i="1"/>
  <c r="CL5" i="1" s="1"/>
  <c r="CM5" i="1" s="1"/>
  <c r="CJ5" i="1"/>
  <c r="CE5" i="1"/>
  <c r="CC5" i="1"/>
  <c r="CA5" i="1"/>
  <c r="BZ5" i="1"/>
  <c r="BS5" i="1"/>
  <c r="BS6" i="1" s="1"/>
  <c r="BS7" i="1" s="1"/>
  <c r="BS8" i="1" s="1"/>
  <c r="BS9" i="1" s="1"/>
  <c r="BS10" i="1" s="1"/>
  <c r="BS11" i="1" s="1"/>
  <c r="BS12" i="1" s="1"/>
  <c r="BS13" i="1" s="1"/>
  <c r="BS14" i="1" s="1"/>
  <c r="BR5" i="1"/>
  <c r="BE5" i="1"/>
  <c r="BB5" i="1"/>
  <c r="AC5" i="1"/>
  <c r="N5" i="1"/>
  <c r="I5" i="1"/>
  <c r="H5" i="1"/>
  <c r="BD5" i="1" s="1"/>
  <c r="F5" i="1"/>
  <c r="CQ3" i="1"/>
  <c r="BI3" i="1"/>
  <c r="BI4" i="1" s="1"/>
  <c r="CZ2" i="1"/>
  <c r="DT24" i="1" s="1"/>
  <c r="CJ2" i="1"/>
  <c r="CK48" i="1" s="1"/>
  <c r="CL48" i="1" s="1"/>
  <c r="CM48" i="1" s="1"/>
  <c r="BC1" i="1"/>
  <c r="AR33" i="22"/>
  <c r="AR32" i="22"/>
  <c r="AR31" i="22"/>
  <c r="AR30" i="22"/>
  <c r="AR29" i="22"/>
  <c r="AR28" i="22"/>
  <c r="AR27" i="22"/>
  <c r="AR26" i="22"/>
  <c r="AR25" i="22"/>
  <c r="AR24" i="22"/>
  <c r="AR23" i="22"/>
  <c r="AR22" i="22"/>
  <c r="AU5" i="22" s="1"/>
  <c r="AR21" i="22"/>
  <c r="AR20" i="22"/>
  <c r="AR19" i="22"/>
  <c r="AR18" i="22"/>
  <c r="AR17" i="22"/>
  <c r="AR16" i="22"/>
  <c r="AR15" i="22"/>
  <c r="AR14" i="22"/>
  <c r="AR13" i="22"/>
  <c r="AR12" i="22"/>
  <c r="AR11" i="22"/>
  <c r="AR10" i="22"/>
  <c r="AR9" i="22"/>
  <c r="AR8" i="22"/>
  <c r="AR7" i="22"/>
  <c r="AR6" i="22"/>
  <c r="AR5" i="22"/>
  <c r="B257" i="8"/>
  <c r="B256" i="8"/>
  <c r="B255" i="8"/>
  <c r="B250" i="8"/>
  <c r="B248" i="8"/>
  <c r="L247" i="8"/>
  <c r="L246" i="8"/>
  <c r="B210" i="8"/>
  <c r="N209" i="8"/>
  <c r="M209" i="8"/>
  <c r="N208" i="8"/>
  <c r="M208" i="8"/>
  <c r="N207" i="8"/>
  <c r="M207" i="8"/>
  <c r="B207" i="8"/>
  <c r="N206" i="8"/>
  <c r="M206" i="8"/>
  <c r="N205" i="8"/>
  <c r="M205" i="8"/>
  <c r="N204" i="8"/>
  <c r="M204" i="8"/>
  <c r="N203" i="8"/>
  <c r="M203" i="8"/>
  <c r="E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B195" i="8"/>
  <c r="B85" i="8"/>
  <c r="R67" i="8"/>
  <c r="Q66" i="8"/>
  <c r="K66" i="8"/>
  <c r="I66" i="8"/>
  <c r="S65" i="8"/>
  <c r="S66" i="8" s="1"/>
  <c r="T66" i="8" s="1"/>
  <c r="R65" i="8"/>
  <c r="Q65" i="8"/>
  <c r="K65" i="8"/>
  <c r="I65" i="8"/>
  <c r="B49" i="8"/>
  <c r="B48" i="8"/>
  <c r="B33" i="8"/>
  <c r="B29" i="8"/>
  <c r="P25" i="8"/>
  <c r="O25" i="8"/>
  <c r="P24" i="8"/>
  <c r="O24" i="8"/>
  <c r="O23" i="8"/>
  <c r="P23" i="8" s="1"/>
  <c r="O22" i="8"/>
  <c r="P22" i="8" s="1"/>
  <c r="P21" i="8"/>
  <c r="O21" i="8"/>
  <c r="O20" i="8"/>
  <c r="P20" i="8" s="1"/>
  <c r="P19" i="8"/>
  <c r="O19" i="8"/>
  <c r="P18" i="8"/>
  <c r="O18" i="8"/>
  <c r="B18" i="8"/>
  <c r="T39" i="25" s="1"/>
  <c r="O17" i="8"/>
  <c r="P17" i="8" s="1"/>
  <c r="O16" i="8"/>
  <c r="P16" i="8" s="1"/>
  <c r="O15" i="8"/>
  <c r="P15" i="8" s="1"/>
  <c r="B13" i="8"/>
  <c r="B6" i="8"/>
  <c r="AA9" i="10"/>
  <c r="AB9" i="10" s="1"/>
  <c r="Z9" i="10"/>
  <c r="M9" i="10"/>
  <c r="I9" i="10"/>
  <c r="AB8" i="10"/>
  <c r="AA8" i="10"/>
  <c r="Z8" i="10"/>
  <c r="Y8" i="10"/>
  <c r="M8" i="10"/>
  <c r="I8" i="10"/>
  <c r="AA7" i="10"/>
  <c r="AB7" i="10" s="1"/>
  <c r="Z7" i="10"/>
  <c r="Y7" i="10"/>
  <c r="Y6" i="10" s="1"/>
  <c r="Y5" i="10" s="1"/>
  <c r="M7" i="10"/>
  <c r="I7" i="10"/>
  <c r="AA6" i="10"/>
  <c r="AB6" i="10" s="1"/>
  <c r="Z6" i="10"/>
  <c r="M6" i="10"/>
  <c r="I6" i="10"/>
  <c r="AB5" i="10"/>
  <c r="AA5" i="10"/>
  <c r="Z5" i="10"/>
  <c r="M5" i="10"/>
  <c r="I5" i="10"/>
  <c r="EK6" i="1" l="1"/>
  <c r="EZ6" i="1"/>
  <c r="EN6" i="1"/>
  <c r="EH6" i="1"/>
  <c r="EW6" i="1"/>
  <c r="ET6" i="1"/>
  <c r="FI6" i="1"/>
  <c r="EQ6" i="1"/>
  <c r="FF6" i="1"/>
  <c r="FC6" i="1"/>
  <c r="DK7" i="1"/>
  <c r="DL7" i="1"/>
  <c r="DL9" i="1"/>
  <c r="DK9" i="1"/>
  <c r="FC24" i="1"/>
  <c r="EK24" i="1"/>
  <c r="EN24" i="1"/>
  <c r="FI24" i="1"/>
  <c r="EH24" i="1"/>
  <c r="FF24" i="1"/>
  <c r="EZ24" i="1"/>
  <c r="EW24" i="1"/>
  <c r="EQ24" i="1"/>
  <c r="ET24" i="1"/>
  <c r="FI8" i="1"/>
  <c r="EQ8" i="1"/>
  <c r="EK8" i="1"/>
  <c r="EW8" i="1"/>
  <c r="ET8" i="1"/>
  <c r="FF8" i="1"/>
  <c r="EN8" i="1"/>
  <c r="FC8" i="1"/>
  <c r="EZ8" i="1"/>
  <c r="EH8" i="1"/>
  <c r="EN20" i="1"/>
  <c r="EH20" i="1"/>
  <c r="EQ20" i="1"/>
  <c r="FI20" i="1"/>
  <c r="EK20" i="1"/>
  <c r="FF20" i="1"/>
  <c r="FC20" i="1"/>
  <c r="ET20" i="1"/>
  <c r="EW20" i="1"/>
  <c r="EZ20" i="1"/>
  <c r="EQ10" i="1"/>
  <c r="FF10" i="1"/>
  <c r="EN10" i="1"/>
  <c r="EZ10" i="1"/>
  <c r="ET10" i="1"/>
  <c r="EW10" i="1"/>
  <c r="EK10" i="1"/>
  <c r="EH10" i="1"/>
  <c r="FI10" i="1"/>
  <c r="FC10" i="1"/>
  <c r="FI13" i="1"/>
  <c r="EQ13" i="1"/>
  <c r="FF13" i="1"/>
  <c r="EW13" i="1"/>
  <c r="EH13" i="1"/>
  <c r="EZ13" i="1"/>
  <c r="FC13" i="1"/>
  <c r="ET13" i="1"/>
  <c r="EN13" i="1"/>
  <c r="EK13" i="1"/>
  <c r="EN12" i="1"/>
  <c r="EZ12" i="1"/>
  <c r="EH12" i="1"/>
  <c r="FF12" i="1"/>
  <c r="EK12" i="1"/>
  <c r="FI12" i="1"/>
  <c r="FC12" i="1"/>
  <c r="EQ12" i="1"/>
  <c r="EW12" i="1"/>
  <c r="ET12" i="1"/>
  <c r="EH11" i="1"/>
  <c r="EW11" i="1"/>
  <c r="FI11" i="1"/>
  <c r="EQ11" i="1"/>
  <c r="FC11" i="1"/>
  <c r="EZ11" i="1"/>
  <c r="ET11" i="1"/>
  <c r="FF11" i="1"/>
  <c r="EN11" i="1"/>
  <c r="EK11" i="1"/>
  <c r="CF7" i="1"/>
  <c r="DX13" i="1"/>
  <c r="DW13" i="1"/>
  <c r="CN48" i="1"/>
  <c r="CO48" i="1" s="1"/>
  <c r="CP48" i="1" s="1"/>
  <c r="EZ9" i="1"/>
  <c r="EW9" i="1"/>
  <c r="FI9" i="1"/>
  <c r="ET9" i="1"/>
  <c r="EQ9" i="1"/>
  <c r="EH9" i="1"/>
  <c r="EN9" i="1"/>
  <c r="FF9" i="1"/>
  <c r="FC9" i="1"/>
  <c r="EK9" i="1"/>
  <c r="EW19" i="1"/>
  <c r="EQ19" i="1"/>
  <c r="EN19" i="1"/>
  <c r="EH19" i="1"/>
  <c r="EZ19" i="1"/>
  <c r="ET19" i="1"/>
  <c r="FI19" i="1"/>
  <c r="FC19" i="1"/>
  <c r="EK19" i="1"/>
  <c r="FF19" i="1"/>
  <c r="FC14" i="1"/>
  <c r="EZ14" i="1"/>
  <c r="EH14" i="1"/>
  <c r="EW14" i="1"/>
  <c r="EN14" i="1"/>
  <c r="EQ14" i="1"/>
  <c r="EK14" i="1"/>
  <c r="FI14" i="1"/>
  <c r="ET14" i="1"/>
  <c r="FF14" i="1"/>
  <c r="ET15" i="1"/>
  <c r="FI15" i="1"/>
  <c r="EQ15" i="1"/>
  <c r="FF15" i="1"/>
  <c r="EN15" i="1"/>
  <c r="EZ15" i="1"/>
  <c r="FC15" i="1"/>
  <c r="EW15" i="1"/>
  <c r="EK15" i="1"/>
  <c r="EH15" i="1"/>
  <c r="BS15" i="1"/>
  <c r="BS16" i="1" s="1"/>
  <c r="CF14" i="1"/>
  <c r="CN5" i="1"/>
  <c r="CO5" i="1" s="1"/>
  <c r="CP5" i="1"/>
  <c r="CP3" i="1" s="1"/>
  <c r="CP1" i="1" s="1"/>
  <c r="CQ2" i="1" s="1"/>
  <c r="CK7" i="1"/>
  <c r="CL7" i="1" s="1"/>
  <c r="CM7" i="1" s="1"/>
  <c r="CI8" i="1"/>
  <c r="CJ7" i="1"/>
  <c r="CD16" i="1"/>
  <c r="EK16" i="1"/>
  <c r="EZ16" i="1"/>
  <c r="EH16" i="1"/>
  <c r="EW16" i="1"/>
  <c r="ET16" i="1"/>
  <c r="FI16" i="1"/>
  <c r="EQ16" i="1"/>
  <c r="FC16" i="1"/>
  <c r="FF16" i="1"/>
  <c r="EN16" i="1"/>
  <c r="BG46" i="1"/>
  <c r="M47" i="1"/>
  <c r="M42" i="1"/>
  <c r="M40" i="1"/>
  <c r="M44" i="1"/>
  <c r="M46" i="1"/>
  <c r="M41" i="1"/>
  <c r="BG40" i="1"/>
  <c r="M39" i="1"/>
  <c r="M45" i="1"/>
  <c r="BG47" i="1"/>
  <c r="M43" i="1"/>
  <c r="M36" i="1"/>
  <c r="M35" i="1"/>
  <c r="M34" i="1"/>
  <c r="M33" i="1"/>
  <c r="BG43" i="1"/>
  <c r="BG45" i="1"/>
  <c r="BG29" i="1"/>
  <c r="M28" i="1"/>
  <c r="M21" i="1"/>
  <c r="M30" i="1"/>
  <c r="M22" i="1"/>
  <c r="M12" i="1"/>
  <c r="BG11" i="1"/>
  <c r="BG28" i="1"/>
  <c r="M19" i="1"/>
  <c r="BG18" i="1"/>
  <c r="M17" i="1"/>
  <c r="M31" i="1"/>
  <c r="M27" i="1"/>
  <c r="BG16" i="1"/>
  <c r="M20" i="1"/>
  <c r="M15" i="1"/>
  <c r="BG14" i="1"/>
  <c r="BG24" i="1"/>
  <c r="M13" i="1"/>
  <c r="M26" i="1" s="1"/>
  <c r="BG22" i="1"/>
  <c r="BG25" i="1"/>
  <c r="M18" i="1"/>
  <c r="M25" i="1"/>
  <c r="BG20" i="1"/>
  <c r="M16" i="1"/>
  <c r="M5" i="1"/>
  <c r="BG15" i="1"/>
  <c r="M32" i="1"/>
  <c r="M10" i="1"/>
  <c r="BG19" i="1"/>
  <c r="M11" i="1"/>
  <c r="M7" i="1"/>
  <c r="M29" i="1"/>
  <c r="BG8" i="1"/>
  <c r="BG6" i="1"/>
  <c r="M24" i="1"/>
  <c r="M6" i="1"/>
  <c r="BG17" i="1"/>
  <c r="M14" i="1"/>
  <c r="M8" i="1"/>
  <c r="M9" i="1"/>
  <c r="BG10" i="1"/>
  <c r="M23" i="1"/>
  <c r="BG7" i="1"/>
  <c r="BG5" i="1"/>
  <c r="ET5" i="1"/>
  <c r="FI5" i="1"/>
  <c r="EQ5" i="1"/>
  <c r="FF5" i="1"/>
  <c r="EN5" i="1"/>
  <c r="FC5" i="1"/>
  <c r="EK5" i="1"/>
  <c r="EH5" i="1"/>
  <c r="EZ5" i="1"/>
  <c r="EW5" i="1"/>
  <c r="FI17" i="1"/>
  <c r="EQ17" i="1"/>
  <c r="FF17" i="1"/>
  <c r="EN17" i="1"/>
  <c r="FC17" i="1"/>
  <c r="EK17" i="1"/>
  <c r="EZ17" i="1"/>
  <c r="EH17" i="1"/>
  <c r="ET17" i="1"/>
  <c r="EW17" i="1"/>
  <c r="FI7" i="1"/>
  <c r="EQ7" i="1"/>
  <c r="FF7" i="1"/>
  <c r="EN7" i="1"/>
  <c r="EK7" i="1"/>
  <c r="EW7" i="1"/>
  <c r="ET7" i="1"/>
  <c r="FC7" i="1"/>
  <c r="EZ7" i="1"/>
  <c r="EH7" i="1"/>
  <c r="CF5" i="1"/>
  <c r="CD5" i="1"/>
  <c r="CB5" i="1"/>
  <c r="DO5" i="1"/>
  <c r="DN5" i="1"/>
  <c r="DL6" i="1"/>
  <c r="DK6" i="1"/>
  <c r="EZ18" i="1"/>
  <c r="EH18" i="1"/>
  <c r="EW18" i="1"/>
  <c r="ET18" i="1"/>
  <c r="FI18" i="1"/>
  <c r="EQ18" i="1"/>
  <c r="EK18" i="1"/>
  <c r="EN18" i="1"/>
  <c r="FF18" i="1"/>
  <c r="FC18" i="1"/>
  <c r="T65" i="8"/>
  <c r="DK16" i="1"/>
  <c r="DH6" i="1"/>
  <c r="EQ28" i="1"/>
  <c r="FF28" i="1"/>
  <c r="EN28" i="1"/>
  <c r="FC28" i="1"/>
  <c r="ET28" i="1"/>
  <c r="EZ28" i="1"/>
  <c r="EW28" i="1"/>
  <c r="EK28" i="1"/>
  <c r="EH28" i="1"/>
  <c r="CF10" i="1"/>
  <c r="CD10" i="1"/>
  <c r="DI11" i="1"/>
  <c r="DE13" i="1"/>
  <c r="DL16" i="1"/>
  <c r="DL18" i="1"/>
  <c r="DK18" i="1"/>
  <c r="CZ5" i="1"/>
  <c r="DO12" i="1"/>
  <c r="AY13" i="1"/>
  <c r="DK13" i="1"/>
  <c r="BE18" i="1"/>
  <c r="BD18" i="1"/>
  <c r="EQ37" i="1"/>
  <c r="FF37" i="1"/>
  <c r="EN37" i="1"/>
  <c r="EK37" i="1"/>
  <c r="EZ37" i="1"/>
  <c r="EH37" i="1"/>
  <c r="FI37" i="1"/>
  <c r="EW37" i="1"/>
  <c r="ET37" i="1"/>
  <c r="FC37" i="1"/>
  <c r="EK43" i="1"/>
  <c r="EW43" i="1"/>
  <c r="ET43" i="1"/>
  <c r="EQ43" i="1"/>
  <c r="FC43" i="1"/>
  <c r="EZ43" i="1"/>
  <c r="EN43" i="1"/>
  <c r="FI43" i="1"/>
  <c r="EH43" i="1"/>
  <c r="FF43" i="1"/>
  <c r="DL37" i="1"/>
  <c r="DQ24" i="1"/>
  <c r="DE5" i="1"/>
  <c r="BI7" i="1"/>
  <c r="DE10" i="1"/>
  <c r="DH18" i="1"/>
  <c r="K59" i="25"/>
  <c r="DR14" i="1"/>
  <c r="DQ14" i="1"/>
  <c r="DK23" i="1"/>
  <c r="DL23" i="1"/>
  <c r="DL8" i="1"/>
  <c r="CJ6" i="1"/>
  <c r="DH10" i="1"/>
  <c r="DH13" i="1"/>
  <c r="DN17" i="1"/>
  <c r="EZ22" i="1"/>
  <c r="FI22" i="1"/>
  <c r="FF22" i="1"/>
  <c r="EH22" i="1"/>
  <c r="FC22" i="1"/>
  <c r="EW22" i="1"/>
  <c r="ET22" i="1"/>
  <c r="EQ22" i="1"/>
  <c r="EK22" i="1"/>
  <c r="DW24" i="1"/>
  <c r="DX24" i="1"/>
  <c r="G36" i="1"/>
  <c r="BO36" i="1"/>
  <c r="E36" i="1" s="1"/>
  <c r="BE13" i="1"/>
  <c r="BD13" i="1"/>
  <c r="H26" i="1"/>
  <c r="CK6" i="1"/>
  <c r="CL6" i="1" s="1"/>
  <c r="CM6" i="1" s="1"/>
  <c r="BD9" i="1"/>
  <c r="DQ13" i="1"/>
  <c r="DU17" i="1"/>
  <c r="DT17" i="1"/>
  <c r="DE20" i="1"/>
  <c r="DO21" i="1"/>
  <c r="DN21" i="1"/>
  <c r="FI28" i="1"/>
  <c r="FI31" i="1"/>
  <c r="EQ31" i="1"/>
  <c r="FF31" i="1"/>
  <c r="EN31" i="1"/>
  <c r="FC31" i="1"/>
  <c r="EH31" i="1"/>
  <c r="ET31" i="1"/>
  <c r="EZ31" i="1"/>
  <c r="EW31" i="1"/>
  <c r="EZ41" i="1"/>
  <c r="EW41" i="1"/>
  <c r="EK41" i="1"/>
  <c r="FF41" i="1"/>
  <c r="FC41" i="1"/>
  <c r="ET41" i="1"/>
  <c r="EN41" i="1"/>
  <c r="EH41" i="1"/>
  <c r="FI41" i="1"/>
  <c r="EQ41" i="1"/>
  <c r="R64" i="25"/>
  <c r="BE30" i="1"/>
  <c r="BD30" i="1"/>
  <c r="AY30" i="1" s="1"/>
  <c r="AZ30" i="1" s="1"/>
  <c r="DH30" i="1"/>
  <c r="BR30" i="1"/>
  <c r="DE30" i="1"/>
  <c r="N30" i="1"/>
  <c r="I88" i="25"/>
  <c r="K81" i="25"/>
  <c r="I56" i="25"/>
  <c r="K49" i="25"/>
  <c r="I40" i="25"/>
  <c r="G88" i="25"/>
  <c r="I81" i="25"/>
  <c r="E79" i="25"/>
  <c r="E63" i="25"/>
  <c r="G56" i="25"/>
  <c r="I49" i="25"/>
  <c r="E47" i="25"/>
  <c r="G40" i="25"/>
  <c r="E88" i="25"/>
  <c r="K83" i="25"/>
  <c r="G81" i="25"/>
  <c r="E56" i="25"/>
  <c r="K51" i="25"/>
  <c r="G49" i="25"/>
  <c r="E40" i="25"/>
  <c r="K80" i="25"/>
  <c r="K53" i="25"/>
  <c r="I39" i="25"/>
  <c r="I80" i="25"/>
  <c r="K76" i="25"/>
  <c r="G53" i="25"/>
  <c r="G42" i="25"/>
  <c r="G39" i="25"/>
  <c r="I83" i="25"/>
  <c r="G80" i="25"/>
  <c r="I76" i="25"/>
  <c r="K60" i="25"/>
  <c r="E53" i="25"/>
  <c r="E42" i="25"/>
  <c r="E39" i="25"/>
  <c r="G83" i="25"/>
  <c r="E80" i="25"/>
  <c r="E76" i="25"/>
  <c r="I60" i="25"/>
  <c r="E49" i="25"/>
  <c r="E60" i="25"/>
  <c r="K56" i="25"/>
  <c r="I79" i="25"/>
  <c r="K52" i="25"/>
  <c r="E45" i="25"/>
  <c r="I41" i="25"/>
  <c r="I63" i="25"/>
  <c r="K55" i="25"/>
  <c r="K48" i="25"/>
  <c r="G41" i="25"/>
  <c r="I48" i="25"/>
  <c r="K44" i="25"/>
  <c r="E41" i="25"/>
  <c r="K85" i="25"/>
  <c r="I51" i="25"/>
  <c r="G48" i="25"/>
  <c r="I44" i="25"/>
  <c r="G85" i="25"/>
  <c r="G74" i="25"/>
  <c r="G51" i="25"/>
  <c r="E48" i="25"/>
  <c r="E44" i="25"/>
  <c r="K40" i="25"/>
  <c r="E85" i="25"/>
  <c r="E78" i="25"/>
  <c r="E74" i="25"/>
  <c r="G62" i="25"/>
  <c r="G58" i="25"/>
  <c r="K39" i="25"/>
  <c r="K88" i="25"/>
  <c r="G54" i="25"/>
  <c r="E62" i="25"/>
  <c r="K41" i="25"/>
  <c r="K50" i="25"/>
  <c r="E81" i="25"/>
  <c r="I47" i="25"/>
  <c r="BD6" i="1"/>
  <c r="BD8" i="1"/>
  <c r="AY8" i="1" s="1"/>
  <c r="AZ8" i="1" s="1"/>
  <c r="DK10" i="1"/>
  <c r="DL10" i="1"/>
  <c r="DN13" i="1"/>
  <c r="CF15" i="1"/>
  <c r="CD15" i="1"/>
  <c r="CB15" i="1"/>
  <c r="DH20" i="1"/>
  <c r="DI29" i="1"/>
  <c r="DH29" i="1"/>
  <c r="DE43" i="1"/>
  <c r="DE42" i="1"/>
  <c r="DE46" i="1"/>
  <c r="DE41" i="1"/>
  <c r="DE40" i="1"/>
  <c r="DH44" i="1"/>
  <c r="DE53" i="1"/>
  <c r="DE44" i="1"/>
  <c r="DH42" i="1"/>
  <c r="DN41" i="1"/>
  <c r="DH41" i="1"/>
  <c r="DE24" i="1"/>
  <c r="DK41" i="1"/>
  <c r="DH43" i="1"/>
  <c r="DE29" i="1"/>
  <c r="DH40" i="1"/>
  <c r="DN24" i="1"/>
  <c r="DK22" i="1"/>
  <c r="DE16" i="1"/>
  <c r="DH12" i="1"/>
  <c r="DH23" i="1"/>
  <c r="DK17" i="1"/>
  <c r="DK24" i="1"/>
  <c r="DH22" i="1"/>
  <c r="DE28" i="1"/>
  <c r="DE27" i="1"/>
  <c r="DE23" i="1"/>
  <c r="DH17" i="1"/>
  <c r="DH21" i="1"/>
  <c r="DE22" i="1"/>
  <c r="DE19" i="1"/>
  <c r="DE17" i="1"/>
  <c r="DE21" i="1"/>
  <c r="DK20" i="1"/>
  <c r="DE25" i="1"/>
  <c r="DN22" i="1"/>
  <c r="DE18" i="1"/>
  <c r="DQ17" i="1"/>
  <c r="FI21" i="1"/>
  <c r="EH21" i="1"/>
  <c r="EN21" i="1"/>
  <c r="EK21" i="1"/>
  <c r="FF21" i="1"/>
  <c r="FC21" i="1"/>
  <c r="EZ21" i="1"/>
  <c r="DQ22" i="1"/>
  <c r="EQ29" i="1"/>
  <c r="FF29" i="1"/>
  <c r="EN29" i="1"/>
  <c r="EZ29" i="1"/>
  <c r="FI29" i="1"/>
  <c r="EH29" i="1"/>
  <c r="FC29" i="1"/>
  <c r="EW29" i="1"/>
  <c r="ET29" i="1"/>
  <c r="CB7" i="1"/>
  <c r="DE9" i="1"/>
  <c r="CB10" i="1"/>
  <c r="BD11" i="1"/>
  <c r="AY11" i="1" s="1"/>
  <c r="AZ11" i="1" s="1"/>
  <c r="DE14" i="1"/>
  <c r="DE15" i="1"/>
  <c r="DT22" i="1"/>
  <c r="FI23" i="1"/>
  <c r="EQ23" i="1"/>
  <c r="FC23" i="1"/>
  <c r="EZ23" i="1"/>
  <c r="EK23" i="1"/>
  <c r="FF23" i="1"/>
  <c r="EH23" i="1"/>
  <c r="EW23" i="1"/>
  <c r="EH27" i="1"/>
  <c r="EW27" i="1"/>
  <c r="ET27" i="1"/>
  <c r="EQ27" i="1"/>
  <c r="EN27" i="1"/>
  <c r="EZ27" i="1"/>
  <c r="EK27" i="1"/>
  <c r="EK29" i="1"/>
  <c r="R66" i="25"/>
  <c r="BE32" i="1"/>
  <c r="BD32" i="1"/>
  <c r="AY32" i="1" s="1"/>
  <c r="AZ32" i="1" s="1"/>
  <c r="DE32" i="1"/>
  <c r="BR32" i="1"/>
  <c r="DH32" i="1"/>
  <c r="N32" i="1"/>
  <c r="DK5" i="1"/>
  <c r="DT13" i="1"/>
  <c r="DH14" i="1"/>
  <c r="DL15" i="1"/>
  <c r="DK15" i="1"/>
  <c r="DX22" i="1"/>
  <c r="DW22" i="1"/>
  <c r="DE26" i="1"/>
  <c r="EH46" i="1"/>
  <c r="EW46" i="1"/>
  <c r="FI46" i="1"/>
  <c r="EQ46" i="1"/>
  <c r="FF46" i="1"/>
  <c r="FC46" i="1"/>
  <c r="EK46" i="1"/>
  <c r="ET46" i="1"/>
  <c r="EZ46" i="1"/>
  <c r="EN46" i="1"/>
  <c r="DE7" i="1"/>
  <c r="AZ54" i="1"/>
  <c r="AZ51" i="1"/>
  <c r="AZ49" i="1"/>
  <c r="AY24" i="1"/>
  <c r="AZ24" i="1" s="1"/>
  <c r="AZ46" i="1"/>
  <c r="AY28" i="1"/>
  <c r="AZ28" i="1" s="1"/>
  <c r="AY17" i="1"/>
  <c r="AZ17" i="1" s="1"/>
  <c r="AY20" i="1"/>
  <c r="AZ20" i="1" s="1"/>
  <c r="AY15" i="1"/>
  <c r="AZ15" i="1" s="1"/>
  <c r="AY29" i="1"/>
  <c r="AZ29" i="1" s="1"/>
  <c r="AY18" i="1"/>
  <c r="AZ18" i="1" s="1"/>
  <c r="AY22" i="1"/>
  <c r="AZ22" i="1" s="1"/>
  <c r="AY14" i="1"/>
  <c r="AZ14" i="1" s="1"/>
  <c r="AY19" i="1"/>
  <c r="AZ19" i="1" s="1"/>
  <c r="AY5" i="1"/>
  <c r="AZ5" i="1" s="1"/>
  <c r="CD7" i="1"/>
  <c r="DH7" i="1"/>
  <c r="DE8" i="1"/>
  <c r="BD12" i="1"/>
  <c r="BG12" i="1" s="1"/>
  <c r="CB14" i="1"/>
  <c r="CD14" i="1"/>
  <c r="DX20" i="1"/>
  <c r="DW20" i="1"/>
  <c r="DI25" i="1"/>
  <c r="DH25" i="1"/>
  <c r="FI25" i="1"/>
  <c r="EQ25" i="1"/>
  <c r="FC25" i="1"/>
  <c r="EZ25" i="1"/>
  <c r="ET25" i="1"/>
  <c r="EN25" i="1"/>
  <c r="EK25" i="1"/>
  <c r="FF25" i="1"/>
  <c r="EH25" i="1"/>
  <c r="EW25" i="1"/>
  <c r="DN14" i="1"/>
  <c r="DH9" i="1"/>
  <c r="DE12" i="1"/>
  <c r="CB16" i="1"/>
  <c r="EN22" i="1"/>
  <c r="FC27" i="1"/>
  <c r="EQ47" i="1"/>
  <c r="FC47" i="1"/>
  <c r="EK47" i="1"/>
  <c r="EZ47" i="1"/>
  <c r="EW47" i="1"/>
  <c r="FI47" i="1"/>
  <c r="ET47" i="1"/>
  <c r="EN47" i="1"/>
  <c r="EH47" i="1"/>
  <c r="CK45" i="1"/>
  <c r="CL45" i="1" s="1"/>
  <c r="CM45" i="1" s="1"/>
  <c r="CK47" i="1"/>
  <c r="CL47" i="1" s="1"/>
  <c r="CM47" i="1" s="1"/>
  <c r="CK49" i="1"/>
  <c r="CL49" i="1" s="1"/>
  <c r="CM49" i="1" s="1"/>
  <c r="EQ21" i="1"/>
  <c r="ET23" i="1"/>
  <c r="EQ26" i="1"/>
  <c r="FF26" i="1"/>
  <c r="EN26" i="1"/>
  <c r="FC26" i="1"/>
  <c r="ET26" i="1"/>
  <c r="EK26" i="1"/>
  <c r="EH26" i="1"/>
  <c r="EW26" i="1"/>
  <c r="EQ32" i="1"/>
  <c r="FF32" i="1"/>
  <c r="FC32" i="1"/>
  <c r="EK32" i="1"/>
  <c r="EZ32" i="1"/>
  <c r="EW32" i="1"/>
  <c r="FI32" i="1"/>
  <c r="ET32" i="1"/>
  <c r="EN32" i="1"/>
  <c r="EH32" i="1"/>
  <c r="EQ34" i="1"/>
  <c r="FF34" i="1"/>
  <c r="FC34" i="1"/>
  <c r="EK34" i="1"/>
  <c r="EZ34" i="1"/>
  <c r="EW34" i="1"/>
  <c r="FI34" i="1"/>
  <c r="ET34" i="1"/>
  <c r="EH34" i="1"/>
  <c r="EN34" i="1"/>
  <c r="DE6" i="1"/>
  <c r="AY7" i="1"/>
  <c r="AZ7" i="1" s="1"/>
  <c r="DH8" i="1"/>
  <c r="DE11" i="1"/>
  <c r="DK14" i="1"/>
  <c r="FF27" i="1"/>
  <c r="FF47" i="1"/>
  <c r="BE22" i="1"/>
  <c r="R65" i="25"/>
  <c r="BE31" i="1"/>
  <c r="BD31" i="1"/>
  <c r="AY31" i="1" s="1"/>
  <c r="AZ31" i="1" s="1"/>
  <c r="DH31" i="1"/>
  <c r="BR31" i="1"/>
  <c r="DE31" i="1"/>
  <c r="N31" i="1"/>
  <c r="EQ40" i="1"/>
  <c r="EZ40" i="1"/>
  <c r="EW40" i="1"/>
  <c r="ET40" i="1"/>
  <c r="EN40" i="1"/>
  <c r="FI40" i="1"/>
  <c r="EK40" i="1"/>
  <c r="EH40" i="1"/>
  <c r="FF40" i="1"/>
  <c r="FC40" i="1"/>
  <c r="BD23" i="1"/>
  <c r="BG23" i="1" s="1"/>
  <c r="BE23" i="1"/>
  <c r="BE41" i="1"/>
  <c r="BD41" i="1"/>
  <c r="AY41" i="1" s="1"/>
  <c r="AZ41" i="1" s="1"/>
  <c r="EZ51" i="1"/>
  <c r="EH51" i="1"/>
  <c r="FI51" i="1"/>
  <c r="EK51" i="1"/>
  <c r="FF51" i="1"/>
  <c r="EW51" i="1"/>
  <c r="EQ51" i="1"/>
  <c r="EN51" i="1"/>
  <c r="ET51" i="1"/>
  <c r="FC51" i="1"/>
  <c r="AZ52" i="1"/>
  <c r="EW53" i="1"/>
  <c r="ET53" i="1"/>
  <c r="EQ53" i="1"/>
  <c r="EN53" i="1"/>
  <c r="EZ53" i="1"/>
  <c r="EK53" i="1"/>
  <c r="FF53" i="1"/>
  <c r="FC53" i="1"/>
  <c r="FI53" i="1"/>
  <c r="EH53" i="1"/>
  <c r="EN60" i="1"/>
  <c r="FC60" i="1"/>
  <c r="EZ60" i="1"/>
  <c r="EH60" i="1"/>
  <c r="EW60" i="1"/>
  <c r="FI60" i="1"/>
  <c r="FF60" i="1"/>
  <c r="EQ60" i="1"/>
  <c r="EK60" i="1"/>
  <c r="ET60" i="1"/>
  <c r="DH39" i="1"/>
  <c r="AZ45" i="1"/>
  <c r="DN56" i="1"/>
  <c r="DO56" i="1"/>
  <c r="DI61" i="1"/>
  <c r="DH61" i="1"/>
  <c r="DH15" i="1"/>
  <c r="DH19" i="1"/>
  <c r="DH24" i="1"/>
  <c r="R68" i="25"/>
  <c r="BE34" i="1"/>
  <c r="BD34" i="1"/>
  <c r="AY34" i="1" s="1"/>
  <c r="AZ34" i="1" s="1"/>
  <c r="DE34" i="1"/>
  <c r="N34" i="1"/>
  <c r="BR34" i="1"/>
  <c r="DH34" i="1"/>
  <c r="DN20" i="1"/>
  <c r="BE27" i="1"/>
  <c r="BD27" i="1"/>
  <c r="AY27" i="1" s="1"/>
  <c r="AZ27" i="1" s="1"/>
  <c r="DO38" i="1"/>
  <c r="DK19" i="1"/>
  <c r="ET38" i="1"/>
  <c r="FI38" i="1"/>
  <c r="EQ38" i="1"/>
  <c r="FC38" i="1"/>
  <c r="EZ38" i="1"/>
  <c r="EN38" i="1"/>
  <c r="EK38" i="1"/>
  <c r="EH38" i="1"/>
  <c r="FF38" i="1"/>
  <c r="EW38" i="1"/>
  <c r="DQ20" i="1"/>
  <c r="DK21" i="1"/>
  <c r="DI26" i="1"/>
  <c r="DH26" i="1"/>
  <c r="DH27" i="1"/>
  <c r="DK28" i="1"/>
  <c r="DL28" i="1"/>
  <c r="EQ35" i="1"/>
  <c r="FF35" i="1"/>
  <c r="EN35" i="1"/>
  <c r="EK35" i="1"/>
  <c r="EZ35" i="1"/>
  <c r="FI35" i="1"/>
  <c r="FC35" i="1"/>
  <c r="EW35" i="1"/>
  <c r="EK39" i="1"/>
  <c r="EZ39" i="1"/>
  <c r="EH39" i="1"/>
  <c r="FI39" i="1"/>
  <c r="FF39" i="1"/>
  <c r="FC39" i="1"/>
  <c r="EW39" i="1"/>
  <c r="ET39" i="1"/>
  <c r="EQ39" i="1"/>
  <c r="EN39" i="1"/>
  <c r="DL19" i="1"/>
  <c r="FI30" i="1"/>
  <c r="EQ30" i="1"/>
  <c r="FF30" i="1"/>
  <c r="ET30" i="1"/>
  <c r="EH30" i="1"/>
  <c r="FC30" i="1"/>
  <c r="EZ30" i="1"/>
  <c r="EN30" i="1"/>
  <c r="EK30" i="1"/>
  <c r="EH35" i="1"/>
  <c r="FC48" i="1"/>
  <c r="EZ48" i="1"/>
  <c r="EH48" i="1"/>
  <c r="EW48" i="1"/>
  <c r="FF48" i="1"/>
  <c r="EN48" i="1"/>
  <c r="FI48" i="1"/>
  <c r="ET48" i="1"/>
  <c r="EQ48" i="1"/>
  <c r="EK48" i="1"/>
  <c r="EN58" i="1"/>
  <c r="FC58" i="1"/>
  <c r="EZ58" i="1"/>
  <c r="EH58" i="1"/>
  <c r="EW58" i="1"/>
  <c r="ET58" i="1"/>
  <c r="FF58" i="1"/>
  <c r="FI58" i="1"/>
  <c r="EQ58" i="1"/>
  <c r="EK58" i="1"/>
  <c r="DT20" i="1"/>
  <c r="DK27" i="1"/>
  <c r="EQ33" i="1"/>
  <c r="FF33" i="1"/>
  <c r="FC33" i="1"/>
  <c r="EK33" i="1"/>
  <c r="EZ33" i="1"/>
  <c r="EW33" i="1"/>
  <c r="FI33" i="1"/>
  <c r="ET33" i="1"/>
  <c r="EN33" i="1"/>
  <c r="BO35" i="1"/>
  <c r="E35" i="1" s="1"/>
  <c r="DK35" i="1" s="1"/>
  <c r="BM35" i="1"/>
  <c r="G35" i="1" s="1"/>
  <c r="G38" i="1"/>
  <c r="BM38" i="1"/>
  <c r="BO38" i="1" s="1"/>
  <c r="E38" i="1" s="1"/>
  <c r="DK43" i="1"/>
  <c r="DL43" i="1"/>
  <c r="BD25" i="1"/>
  <c r="AY25" i="1" s="1"/>
  <c r="AZ25" i="1" s="1"/>
  <c r="BE25" i="1"/>
  <c r="ET35" i="1"/>
  <c r="DK36" i="1"/>
  <c r="DL36" i="1"/>
  <c r="BE20" i="1"/>
  <c r="BD21" i="1"/>
  <c r="AY21" i="1" s="1"/>
  <c r="AZ21" i="1" s="1"/>
  <c r="DL27" i="1"/>
  <c r="EQ36" i="1"/>
  <c r="FF36" i="1"/>
  <c r="EN36" i="1"/>
  <c r="EK36" i="1"/>
  <c r="EZ36" i="1"/>
  <c r="FI36" i="1"/>
  <c r="FC36" i="1"/>
  <c r="ET36" i="1"/>
  <c r="BE40" i="1"/>
  <c r="BD40" i="1"/>
  <c r="AY40" i="1" s="1"/>
  <c r="AZ40" i="1" s="1"/>
  <c r="DI46" i="1"/>
  <c r="DH46" i="1"/>
  <c r="DK54" i="1"/>
  <c r="DL54" i="1"/>
  <c r="FC62" i="1"/>
  <c r="EK62" i="1"/>
  <c r="EH62" i="1"/>
  <c r="EW62" i="1"/>
  <c r="EN62" i="1"/>
  <c r="FI62" i="1"/>
  <c r="FF62" i="1"/>
  <c r="ET62" i="1"/>
  <c r="EQ62" i="1"/>
  <c r="BD44" i="1"/>
  <c r="AY44" i="1" s="1"/>
  <c r="AZ44" i="1" s="1"/>
  <c r="AZ50" i="1"/>
  <c r="FF54" i="1"/>
  <c r="EN54" i="1"/>
  <c r="EK54" i="1"/>
  <c r="EH54" i="1"/>
  <c r="EQ54" i="1"/>
  <c r="FI54" i="1"/>
  <c r="EZ54" i="1"/>
  <c r="EW54" i="1"/>
  <c r="FC54" i="1"/>
  <c r="BO37" i="1"/>
  <c r="E37" i="1" s="1"/>
  <c r="DK37" i="1" s="1"/>
  <c r="DH53" i="1"/>
  <c r="DI53" i="1"/>
  <c r="DL35" i="1"/>
  <c r="BE42" i="1"/>
  <c r="BD42" i="1"/>
  <c r="AY42" i="1" s="1"/>
  <c r="AZ42" i="1" s="1"/>
  <c r="BE44" i="1"/>
  <c r="AY55" i="1"/>
  <c r="AZ55" i="1" s="1"/>
  <c r="BE55" i="1"/>
  <c r="AG22" i="47"/>
  <c r="AF22" i="47"/>
  <c r="DL34" i="1"/>
  <c r="DK34" i="1"/>
  <c r="DL42" i="1"/>
  <c r="DK42" i="1"/>
  <c r="AZ43" i="1"/>
  <c r="ET44" i="1"/>
  <c r="FI44" i="1"/>
  <c r="EQ44" i="1"/>
  <c r="FC44" i="1"/>
  <c r="EK44" i="1"/>
  <c r="EH44" i="1"/>
  <c r="FF44" i="1"/>
  <c r="EW44" i="1"/>
  <c r="EN44" i="1"/>
  <c r="EN45" i="1"/>
  <c r="FC45" i="1"/>
  <c r="EK45" i="1"/>
  <c r="EW45" i="1"/>
  <c r="FI45" i="1"/>
  <c r="EQ45" i="1"/>
  <c r="ET45" i="1"/>
  <c r="AZ48" i="1"/>
  <c r="DI49" i="1"/>
  <c r="DH49" i="1"/>
  <c r="EQ52" i="1"/>
  <c r="EZ52" i="1"/>
  <c r="EK52" i="1"/>
  <c r="EH52" i="1"/>
  <c r="FI52" i="1"/>
  <c r="FC52" i="1"/>
  <c r="ET52" i="1"/>
  <c r="DT50" i="1"/>
  <c r="DU50" i="1"/>
  <c r="DL31" i="1"/>
  <c r="DK31" i="1"/>
  <c r="DL33" i="1"/>
  <c r="DK33" i="1"/>
  <c r="CF50" i="1"/>
  <c r="CD50" i="1"/>
  <c r="CB50" i="1"/>
  <c r="EQ50" i="1"/>
  <c r="EZ50" i="1"/>
  <c r="FI50" i="1"/>
  <c r="EK50" i="1"/>
  <c r="FF50" i="1"/>
  <c r="EH50" i="1"/>
  <c r="FC50" i="1"/>
  <c r="ET50" i="1"/>
  <c r="EN50" i="1"/>
  <c r="EW50" i="1"/>
  <c r="BO33" i="1"/>
  <c r="E33" i="1" s="1"/>
  <c r="EW49" i="1"/>
  <c r="EN49" i="1"/>
  <c r="FI49" i="1"/>
  <c r="EQ49" i="1"/>
  <c r="EZ49" i="1"/>
  <c r="EH49" i="1"/>
  <c r="FF49" i="1"/>
  <c r="FC49" i="1"/>
  <c r="FC56" i="1"/>
  <c r="EZ56" i="1"/>
  <c r="EH56" i="1"/>
  <c r="EW56" i="1"/>
  <c r="ET56" i="1"/>
  <c r="FF56" i="1"/>
  <c r="EQ56" i="1"/>
  <c r="EN56" i="1"/>
  <c r="FI56" i="1"/>
  <c r="EK56" i="1"/>
  <c r="DH28" i="1"/>
  <c r="DL32" i="1"/>
  <c r="DK32" i="1"/>
  <c r="DQ41" i="1"/>
  <c r="DR41" i="1"/>
  <c r="FI42" i="1"/>
  <c r="FF42" i="1"/>
  <c r="EK42" i="1"/>
  <c r="EH42" i="1"/>
  <c r="ET42" i="1"/>
  <c r="EN42" i="1"/>
  <c r="FC42" i="1"/>
  <c r="EQ42" i="1"/>
  <c r="EZ45" i="1"/>
  <c r="CK46" i="1"/>
  <c r="CL46" i="1" s="1"/>
  <c r="CM46" i="1" s="1"/>
  <c r="BE47" i="1"/>
  <c r="AY47" i="1"/>
  <c r="AZ47" i="1" s="1"/>
  <c r="FF45" i="1"/>
  <c r="CB48" i="1"/>
  <c r="CD48" i="1"/>
  <c r="CF48" i="1"/>
  <c r="EK49" i="1"/>
  <c r="DL30" i="1"/>
  <c r="DK30" i="1"/>
  <c r="DI39" i="1"/>
  <c r="DN44" i="1"/>
  <c r="DO44" i="1"/>
  <c r="DX52" i="1"/>
  <c r="DW52" i="1"/>
  <c r="ET59" i="1"/>
  <c r="EQ59" i="1"/>
  <c r="EN59" i="1"/>
  <c r="EK59" i="1"/>
  <c r="EW59" i="1"/>
  <c r="EZ59" i="1"/>
  <c r="EH59" i="1"/>
  <c r="FC59" i="1"/>
  <c r="X11" i="44"/>
  <c r="Q10" i="44"/>
  <c r="Q9" i="44"/>
  <c r="AB8" i="44"/>
  <c r="Y7" i="44"/>
  <c r="Q6" i="44"/>
  <c r="P11" i="44"/>
  <c r="P8" i="44"/>
  <c r="T7" i="44"/>
  <c r="P15" i="44"/>
  <c r="AQ8" i="44"/>
  <c r="AR8" i="44" s="1"/>
  <c r="AB5" i="44"/>
  <c r="U10" i="44"/>
  <c r="AO8" i="44"/>
  <c r="AC8" i="44"/>
  <c r="T6" i="44"/>
  <c r="AQ9" i="44"/>
  <c r="AR9" i="44" s="1"/>
  <c r="AC5" i="44"/>
  <c r="AB7" i="44"/>
  <c r="R73" i="25"/>
  <c r="DE39" i="1"/>
  <c r="BR39" i="1"/>
  <c r="BE49" i="1"/>
  <c r="CD58" i="1"/>
  <c r="CF58" i="1"/>
  <c r="BS59" i="1"/>
  <c r="I39" i="1"/>
  <c r="BD39" i="1" s="1"/>
  <c r="CB58" i="1"/>
  <c r="FI59" i="1"/>
  <c r="G15" i="30"/>
  <c r="N39" i="1"/>
  <c r="CI50" i="1"/>
  <c r="ET61" i="1"/>
  <c r="EQ61" i="1"/>
  <c r="FF61" i="1"/>
  <c r="EN61" i="1"/>
  <c r="EK61" i="1"/>
  <c r="EW61" i="1"/>
  <c r="EH61" i="1"/>
  <c r="FI61" i="1"/>
  <c r="FC61" i="1"/>
  <c r="EZ61" i="1"/>
  <c r="T9" i="44"/>
  <c r="DL47" i="1"/>
  <c r="DK47" i="1"/>
  <c r="DR48" i="1"/>
  <c r="DQ48" i="1"/>
  <c r="CF49" i="1"/>
  <c r="CD49" i="1"/>
  <c r="EW55" i="1"/>
  <c r="FF55" i="1"/>
  <c r="EH55" i="1"/>
  <c r="ET55" i="1"/>
  <c r="EQ55" i="1"/>
  <c r="EN55" i="1"/>
  <c r="EK55" i="1"/>
  <c r="FI55" i="1"/>
  <c r="FC55" i="1"/>
  <c r="EZ55" i="1"/>
  <c r="AF5" i="44"/>
  <c r="DH35" i="1"/>
  <c r="DH36" i="1"/>
  <c r="DH37" i="1"/>
  <c r="DH47" i="1"/>
  <c r="DK48" i="1"/>
  <c r="BE45" i="1"/>
  <c r="CB49" i="1"/>
  <c r="EW57" i="1"/>
  <c r="FF57" i="1"/>
  <c r="EH57" i="1"/>
  <c r="ET57" i="1"/>
  <c r="EQ57" i="1"/>
  <c r="EK57" i="1"/>
  <c r="FC57" i="1"/>
  <c r="EZ57" i="1"/>
  <c r="DK44" i="1"/>
  <c r="DH45" i="1"/>
  <c r="DI45" i="1"/>
  <c r="DN48" i="1"/>
  <c r="BE50" i="1"/>
  <c r="L1" i="19"/>
  <c r="L2" i="19" s="1"/>
  <c r="L4" i="19" s="1"/>
  <c r="AY53" i="1"/>
  <c r="AZ53" i="1" s="1"/>
  <c r="BE56" i="1"/>
  <c r="AY56" i="1"/>
  <c r="AZ56" i="1" s="1"/>
  <c r="DI58" i="1"/>
  <c r="DH58" i="1"/>
  <c r="BE60" i="1"/>
  <c r="AY60" i="1"/>
  <c r="AZ60" i="1" s="1"/>
  <c r="DL40" i="1"/>
  <c r="DK40" i="1"/>
  <c r="Y5" i="44"/>
  <c r="DO51" i="1"/>
  <c r="BE61" i="1"/>
  <c r="AY61" i="1"/>
  <c r="AZ61" i="1" s="1"/>
  <c r="AP47" i="2"/>
  <c r="AN47" i="2"/>
  <c r="G47" i="2" s="1"/>
  <c r="AM47" i="2"/>
  <c r="BE52" i="1"/>
  <c r="DH56" i="1"/>
  <c r="BD57" i="1"/>
  <c r="DR62" i="1"/>
  <c r="DQ62" i="1"/>
  <c r="DI59" i="1"/>
  <c r="DH59" i="1"/>
  <c r="W49" i="2"/>
  <c r="X39" i="2"/>
  <c r="DQ55" i="1"/>
  <c r="DR55" i="1"/>
  <c r="Y39" i="2"/>
  <c r="DQ57" i="1"/>
  <c r="DR57" i="1"/>
  <c r="DH51" i="1"/>
  <c r="BS54" i="1"/>
  <c r="CD53" i="1"/>
  <c r="DK57" i="1"/>
  <c r="G4" i="30"/>
  <c r="AD53" i="2"/>
  <c r="AB53" i="2"/>
  <c r="AA63" i="2"/>
  <c r="AC53" i="2"/>
  <c r="CF57" i="1"/>
  <c r="CB57" i="1"/>
  <c r="DN50" i="1"/>
  <c r="DK51" i="1"/>
  <c r="CF53" i="1"/>
  <c r="DN57" i="1"/>
  <c r="BD59" i="1"/>
  <c r="AP30" i="2"/>
  <c r="AN30" i="2"/>
  <c r="G30" i="2"/>
  <c r="AM30" i="2"/>
  <c r="AM3" i="2"/>
  <c r="DI60" i="1"/>
  <c r="X5" i="44"/>
  <c r="AQ7" i="44"/>
  <c r="AR7" i="44" s="1"/>
  <c r="AK8" i="44"/>
  <c r="AC9" i="44"/>
  <c r="AQ10" i="44"/>
  <c r="AR10" i="44" s="1"/>
  <c r="Q7" i="47"/>
  <c r="AC8" i="47"/>
  <c r="AG12" i="47"/>
  <c r="AF25" i="47"/>
  <c r="AO1" i="2"/>
  <c r="AO3" i="2"/>
  <c r="AP6" i="2"/>
  <c r="AN6" i="2"/>
  <c r="AO2" i="2"/>
  <c r="AM6" i="2"/>
  <c r="G6" i="2"/>
  <c r="AM2" i="2"/>
  <c r="X27" i="47"/>
  <c r="C10" i="2"/>
  <c r="AD36" i="2"/>
  <c r="AB36" i="2"/>
  <c r="AC36" i="2"/>
  <c r="T44" i="46"/>
  <c r="U44" i="46" s="1"/>
  <c r="Q38" i="46"/>
  <c r="Q39" i="46" s="1"/>
  <c r="Q40" i="46" s="1"/>
  <c r="AY62" i="1"/>
  <c r="AZ62" i="1" s="1"/>
  <c r="P5" i="47"/>
  <c r="U6" i="47"/>
  <c r="AB7" i="47"/>
  <c r="AB14" i="47"/>
  <c r="AC18" i="47"/>
  <c r="T24" i="47"/>
  <c r="Y22" i="2"/>
  <c r="D22" i="2" s="1"/>
  <c r="AC26" i="2"/>
  <c r="E26" i="2" s="1"/>
  <c r="AK47" i="2"/>
  <c r="K6" i="47"/>
  <c r="T20" i="47"/>
  <c r="X24" i="47"/>
  <c r="Y12" i="2"/>
  <c r="D12" i="2" s="1"/>
  <c r="AB13" i="2"/>
  <c r="AB23" i="2"/>
  <c r="Y8" i="44"/>
  <c r="AN7" i="44"/>
  <c r="X8" i="44"/>
  <c r="AK7" i="44"/>
  <c r="AQ5" i="44"/>
  <c r="AR5" i="44" s="1"/>
  <c r="U8" i="44"/>
  <c r="AJ7" i="44"/>
  <c r="AG5" i="44"/>
  <c r="T8" i="44"/>
  <c r="AG7" i="44"/>
  <c r="Y11" i="44"/>
  <c r="AQ15" i="44"/>
  <c r="Q15" i="44"/>
  <c r="U11" i="44"/>
  <c r="X10" i="44"/>
  <c r="Y9" i="44"/>
  <c r="AN8" i="44"/>
  <c r="U7" i="44"/>
  <c r="P6" i="44"/>
  <c r="T5" i="44"/>
  <c r="Q11" i="44"/>
  <c r="T10" i="44"/>
  <c r="P7" i="44"/>
  <c r="AC5" i="47"/>
  <c r="Q9" i="47"/>
  <c r="Q13" i="47"/>
  <c r="U20" i="47"/>
  <c r="P26" i="47"/>
  <c r="AB12" i="2"/>
  <c r="AC13" i="2"/>
  <c r="AP22" i="2"/>
  <c r="AN22" i="2"/>
  <c r="AM22" i="2"/>
  <c r="G22" i="2"/>
  <c r="AC23" i="2"/>
  <c r="T95" i="2"/>
  <c r="Q7" i="44"/>
  <c r="Y10" i="47"/>
  <c r="U16" i="47"/>
  <c r="P17" i="47"/>
  <c r="X20" i="47"/>
  <c r="AC14" i="2"/>
  <c r="W44" i="2"/>
  <c r="Y34" i="2"/>
  <c r="X34" i="2"/>
  <c r="AB27" i="2"/>
  <c r="T61" i="2"/>
  <c r="CZ54" i="31"/>
  <c r="CK9" i="31" s="1"/>
  <c r="BA10" i="31"/>
  <c r="Y9" i="47"/>
  <c r="X10" i="47"/>
  <c r="K5" i="47" s="1"/>
  <c r="AC13" i="47"/>
  <c r="T16" i="47"/>
  <c r="AP12" i="2"/>
  <c r="AN12" i="2"/>
  <c r="AM12" i="2"/>
  <c r="G12" i="2"/>
  <c r="AA34" i="2"/>
  <c r="AD24" i="2"/>
  <c r="AC27" i="2"/>
  <c r="X38" i="2"/>
  <c r="W48" i="2"/>
  <c r="Y38" i="2"/>
  <c r="X7" i="44"/>
  <c r="Q8" i="44"/>
  <c r="P9" i="44"/>
  <c r="P10" i="44"/>
  <c r="T11" i="44"/>
  <c r="AB5" i="47"/>
  <c r="U14" i="47"/>
  <c r="Y13" i="47"/>
  <c r="AC12" i="47"/>
  <c r="AG11" i="47"/>
  <c r="U9" i="47"/>
  <c r="U8" i="47"/>
  <c r="AG7" i="47"/>
  <c r="P6" i="47"/>
  <c r="Y5" i="47"/>
  <c r="T28" i="47"/>
  <c r="AB27" i="47"/>
  <c r="AF26" i="47"/>
  <c r="X22" i="47"/>
  <c r="Q18" i="47"/>
  <c r="T17" i="47"/>
  <c r="AB16" i="47"/>
  <c r="Q14" i="47"/>
  <c r="T13" i="47"/>
  <c r="X12" i="47"/>
  <c r="AB11" i="47"/>
  <c r="AF10" i="47"/>
  <c r="Y27" i="47"/>
  <c r="AC26" i="47"/>
  <c r="AG25" i="47"/>
  <c r="AG21" i="47"/>
  <c r="P18" i="47"/>
  <c r="Q17" i="47"/>
  <c r="P14" i="47"/>
  <c r="U12" i="47"/>
  <c r="Y11" i="47"/>
  <c r="P9" i="47"/>
  <c r="P8" i="47"/>
  <c r="U22" i="47"/>
  <c r="AC21" i="47"/>
  <c r="AG20" i="47"/>
  <c r="Y16" i="47"/>
  <c r="P13" i="47"/>
  <c r="U11" i="47"/>
  <c r="AC10" i="47"/>
  <c r="U7" i="47"/>
  <c r="AG6" i="47"/>
  <c r="X16" i="47"/>
  <c r="Q12" i="47"/>
  <c r="T11" i="47"/>
  <c r="AB10" i="47"/>
  <c r="T7" i="47"/>
  <c r="AF6" i="47"/>
  <c r="Q27" i="47"/>
  <c r="T26" i="47"/>
  <c r="X25" i="47"/>
  <c r="AB24" i="47"/>
  <c r="AF23" i="47"/>
  <c r="X21" i="47"/>
  <c r="AB20" i="47"/>
  <c r="AF19" i="47"/>
  <c r="AF15" i="47"/>
  <c r="P11" i="47"/>
  <c r="AG9" i="47"/>
  <c r="AG8" i="47"/>
  <c r="P7" i="47"/>
  <c r="Y6" i="47"/>
  <c r="Y28" i="47"/>
  <c r="P25" i="47"/>
  <c r="U23" i="47"/>
  <c r="AC22" i="47"/>
  <c r="P21" i="47"/>
  <c r="I7" i="47" s="1"/>
  <c r="U19" i="47"/>
  <c r="Y18" i="47"/>
  <c r="AC17" i="47"/>
  <c r="AG16" i="47"/>
  <c r="Q16" i="47"/>
  <c r="U15" i="47"/>
  <c r="Y14" i="47"/>
  <c r="AB9" i="47"/>
  <c r="AF13" i="47"/>
  <c r="AG17" i="47"/>
  <c r="Q22" i="47"/>
  <c r="K7" i="47" s="1"/>
  <c r="AB26" i="47"/>
  <c r="U28" i="47"/>
  <c r="AH14" i="2"/>
  <c r="F14" i="2" s="1"/>
  <c r="AB24" i="2"/>
  <c r="AA38" i="2"/>
  <c r="AD28" i="2"/>
  <c r="T52" i="2"/>
  <c r="W14" i="24"/>
  <c r="W15" i="24"/>
  <c r="W16" i="24"/>
  <c r="X16" i="24" s="1"/>
  <c r="W13" i="24"/>
  <c r="X13" i="24" s="1"/>
  <c r="X7" i="24"/>
  <c r="S42" i="24"/>
  <c r="L42" i="24" s="1"/>
  <c r="K42" i="24" s="1"/>
  <c r="F42" i="24" s="1"/>
  <c r="S12" i="24"/>
  <c r="L12" i="24" s="1"/>
  <c r="K12" i="24" s="1"/>
  <c r="F12" i="24" s="1"/>
  <c r="AC9" i="47"/>
  <c r="AH23" i="47"/>
  <c r="AH28" i="47" s="1"/>
  <c r="AH22" i="47"/>
  <c r="X23" i="47"/>
  <c r="AN14" i="2"/>
  <c r="D17" i="2"/>
  <c r="AC24" i="2"/>
  <c r="Y45" i="2"/>
  <c r="X45" i="2"/>
  <c r="W55" i="2"/>
  <c r="AM27" i="2"/>
  <c r="AB28" i="2"/>
  <c r="X28" i="47"/>
  <c r="AP14" i="2"/>
  <c r="Y18" i="2"/>
  <c r="AN24" i="2"/>
  <c r="AA45" i="2"/>
  <c r="AD35" i="2"/>
  <c r="AC35" i="2"/>
  <c r="AB35" i="2"/>
  <c r="E35" i="2" s="1"/>
  <c r="AC28" i="2"/>
  <c r="AA39" i="2"/>
  <c r="AD29" i="2"/>
  <c r="T101" i="2"/>
  <c r="P5" i="44"/>
  <c r="U6" i="44"/>
  <c r="AC7" i="44"/>
  <c r="AF8" i="44"/>
  <c r="U9" i="44"/>
  <c r="Y10" i="44"/>
  <c r="AC11" i="44"/>
  <c r="AG10" i="47"/>
  <c r="X15" i="47"/>
  <c r="AC16" i="47"/>
  <c r="X19" i="47"/>
  <c r="AB23" i="47"/>
  <c r="Q25" i="47"/>
  <c r="AM1" i="2"/>
  <c r="AP17" i="2"/>
  <c r="AB25" i="2"/>
  <c r="AB29" i="2"/>
  <c r="U30" i="2"/>
  <c r="AP40" i="2"/>
  <c r="AM40" i="2"/>
  <c r="G40" i="2"/>
  <c r="AN40" i="2"/>
  <c r="AA46" i="2"/>
  <c r="Q5" i="44"/>
  <c r="X6" i="44"/>
  <c r="AF7" i="44"/>
  <c r="AG8" i="44"/>
  <c r="X9" i="44"/>
  <c r="AB10" i="44"/>
  <c r="AQ11" i="44"/>
  <c r="AR11" i="44" s="1"/>
  <c r="Y8" i="47"/>
  <c r="Y15" i="47"/>
  <c r="Y19" i="47"/>
  <c r="AC28" i="47"/>
  <c r="X6" i="2"/>
  <c r="U5" i="2"/>
  <c r="T85" i="2"/>
  <c r="T69" i="2"/>
  <c r="T36" i="2"/>
  <c r="U35" i="2"/>
  <c r="AB11" i="2"/>
  <c r="X10" i="2"/>
  <c r="D10" i="2" s="1"/>
  <c r="T8" i="2"/>
  <c r="T21" i="2"/>
  <c r="C21" i="2" s="1"/>
  <c r="AN19" i="2"/>
  <c r="AK17" i="2"/>
  <c r="AC15" i="2"/>
  <c r="AB14" i="2"/>
  <c r="X13" i="2"/>
  <c r="D13" i="2" s="1"/>
  <c r="T11" i="2"/>
  <c r="C11" i="2" s="1"/>
  <c r="AN9" i="2"/>
  <c r="AK7" i="2"/>
  <c r="AC5" i="2"/>
  <c r="AP16" i="2"/>
  <c r="AN16" i="2"/>
  <c r="AM16" i="2"/>
  <c r="G16" i="2"/>
  <c r="AM17" i="2"/>
  <c r="G17" i="2" s="1"/>
  <c r="AC19" i="2"/>
  <c r="AC25" i="2"/>
  <c r="AC29" i="2"/>
  <c r="U5" i="44"/>
  <c r="Y6" i="44"/>
  <c r="AO7" i="44"/>
  <c r="AJ8" i="44"/>
  <c r="AB9" i="44"/>
  <c r="AC10" i="44"/>
  <c r="AB8" i="47"/>
  <c r="T12" i="47"/>
  <c r="AB15" i="47"/>
  <c r="AF16" i="47"/>
  <c r="AB19" i="47"/>
  <c r="Q21" i="47"/>
  <c r="Y22" i="47"/>
  <c r="T25" i="47"/>
  <c r="AB28" i="47"/>
  <c r="C9" i="2"/>
  <c r="C20" i="2"/>
  <c r="AH54" i="2"/>
  <c r="X23" i="2"/>
  <c r="D23" i="2" s="1"/>
  <c r="Y24" i="2"/>
  <c r="Y28" i="2"/>
  <c r="Y29" i="2"/>
  <c r="AH30" i="2"/>
  <c r="AP32" i="2"/>
  <c r="AH33" i="2"/>
  <c r="AN34" i="2"/>
  <c r="AI35" i="2"/>
  <c r="AN36" i="2"/>
  <c r="AH40" i="2"/>
  <c r="T46" i="2"/>
  <c r="C46" i="2" s="1"/>
  <c r="AP48" i="2"/>
  <c r="AN48" i="2"/>
  <c r="AM48" i="2"/>
  <c r="G48" i="2"/>
  <c r="T57" i="2"/>
  <c r="T73" i="2"/>
  <c r="BJ6" i="31"/>
  <c r="I57" i="25"/>
  <c r="G57" i="25"/>
  <c r="E57" i="25"/>
  <c r="K57" i="25"/>
  <c r="AG14" i="47"/>
  <c r="AC15" i="47"/>
  <c r="AG18" i="47"/>
  <c r="AC19" i="47"/>
  <c r="Y20" i="47"/>
  <c r="U21" i="47"/>
  <c r="AC23" i="47"/>
  <c r="Y24" i="47"/>
  <c r="U25" i="47"/>
  <c r="P27" i="47"/>
  <c r="U9" i="2"/>
  <c r="Y11" i="2"/>
  <c r="D11" i="2" s="1"/>
  <c r="AC12" i="2"/>
  <c r="AI14" i="2"/>
  <c r="U19" i="2"/>
  <c r="C19" i="2" s="1"/>
  <c r="Y21" i="2"/>
  <c r="D21" i="2" s="1"/>
  <c r="AC22" i="2"/>
  <c r="E22" i="2" s="1"/>
  <c r="AH25" i="2"/>
  <c r="AH26" i="2"/>
  <c r="AH27" i="2"/>
  <c r="X31" i="2"/>
  <c r="U32" i="2"/>
  <c r="U44" i="2"/>
  <c r="AI54" i="2"/>
  <c r="C8" i="42"/>
  <c r="J8" i="42"/>
  <c r="M8" i="42" s="1"/>
  <c r="M19" i="33"/>
  <c r="X19" i="41"/>
  <c r="AH19" i="21"/>
  <c r="W19" i="24"/>
  <c r="S19" i="9"/>
  <c r="AA19" i="25"/>
  <c r="Q9" i="31"/>
  <c r="K47" i="25"/>
  <c r="AH13" i="2"/>
  <c r="AK14" i="2"/>
  <c r="T18" i="2"/>
  <c r="X20" i="2"/>
  <c r="AB21" i="2"/>
  <c r="AH23" i="2"/>
  <c r="AH24" i="2"/>
  <c r="AI25" i="2"/>
  <c r="AI26" i="2"/>
  <c r="AI27" i="2"/>
  <c r="AH28" i="2"/>
  <c r="AI29" i="2"/>
  <c r="Y31" i="2"/>
  <c r="AI39" i="2"/>
  <c r="T43" i="2"/>
  <c r="C43" i="2" s="1"/>
  <c r="DC14" i="31"/>
  <c r="CL5" i="31" s="1"/>
  <c r="AC6" i="47"/>
  <c r="Q11" i="47"/>
  <c r="P12" i="47"/>
  <c r="AG15" i="47"/>
  <c r="AG19" i="47"/>
  <c r="AC20" i="47"/>
  <c r="Y21" i="47"/>
  <c r="AG23" i="47"/>
  <c r="AC24" i="47"/>
  <c r="Y25" i="47"/>
  <c r="U26" i="47"/>
  <c r="G5" i="2"/>
  <c r="AM5" i="2"/>
  <c r="T7" i="2"/>
  <c r="C7" i="2" s="1"/>
  <c r="U8" i="2"/>
  <c r="X9" i="2"/>
  <c r="D9" i="2" s="1"/>
  <c r="Y10" i="2"/>
  <c r="AC11" i="2"/>
  <c r="AH12" i="2"/>
  <c r="AI13" i="2"/>
  <c r="G15" i="2"/>
  <c r="AM15" i="2"/>
  <c r="T17" i="2"/>
  <c r="U18" i="2"/>
  <c r="X19" i="2"/>
  <c r="D19" i="2" s="1"/>
  <c r="Y20" i="2"/>
  <c r="AC21" i="2"/>
  <c r="AH22" i="2"/>
  <c r="AI23" i="2"/>
  <c r="AI24" i="2"/>
  <c r="G25" i="2"/>
  <c r="G26" i="2"/>
  <c r="G27" i="2"/>
  <c r="AK27" i="2"/>
  <c r="AI28" i="2"/>
  <c r="AK29" i="2"/>
  <c r="Y42" i="2"/>
  <c r="W52" i="2"/>
  <c r="AM39" i="2"/>
  <c r="U43" i="2"/>
  <c r="AH46" i="2"/>
  <c r="T50" i="2"/>
  <c r="C50" i="2" s="1"/>
  <c r="U51" i="2"/>
  <c r="AP52" i="2"/>
  <c r="AN54" i="2"/>
  <c r="T56" i="2"/>
  <c r="C56" i="2" s="1"/>
  <c r="T72" i="2"/>
  <c r="CZ9" i="31"/>
  <c r="DD12" i="31"/>
  <c r="DC12" i="31" s="1"/>
  <c r="BT5" i="31" s="1"/>
  <c r="DA12" i="31"/>
  <c r="CZ12" i="31"/>
  <c r="BS5" i="31" s="1"/>
  <c r="I62" i="25"/>
  <c r="E82" i="25"/>
  <c r="K82" i="25"/>
  <c r="I82" i="25"/>
  <c r="G82" i="25"/>
  <c r="AF20" i="47"/>
  <c r="AB21" i="47"/>
  <c r="T22" i="47"/>
  <c r="AF24" i="47"/>
  <c r="AB25" i="47"/>
  <c r="X26" i="47"/>
  <c r="T27" i="47"/>
  <c r="P28" i="47"/>
  <c r="AF28" i="47"/>
  <c r="AN5" i="2"/>
  <c r="U7" i="2"/>
  <c r="Y9" i="2"/>
  <c r="AB10" i="2"/>
  <c r="E10" i="2" s="1"/>
  <c r="AI12" i="2"/>
  <c r="AM14" i="2"/>
  <c r="AN15" i="2"/>
  <c r="U17" i="2"/>
  <c r="Y19" i="2"/>
  <c r="AB20" i="2"/>
  <c r="AI22" i="2"/>
  <c r="AK24" i="2"/>
  <c r="AP29" i="2"/>
  <c r="AB31" i="2"/>
  <c r="E31" i="2" s="1"/>
  <c r="X32" i="2"/>
  <c r="X37" i="2"/>
  <c r="D37" i="2" s="1"/>
  <c r="U50" i="2"/>
  <c r="AM52" i="2"/>
  <c r="AM53" i="2"/>
  <c r="U56" i="2"/>
  <c r="T58" i="2"/>
  <c r="U72" i="2"/>
  <c r="T74" i="2"/>
  <c r="U102" i="2"/>
  <c r="DA9" i="31"/>
  <c r="AG24" i="47"/>
  <c r="AC25" i="47"/>
  <c r="Y26" i="47"/>
  <c r="U27" i="47"/>
  <c r="Q28" i="47"/>
  <c r="AG28" i="47"/>
  <c r="AP5" i="2"/>
  <c r="T6" i="2"/>
  <c r="C6" i="2" s="1"/>
  <c r="X8" i="2"/>
  <c r="D8" i="2" s="1"/>
  <c r="AB9" i="2"/>
  <c r="E9" i="2" s="1"/>
  <c r="AC10" i="2"/>
  <c r="AH11" i="2"/>
  <c r="AK12" i="2"/>
  <c r="T16" i="2"/>
  <c r="C16" i="2" s="1"/>
  <c r="X18" i="2"/>
  <c r="D18" i="2" s="1"/>
  <c r="AB19" i="2"/>
  <c r="AC20" i="2"/>
  <c r="AH21" i="2"/>
  <c r="AK22" i="2"/>
  <c r="AM24" i="2"/>
  <c r="G24" i="2" s="1"/>
  <c r="AM25" i="2"/>
  <c r="AM26" i="2"/>
  <c r="AM29" i="2"/>
  <c r="G29" i="2" s="1"/>
  <c r="AC31" i="2"/>
  <c r="Y32" i="2"/>
  <c r="T33" i="2"/>
  <c r="Y37" i="2"/>
  <c r="AH38" i="2"/>
  <c r="X42" i="2"/>
  <c r="D42" i="2" s="1"/>
  <c r="AM45" i="2"/>
  <c r="AN46" i="2"/>
  <c r="AN52" i="2"/>
  <c r="G52" i="2" s="1"/>
  <c r="T65" i="2"/>
  <c r="C65" i="2" s="1"/>
  <c r="T81" i="2"/>
  <c r="C81" i="2" s="1"/>
  <c r="U96" i="2"/>
  <c r="DD47" i="31"/>
  <c r="DA47" i="31"/>
  <c r="CZ47" i="31"/>
  <c r="AA42" i="2"/>
  <c r="AD32" i="2"/>
  <c r="AC32" i="2"/>
  <c r="AB32" i="2"/>
  <c r="AA47" i="2"/>
  <c r="AC37" i="2"/>
  <c r="T5" i="2"/>
  <c r="C5" i="2" s="1"/>
  <c r="Y7" i="2"/>
  <c r="D7" i="2" s="1"/>
  <c r="AB8" i="2"/>
  <c r="AH10" i="2"/>
  <c r="AN13" i="2"/>
  <c r="T15" i="2"/>
  <c r="C15" i="2" s="1"/>
  <c r="Y17" i="2"/>
  <c r="AB18" i="2"/>
  <c r="AH20" i="2"/>
  <c r="AN23" i="2"/>
  <c r="T25" i="2"/>
  <c r="T26" i="2"/>
  <c r="T27" i="2"/>
  <c r="AN28" i="2"/>
  <c r="AI31" i="2"/>
  <c r="AH32" i="2"/>
  <c r="X33" i="2"/>
  <c r="D33" i="2" s="1"/>
  <c r="W43" i="2"/>
  <c r="T34" i="2"/>
  <c r="C34" i="2" s="1"/>
  <c r="AB37" i="2"/>
  <c r="E37" i="2" s="1"/>
  <c r="U41" i="2"/>
  <c r="AH42" i="2"/>
  <c r="F42" i="2" s="1"/>
  <c r="AI44" i="2"/>
  <c r="AH49" i="2"/>
  <c r="F49" i="2" s="1"/>
  <c r="AH50" i="2"/>
  <c r="T98" i="2"/>
  <c r="DD6" i="31"/>
  <c r="DC6" i="31" s="1"/>
  <c r="R5" i="31" s="1"/>
  <c r="DA6" i="31"/>
  <c r="CZ6" i="31"/>
  <c r="K86" i="25"/>
  <c r="I86" i="25"/>
  <c r="E86" i="25"/>
  <c r="G86" i="25"/>
  <c r="AB7" i="2"/>
  <c r="E7" i="2" s="1"/>
  <c r="AC8" i="2"/>
  <c r="AH9" i="2"/>
  <c r="F9" i="2" s="1"/>
  <c r="AI10" i="2"/>
  <c r="T14" i="2"/>
  <c r="U15" i="2"/>
  <c r="X16" i="2"/>
  <c r="AB17" i="2"/>
  <c r="AC18" i="2"/>
  <c r="AH19" i="2"/>
  <c r="AI20" i="2"/>
  <c r="T24" i="2"/>
  <c r="U25" i="2"/>
  <c r="U26" i="2"/>
  <c r="U27" i="2"/>
  <c r="AP27" i="2"/>
  <c r="T28" i="2"/>
  <c r="C28" i="2" s="1"/>
  <c r="T29" i="2"/>
  <c r="C29" i="2" s="1"/>
  <c r="X30" i="2"/>
  <c r="D30" i="2" s="1"/>
  <c r="AK32" i="2"/>
  <c r="Y33" i="2"/>
  <c r="U34" i="2"/>
  <c r="AD37" i="2"/>
  <c r="AM38" i="2"/>
  <c r="AI42" i="2"/>
  <c r="AM43" i="2"/>
  <c r="AI49" i="2"/>
  <c r="I53" i="25"/>
  <c r="U5" i="47"/>
  <c r="AC7" i="47"/>
  <c r="AC11" i="47"/>
  <c r="Y12" i="47"/>
  <c r="U13" i="47"/>
  <c r="P15" i="47"/>
  <c r="I6" i="47" s="1"/>
  <c r="U17" i="47"/>
  <c r="P19" i="47"/>
  <c r="AG26" i="47"/>
  <c r="AC27" i="47"/>
  <c r="U100" i="2"/>
  <c r="T100" i="2"/>
  <c r="C100" i="2" s="1"/>
  <c r="T92" i="2"/>
  <c r="U99" i="2"/>
  <c r="T99" i="2"/>
  <c r="C99" i="2" s="1"/>
  <c r="U98" i="2"/>
  <c r="U97" i="2"/>
  <c r="T96" i="2"/>
  <c r="T88" i="2"/>
  <c r="C88" i="2" s="1"/>
  <c r="U103" i="2"/>
  <c r="U95" i="2"/>
  <c r="U91" i="2"/>
  <c r="T90" i="2"/>
  <c r="U89" i="2"/>
  <c r="U87" i="2"/>
  <c r="T79" i="2"/>
  <c r="T71" i="2"/>
  <c r="T63" i="2"/>
  <c r="T55" i="2"/>
  <c r="C55" i="2" s="1"/>
  <c r="AK52" i="2"/>
  <c r="U48" i="2"/>
  <c r="AI47" i="2"/>
  <c r="T41" i="2"/>
  <c r="U39" i="2"/>
  <c r="AM34" i="2"/>
  <c r="G34" i="2" s="1"/>
  <c r="T32" i="2"/>
  <c r="C32" i="2" s="1"/>
  <c r="AH29" i="2"/>
  <c r="F29" i="2" s="1"/>
  <c r="T97" i="2"/>
  <c r="C97" i="2" s="1"/>
  <c r="U92" i="2"/>
  <c r="T91" i="2"/>
  <c r="T89" i="2"/>
  <c r="C89" i="2" s="1"/>
  <c r="U88" i="2"/>
  <c r="T87" i="2"/>
  <c r="U86" i="2"/>
  <c r="U78" i="2"/>
  <c r="U70" i="2"/>
  <c r="U62" i="2"/>
  <c r="U53" i="2"/>
  <c r="AI52" i="2"/>
  <c r="T48" i="2"/>
  <c r="AH47" i="2"/>
  <c r="F47" i="2" s="1"/>
  <c r="T39" i="2"/>
  <c r="C39" i="2" s="1"/>
  <c r="AI36" i="2"/>
  <c r="AK34" i="2"/>
  <c r="U93" i="2"/>
  <c r="T86" i="2"/>
  <c r="T78" i="2"/>
  <c r="T70" i="2"/>
  <c r="C70" i="2" s="1"/>
  <c r="T62" i="2"/>
  <c r="T53" i="2"/>
  <c r="C53" i="2" s="1"/>
  <c r="AH52" i="2"/>
  <c r="F52" i="2" s="1"/>
  <c r="AI45" i="2"/>
  <c r="AN41" i="2"/>
  <c r="AP39" i="2"/>
  <c r="U37" i="2"/>
  <c r="AH36" i="2"/>
  <c r="AI34" i="2"/>
  <c r="T93" i="2"/>
  <c r="C93" i="2" s="1"/>
  <c r="U85" i="2"/>
  <c r="U77" i="2"/>
  <c r="C77" i="2" s="1"/>
  <c r="U69" i="2"/>
  <c r="U61" i="2"/>
  <c r="AN53" i="2"/>
  <c r="AI50" i="2"/>
  <c r="U46" i="2"/>
  <c r="AH45" i="2"/>
  <c r="AI43" i="2"/>
  <c r="AM41" i="2"/>
  <c r="AN39" i="2"/>
  <c r="T37" i="2"/>
  <c r="C37" i="2" s="1"/>
  <c r="AH34" i="2"/>
  <c r="U94" i="2"/>
  <c r="U84" i="2"/>
  <c r="U76" i="2"/>
  <c r="U68" i="2"/>
  <c r="U60" i="2"/>
  <c r="T51" i="2"/>
  <c r="C51" i="2" s="1"/>
  <c r="T44" i="2"/>
  <c r="C44" i="2" s="1"/>
  <c r="AI41" i="2"/>
  <c r="AK39" i="2"/>
  <c r="T35" i="2"/>
  <c r="C35" i="2" s="1"/>
  <c r="U33" i="2"/>
  <c r="AI32" i="2"/>
  <c r="T94" i="2"/>
  <c r="T84" i="2"/>
  <c r="C84" i="2" s="1"/>
  <c r="T76" i="2"/>
  <c r="T68" i="2"/>
  <c r="T60" i="2"/>
  <c r="AN51" i="2"/>
  <c r="AI48" i="2"/>
  <c r="AM46" i="2"/>
  <c r="AH41" i="2"/>
  <c r="U83" i="2"/>
  <c r="U75" i="2"/>
  <c r="U67" i="2"/>
  <c r="U59" i="2"/>
  <c r="U54" i="2"/>
  <c r="AI53" i="2"/>
  <c r="AM51" i="2"/>
  <c r="U49" i="2"/>
  <c r="AH48" i="2"/>
  <c r="AN44" i="2"/>
  <c r="U42" i="2"/>
  <c r="AH39" i="2"/>
  <c r="F39" i="2" s="1"/>
  <c r="AK37" i="2"/>
  <c r="AN33" i="2"/>
  <c r="T83" i="2"/>
  <c r="C83" i="2" s="1"/>
  <c r="T75" i="2"/>
  <c r="C75" i="2" s="1"/>
  <c r="T67" i="2"/>
  <c r="T59" i="2"/>
  <c r="C59" i="2" s="1"/>
  <c r="T54" i="2"/>
  <c r="AH53" i="2"/>
  <c r="T49" i="2"/>
  <c r="AM44" i="2"/>
  <c r="G44" i="2" s="1"/>
  <c r="T42" i="2"/>
  <c r="U40" i="2"/>
  <c r="U38" i="2"/>
  <c r="AI37" i="2"/>
  <c r="AM33" i="2"/>
  <c r="U31" i="2"/>
  <c r="U82" i="2"/>
  <c r="U74" i="2"/>
  <c r="U66" i="2"/>
  <c r="U58" i="2"/>
  <c r="AP54" i="2"/>
  <c r="AI46" i="2"/>
  <c r="T40" i="2"/>
  <c r="T38" i="2"/>
  <c r="C38" i="2" s="1"/>
  <c r="AH37" i="2"/>
  <c r="F37" i="2" s="1"/>
  <c r="T31" i="2"/>
  <c r="T30" i="2"/>
  <c r="C30" i="2" s="1"/>
  <c r="U101" i="2"/>
  <c r="U81" i="2"/>
  <c r="U73" i="2"/>
  <c r="U65" i="2"/>
  <c r="U57" i="2"/>
  <c r="AM54" i="2"/>
  <c r="G54" i="2" s="1"/>
  <c r="U52" i="2"/>
  <c r="AH51" i="2"/>
  <c r="T47" i="2"/>
  <c r="AH44" i="2"/>
  <c r="F44" i="2" s="1"/>
  <c r="AN38" i="2"/>
  <c r="U36" i="2"/>
  <c r="T102" i="2"/>
  <c r="C102" i="2" s="1"/>
  <c r="U90" i="2"/>
  <c r="U79" i="2"/>
  <c r="U71" i="2"/>
  <c r="U63" i="2"/>
  <c r="Y6" i="2"/>
  <c r="AC7" i="2"/>
  <c r="AI9" i="2"/>
  <c r="G11" i="2"/>
  <c r="AM11" i="2"/>
  <c r="U14" i="2"/>
  <c r="Y16" i="2"/>
  <c r="AC17" i="2"/>
  <c r="AZ17" i="2"/>
  <c r="AI19" i="2"/>
  <c r="AM21" i="2"/>
  <c r="U24" i="2"/>
  <c r="U28" i="2"/>
  <c r="U29" i="2"/>
  <c r="Y30" i="2"/>
  <c r="AD43" i="2"/>
  <c r="AC43" i="2"/>
  <c r="AB43" i="2"/>
  <c r="AP37" i="2"/>
  <c r="AM37" i="2"/>
  <c r="G37" i="2"/>
  <c r="W51" i="2"/>
  <c r="Y41" i="2"/>
  <c r="AK42" i="2"/>
  <c r="AN43" i="2"/>
  <c r="AK49" i="2"/>
  <c r="AM50" i="2"/>
  <c r="AI51" i="2"/>
  <c r="DC42" i="31"/>
  <c r="BT8" i="31" s="1"/>
  <c r="BC9" i="31"/>
  <c r="DC50" i="31"/>
  <c r="BB9" i="31" s="1"/>
  <c r="X5" i="47"/>
  <c r="AF7" i="47"/>
  <c r="T8" i="47"/>
  <c r="T9" i="47"/>
  <c r="AF11" i="47"/>
  <c r="AB12" i="47"/>
  <c r="X13" i="47"/>
  <c r="T14" i="47"/>
  <c r="Q15" i="47"/>
  <c r="X17" i="47"/>
  <c r="T18" i="47"/>
  <c r="Q19" i="47"/>
  <c r="P23" i="47"/>
  <c r="AF27" i="47"/>
  <c r="X5" i="2"/>
  <c r="AB6" i="2"/>
  <c r="AH8" i="2"/>
  <c r="AK9" i="2"/>
  <c r="AN11" i="2"/>
  <c r="T13" i="2"/>
  <c r="C13" i="2" s="1"/>
  <c r="X15" i="2"/>
  <c r="D15" i="2" s="1"/>
  <c r="AB16" i="2"/>
  <c r="E16" i="2" s="1"/>
  <c r="AH18" i="2"/>
  <c r="AK19" i="2"/>
  <c r="AN21" i="2"/>
  <c r="T23" i="2"/>
  <c r="Y35" i="2"/>
  <c r="X35" i="2"/>
  <c r="W46" i="2"/>
  <c r="Y36" i="2"/>
  <c r="X36" i="2"/>
  <c r="Y47" i="2"/>
  <c r="X47" i="2"/>
  <c r="D47" i="2" s="1"/>
  <c r="W57" i="2"/>
  <c r="AD30" i="2"/>
  <c r="AA40" i="2"/>
  <c r="AM31" i="2"/>
  <c r="AM32" i="2"/>
  <c r="G32" i="2" s="1"/>
  <c r="AB33" i="2"/>
  <c r="AN37" i="2"/>
  <c r="X41" i="2"/>
  <c r="AP42" i="2"/>
  <c r="AP49" i="2"/>
  <c r="AN50" i="2"/>
  <c r="Y17" i="47"/>
  <c r="U18" i="47"/>
  <c r="P20" i="47"/>
  <c r="Q23" i="47"/>
  <c r="P24" i="47"/>
  <c r="AG27" i="47"/>
  <c r="Y5" i="2"/>
  <c r="AC6" i="2"/>
  <c r="AH7" i="2"/>
  <c r="F7" i="2" s="1"/>
  <c r="AI8" i="2"/>
  <c r="AM10" i="2"/>
  <c r="T12" i="2"/>
  <c r="U13" i="2"/>
  <c r="X14" i="2"/>
  <c r="Y15" i="2"/>
  <c r="AC16" i="2"/>
  <c r="AH17" i="2"/>
  <c r="AI18" i="2"/>
  <c r="AM20" i="2"/>
  <c r="T22" i="2"/>
  <c r="U23" i="2"/>
  <c r="X25" i="2"/>
  <c r="D25" i="2" s="1"/>
  <c r="X26" i="2"/>
  <c r="D26" i="2" s="1"/>
  <c r="X27" i="2"/>
  <c r="D27" i="2" s="1"/>
  <c r="AB30" i="2"/>
  <c r="AN31" i="2"/>
  <c r="AC33" i="2"/>
  <c r="W40" i="2"/>
  <c r="AA41" i="2"/>
  <c r="AM42" i="2"/>
  <c r="U47" i="2"/>
  <c r="AM49" i="2"/>
  <c r="T64" i="2"/>
  <c r="C64" i="2" s="1"/>
  <c r="T80" i="2"/>
  <c r="Q6" i="47"/>
  <c r="X8" i="47"/>
  <c r="X9" i="47"/>
  <c r="AF12" i="47"/>
  <c r="AB13" i="47"/>
  <c r="X14" i="47"/>
  <c r="T15" i="47"/>
  <c r="AB17" i="47"/>
  <c r="X18" i="47"/>
  <c r="T19" i="47"/>
  <c r="Q20" i="47"/>
  <c r="T23" i="47"/>
  <c r="AB5" i="2"/>
  <c r="E5" i="2" s="1"/>
  <c r="AI7" i="2"/>
  <c r="AM9" i="2"/>
  <c r="G9" i="2" s="1"/>
  <c r="AN10" i="2"/>
  <c r="U12" i="2"/>
  <c r="Y14" i="2"/>
  <c r="AB15" i="2"/>
  <c r="E15" i="2" s="1"/>
  <c r="AI17" i="2"/>
  <c r="AM19" i="2"/>
  <c r="AN20" i="2"/>
  <c r="U22" i="2"/>
  <c r="X24" i="2"/>
  <c r="D24" i="2" s="1"/>
  <c r="Y25" i="2"/>
  <c r="Y26" i="2"/>
  <c r="Y27" i="2"/>
  <c r="X28" i="2"/>
  <c r="D28" i="2" s="1"/>
  <c r="X29" i="2"/>
  <c r="D29" i="2" s="1"/>
  <c r="AC30" i="2"/>
  <c r="G31" i="2"/>
  <c r="AH35" i="2"/>
  <c r="AM36" i="2"/>
  <c r="U64" i="2"/>
  <c r="T66" i="2"/>
  <c r="U80" i="2"/>
  <c r="T82" i="2"/>
  <c r="C82" i="2" s="1"/>
  <c r="T103" i="2"/>
  <c r="C103" i="2" s="1"/>
  <c r="Q7" i="31"/>
  <c r="K43" i="25"/>
  <c r="X16" i="41"/>
  <c r="S16" i="9"/>
  <c r="AA16" i="25"/>
  <c r="AH16" i="21"/>
  <c r="AI8" i="31"/>
  <c r="DC49" i="31"/>
  <c r="AS9" i="31" s="1"/>
  <c r="K46" i="25"/>
  <c r="I46" i="25"/>
  <c r="G46" i="25"/>
  <c r="E46" i="25"/>
  <c r="K79" i="25"/>
  <c r="DD17" i="31"/>
  <c r="Y11" i="31"/>
  <c r="Q12" i="24"/>
  <c r="G35" i="2"/>
  <c r="AN42" i="2"/>
  <c r="AN49" i="2"/>
  <c r="AA29" i="25"/>
  <c r="W29" i="24"/>
  <c r="DP29" i="31"/>
  <c r="DC58" i="31"/>
  <c r="AJ10" i="31" s="1"/>
  <c r="DD67" i="31"/>
  <c r="DC67" i="31" s="1"/>
  <c r="AA11" i="31" s="1"/>
  <c r="DA67" i="31"/>
  <c r="CZ67" i="31"/>
  <c r="S19" i="24"/>
  <c r="L19" i="24" s="1"/>
  <c r="K19" i="24" s="1"/>
  <c r="F19" i="24" s="1"/>
  <c r="P39" i="24"/>
  <c r="G46" i="2"/>
  <c r="CZ15" i="31"/>
  <c r="DD22" i="31"/>
  <c r="BS9" i="31"/>
  <c r="AI10" i="31"/>
  <c r="E50" i="25"/>
  <c r="G50" i="25"/>
  <c r="I50" i="25"/>
  <c r="Q39" i="24"/>
  <c r="AM35" i="2"/>
  <c r="AI5" i="31"/>
  <c r="DA15" i="31"/>
  <c r="K61" i="25"/>
  <c r="I61" i="25"/>
  <c r="G61" i="25"/>
  <c r="E61" i="25"/>
  <c r="I84" i="25"/>
  <c r="G84" i="25"/>
  <c r="E84" i="25"/>
  <c r="K84" i="25"/>
  <c r="P22" i="24"/>
  <c r="P30" i="24"/>
  <c r="X6" i="41"/>
  <c r="AH6" i="21"/>
  <c r="AD5" i="21" s="1"/>
  <c r="M6" i="33"/>
  <c r="I7" i="33" s="1"/>
  <c r="S6" i="9"/>
  <c r="W6" i="24"/>
  <c r="AA6" i="25"/>
  <c r="DA71" i="31"/>
  <c r="DD71" i="31"/>
  <c r="Y6" i="41"/>
  <c r="AI6" i="21"/>
  <c r="N6" i="33"/>
  <c r="T6" i="9"/>
  <c r="DD10" i="31"/>
  <c r="DC10" i="31" s="1"/>
  <c r="BB5" i="31" s="1"/>
  <c r="DA10" i="31"/>
  <c r="BA5" i="31" s="1"/>
  <c r="DC13" i="31"/>
  <c r="CC5" i="31" s="1"/>
  <c r="CZ18" i="31"/>
  <c r="AI6" i="31" s="1"/>
  <c r="DD40" i="31"/>
  <c r="DC40" i="31" s="1"/>
  <c r="BB8" i="31" s="1"/>
  <c r="DA40" i="31"/>
  <c r="BA8" i="31" s="1"/>
  <c r="CZ71" i="31"/>
  <c r="BJ11" i="31" s="1"/>
  <c r="G75" i="25"/>
  <c r="E75" i="25"/>
  <c r="K75" i="25"/>
  <c r="I75" i="25"/>
  <c r="Q41" i="24"/>
  <c r="M13" i="33"/>
  <c r="X13" i="41"/>
  <c r="S13" i="9"/>
  <c r="AH13" i="21"/>
  <c r="AA13" i="25"/>
  <c r="DD23" i="31"/>
  <c r="DC23" i="31" s="1"/>
  <c r="CC6" i="31" s="1"/>
  <c r="DA23" i="31"/>
  <c r="DD28" i="31"/>
  <c r="DA28" i="31"/>
  <c r="CZ28" i="31"/>
  <c r="BI7" i="31"/>
  <c r="DD56" i="31"/>
  <c r="DA56" i="31"/>
  <c r="G43" i="25"/>
  <c r="E43" i="25"/>
  <c r="I43" i="25"/>
  <c r="K87" i="25"/>
  <c r="Q20" i="24"/>
  <c r="D20" i="24" s="1"/>
  <c r="G43" i="2"/>
  <c r="N13" i="33"/>
  <c r="Y13" i="41"/>
  <c r="T13" i="9"/>
  <c r="AI13" i="21"/>
  <c r="AB13" i="25"/>
  <c r="CZ23" i="31"/>
  <c r="CZ56" i="31"/>
  <c r="K54" i="25"/>
  <c r="I54" i="25"/>
  <c r="E54" i="25"/>
  <c r="K77" i="25"/>
  <c r="I77" i="25"/>
  <c r="G77" i="25"/>
  <c r="E77" i="25"/>
  <c r="S20" i="24"/>
  <c r="L20" i="24" s="1"/>
  <c r="K20" i="24" s="1"/>
  <c r="F20" i="24" s="1"/>
  <c r="P31" i="24"/>
  <c r="X5" i="21"/>
  <c r="W5" i="21"/>
  <c r="T5" i="21"/>
  <c r="P5" i="21"/>
  <c r="O5" i="21"/>
  <c r="AB5" i="21"/>
  <c r="AA5" i="21"/>
  <c r="S5" i="21"/>
  <c r="J5" i="21"/>
  <c r="E5" i="21" s="1"/>
  <c r="DD11" i="31"/>
  <c r="DC11" i="31" s="1"/>
  <c r="BK5" i="31" s="1"/>
  <c r="DA11" i="31"/>
  <c r="CZ11" i="31"/>
  <c r="W28" i="24"/>
  <c r="DP28" i="31"/>
  <c r="AA28" i="25"/>
  <c r="DC31" i="31"/>
  <c r="BK7" i="31" s="1"/>
  <c r="CZ69" i="31"/>
  <c r="AR11" i="31" s="1"/>
  <c r="DD69" i="31"/>
  <c r="DC69" i="31" s="1"/>
  <c r="AS11" i="31" s="1"/>
  <c r="I55" i="25"/>
  <c r="X6" i="24"/>
  <c r="DD38" i="31"/>
  <c r="DD43" i="31"/>
  <c r="DC43" i="31" s="1"/>
  <c r="CC8" i="31" s="1"/>
  <c r="DD62" i="31"/>
  <c r="DA69" i="31"/>
  <c r="DA78" i="31"/>
  <c r="DD78" i="31"/>
  <c r="CZ78" i="31"/>
  <c r="I78" i="25"/>
  <c r="DD19" i="31"/>
  <c r="DC19" i="31" s="1"/>
  <c r="AS6" i="31" s="1"/>
  <c r="DD24" i="31"/>
  <c r="DC24" i="31" s="1"/>
  <c r="CL6" i="31" s="1"/>
  <c r="DO30" i="31"/>
  <c r="DD32" i="31"/>
  <c r="DC32" i="31" s="1"/>
  <c r="BT7" i="31" s="1"/>
  <c r="DD34" i="31"/>
  <c r="DC34" i="31" s="1"/>
  <c r="CL7" i="31" s="1"/>
  <c r="DD41" i="31"/>
  <c r="DC41" i="31" s="1"/>
  <c r="BK8" i="31" s="1"/>
  <c r="DD48" i="31"/>
  <c r="DC48" i="31" s="1"/>
  <c r="AJ9" i="31" s="1"/>
  <c r="DE66" i="31"/>
  <c r="S11" i="31" s="1"/>
  <c r="DE77" i="31"/>
  <c r="AB12" i="31" s="1"/>
  <c r="DE84" i="31"/>
  <c r="CM12" i="31" s="1"/>
  <c r="Q7" i="24"/>
  <c r="P12" i="24"/>
  <c r="D12" i="24" s="1"/>
  <c r="P16" i="24"/>
  <c r="D16" i="24" s="1"/>
  <c r="S34" i="24"/>
  <c r="L34" i="24" s="1"/>
  <c r="C5" i="9"/>
  <c r="N16" i="33"/>
  <c r="Y16" i="41"/>
  <c r="T16" i="9"/>
  <c r="AI16" i="21"/>
  <c r="AB16" i="25"/>
  <c r="DD52" i="31"/>
  <c r="DC52" i="31" s="1"/>
  <c r="BT9" i="31" s="1"/>
  <c r="DD65" i="31"/>
  <c r="S43" i="24"/>
  <c r="L43" i="24" s="1"/>
  <c r="K43" i="24" s="1"/>
  <c r="F43" i="24" s="1"/>
  <c r="P41" i="24"/>
  <c r="D41" i="24" s="1"/>
  <c r="S36" i="24"/>
  <c r="L36" i="24" s="1"/>
  <c r="K36" i="24" s="1"/>
  <c r="F36" i="24" s="1"/>
  <c r="Q27" i="24"/>
  <c r="Q21" i="24"/>
  <c r="Q17" i="24"/>
  <c r="P13" i="24"/>
  <c r="Q8" i="24"/>
  <c r="P7" i="24"/>
  <c r="D7" i="24" s="1"/>
  <c r="Q43" i="24"/>
  <c r="Q36" i="24"/>
  <c r="S31" i="24"/>
  <c r="L31" i="24" s="1"/>
  <c r="K31" i="24" s="1"/>
  <c r="F31" i="24" s="1"/>
  <c r="P27" i="24"/>
  <c r="D27" i="24" s="1"/>
  <c r="P21" i="24"/>
  <c r="P17" i="24"/>
  <c r="P8" i="24"/>
  <c r="D8" i="24" s="1"/>
  <c r="P43" i="24"/>
  <c r="S38" i="24"/>
  <c r="L38" i="24" s="1"/>
  <c r="K38" i="24" s="1"/>
  <c r="F38" i="24" s="1"/>
  <c r="P36" i="24"/>
  <c r="Q31" i="24"/>
  <c r="Q22" i="24"/>
  <c r="P38" i="24"/>
  <c r="Q33" i="24"/>
  <c r="Q28" i="24"/>
  <c r="Q23" i="24"/>
  <c r="Q18" i="24"/>
  <c r="Q14" i="24"/>
  <c r="P9" i="24"/>
  <c r="D9" i="24" s="1"/>
  <c r="S40" i="24"/>
  <c r="L40" i="24" s="1"/>
  <c r="P33" i="24"/>
  <c r="P28" i="24"/>
  <c r="S24" i="24"/>
  <c r="L24" i="24" s="1"/>
  <c r="P23" i="24"/>
  <c r="P18" i="24"/>
  <c r="P14" i="24"/>
  <c r="D14" i="24" s="1"/>
  <c r="S5" i="24"/>
  <c r="L5" i="24" s="1"/>
  <c r="Q40" i="24"/>
  <c r="Q24" i="24"/>
  <c r="Q10" i="24"/>
  <c r="Q5" i="24"/>
  <c r="P42" i="24"/>
  <c r="D42" i="24" s="1"/>
  <c r="S37" i="24"/>
  <c r="L37" i="24" s="1"/>
  <c r="K37" i="24" s="1"/>
  <c r="F37" i="24" s="1"/>
  <c r="P35" i="24"/>
  <c r="Q29" i="24"/>
  <c r="P25" i="24"/>
  <c r="D25" i="24" s="1"/>
  <c r="P19" i="24"/>
  <c r="Q15" i="24"/>
  <c r="Q11" i="24"/>
  <c r="P29" i="24"/>
  <c r="D29" i="24" s="1"/>
  <c r="Q35" i="24"/>
  <c r="S39" i="24"/>
  <c r="L39" i="24" s="1"/>
  <c r="U21" i="46"/>
  <c r="U22" i="46" s="1"/>
  <c r="U23" i="46" s="1"/>
  <c r="F6" i="45"/>
  <c r="X7" i="41"/>
  <c r="J5" i="41" s="1"/>
  <c r="M7" i="33"/>
  <c r="I8" i="33" s="1"/>
  <c r="AH7" i="21"/>
  <c r="M5" i="21" s="1"/>
  <c r="S7" i="9"/>
  <c r="AA7" i="25"/>
  <c r="DE21" i="31"/>
  <c r="BL6" i="31" s="1"/>
  <c r="DE26" i="31"/>
  <c r="S7" i="31" s="1"/>
  <c r="CZ31" i="31"/>
  <c r="BJ7" i="31" s="1"/>
  <c r="CZ33" i="31"/>
  <c r="CZ42" i="31"/>
  <c r="CZ49" i="31"/>
  <c r="AR9" i="31" s="1"/>
  <c r="CZ65" i="31"/>
  <c r="DD76" i="31"/>
  <c r="CZ76" i="31"/>
  <c r="DA83" i="31"/>
  <c r="E55" i="25"/>
  <c r="K58" i="25"/>
  <c r="I58" i="25"/>
  <c r="G78" i="25"/>
  <c r="P6" i="24"/>
  <c r="S27" i="24"/>
  <c r="L27" i="24" s="1"/>
  <c r="K27" i="24" s="1"/>
  <c r="F27" i="24" s="1"/>
  <c r="S29" i="24"/>
  <c r="L29" i="24" s="1"/>
  <c r="S35" i="24"/>
  <c r="L35" i="24" s="1"/>
  <c r="AI17" i="21"/>
  <c r="K12" i="9"/>
  <c r="K9" i="9"/>
  <c r="C9" i="9" s="1"/>
  <c r="O14" i="9"/>
  <c r="L11" i="9"/>
  <c r="O9" i="9"/>
  <c r="L17" i="9"/>
  <c r="C17" i="9" s="1"/>
  <c r="S9" i="46"/>
  <c r="Y7" i="41"/>
  <c r="T7" i="9"/>
  <c r="DE80" i="31"/>
  <c r="BC12" i="31" s="1"/>
  <c r="DE57" i="31"/>
  <c r="AB10" i="31" s="1"/>
  <c r="DE78" i="31"/>
  <c r="AK12" i="31" s="1"/>
  <c r="DE71" i="31"/>
  <c r="BL11" i="31" s="1"/>
  <c r="DE64" i="31"/>
  <c r="CM10" i="31" s="1"/>
  <c r="AB7" i="25"/>
  <c r="DE76" i="31"/>
  <c r="S12" i="31" s="1"/>
  <c r="DE69" i="31"/>
  <c r="AT11" i="31" s="1"/>
  <c r="DE62" i="31"/>
  <c r="BU10" i="31" s="1"/>
  <c r="DE67" i="31"/>
  <c r="AB11" i="31" s="1"/>
  <c r="DE60" i="31"/>
  <c r="BC10" i="31" s="1"/>
  <c r="DE79" i="31"/>
  <c r="AT12" i="31" s="1"/>
  <c r="DE72" i="31"/>
  <c r="BU11" i="31" s="1"/>
  <c r="DE8" i="31"/>
  <c r="N21" i="33"/>
  <c r="Y21" i="41"/>
  <c r="AI21" i="21"/>
  <c r="DA31" i="31"/>
  <c r="DA33" i="31"/>
  <c r="DE38" i="31"/>
  <c r="AK8" i="31" s="1"/>
  <c r="DA42" i="31"/>
  <c r="DA49" i="31"/>
  <c r="DE58" i="31"/>
  <c r="AK10" i="31" s="1"/>
  <c r="DA65" i="31"/>
  <c r="DA76" i="31"/>
  <c r="CZ83" i="31"/>
  <c r="G55" i="25"/>
  <c r="I59" i="25"/>
  <c r="K74" i="25"/>
  <c r="I74" i="25"/>
  <c r="Q6" i="24"/>
  <c r="L12" i="9"/>
  <c r="M8" i="33"/>
  <c r="S8" i="9"/>
  <c r="X8" i="41"/>
  <c r="T6" i="41" s="1"/>
  <c r="AB17" i="25"/>
  <c r="E51" i="25"/>
  <c r="K62" i="25"/>
  <c r="S6" i="24"/>
  <c r="L6" i="24" s="1"/>
  <c r="AJ12" i="24"/>
  <c r="AM12" i="24" s="1"/>
  <c r="AJ21" i="24"/>
  <c r="AM21" i="24" s="1"/>
  <c r="P11" i="24"/>
  <c r="D11" i="24" s="1"/>
  <c r="P24" i="24"/>
  <c r="D24" i="24" s="1"/>
  <c r="P32" i="24"/>
  <c r="O17" i="9"/>
  <c r="C9" i="33"/>
  <c r="U4" i="46"/>
  <c r="U5" i="46" s="1"/>
  <c r="U6" i="46" s="1"/>
  <c r="U7" i="46" s="1"/>
  <c r="U8" i="46" s="1"/>
  <c r="M9" i="33"/>
  <c r="W9" i="24"/>
  <c r="X9" i="41"/>
  <c r="AH9" i="21"/>
  <c r="M12" i="33"/>
  <c r="AA12" i="25"/>
  <c r="X12" i="41"/>
  <c r="CZ17" i="31"/>
  <c r="X18" i="24"/>
  <c r="N18" i="33"/>
  <c r="AB18" i="25"/>
  <c r="Y18" i="41"/>
  <c r="DE23" i="31"/>
  <c r="CD6" i="31" s="1"/>
  <c r="CZ37" i="31"/>
  <c r="DE40" i="31"/>
  <c r="BC8" i="31" s="1"/>
  <c r="DE47" i="31"/>
  <c r="AB9" i="31" s="1"/>
  <c r="DE56" i="31"/>
  <c r="S10" i="31" s="1"/>
  <c r="DA61" i="31"/>
  <c r="CZ61" i="31"/>
  <c r="CZ72" i="31"/>
  <c r="G44" i="25"/>
  <c r="K78" i="25"/>
  <c r="I85" i="25"/>
  <c r="S11" i="24"/>
  <c r="L11" i="24" s="1"/>
  <c r="K11" i="24" s="1"/>
  <c r="F11" i="24" s="1"/>
  <c r="S17" i="24"/>
  <c r="L17" i="24" s="1"/>
  <c r="K17" i="24" s="1"/>
  <c r="F17" i="24" s="1"/>
  <c r="Q32" i="24"/>
  <c r="P40" i="24"/>
  <c r="D40" i="24" s="1"/>
  <c r="CZ5" i="31"/>
  <c r="H5" i="31" s="1"/>
  <c r="X10" i="41"/>
  <c r="S10" i="9"/>
  <c r="AA10" i="25"/>
  <c r="M10" i="33"/>
  <c r="AH10" i="21"/>
  <c r="S11" i="9"/>
  <c r="W11" i="24"/>
  <c r="M11" i="33"/>
  <c r="X11" i="41"/>
  <c r="AA11" i="25"/>
  <c r="DP12" i="31"/>
  <c r="DD55" i="31" s="1"/>
  <c r="DC55" i="31" s="1"/>
  <c r="I10" i="31" s="1"/>
  <c r="DP15" i="31"/>
  <c r="DA17" i="31"/>
  <c r="CZ27" i="31"/>
  <c r="Z7" i="31" s="1"/>
  <c r="DE28" i="31"/>
  <c r="AK7" i="31" s="1"/>
  <c r="DE31" i="31"/>
  <c r="BL7" i="31" s="1"/>
  <c r="DE33" i="31"/>
  <c r="CD7" i="31" s="1"/>
  <c r="DA37" i="31"/>
  <c r="CZ53" i="31"/>
  <c r="CB9" i="31" s="1"/>
  <c r="DE65" i="31"/>
  <c r="J11" i="31" s="1"/>
  <c r="DA72" i="31"/>
  <c r="DD74" i="31"/>
  <c r="DC74" i="31" s="1"/>
  <c r="CL11" i="31" s="1"/>
  <c r="G59" i="25"/>
  <c r="E59" i="25"/>
  <c r="K63" i="25"/>
  <c r="Q13" i="24"/>
  <c r="P15" i="24"/>
  <c r="D15" i="24" s="1"/>
  <c r="Q19" i="24"/>
  <c r="S32" i="24"/>
  <c r="L32" i="24" s="1"/>
  <c r="K32" i="24" s="1"/>
  <c r="F32" i="24" s="1"/>
  <c r="AI7" i="21"/>
  <c r="O15" i="9"/>
  <c r="T14" i="46"/>
  <c r="N22" i="46"/>
  <c r="T43" i="46" s="1"/>
  <c r="U43" i="46" s="1"/>
  <c r="S12" i="9"/>
  <c r="DE14" i="31"/>
  <c r="CM5" i="31" s="1"/>
  <c r="DE20" i="31"/>
  <c r="BC6" i="31" s="1"/>
  <c r="DA22" i="31"/>
  <c r="BS6" i="31" s="1"/>
  <c r="DA30" i="31"/>
  <c r="DA39" i="31"/>
  <c r="AR8" i="31" s="1"/>
  <c r="DA46" i="31"/>
  <c r="DD51" i="31"/>
  <c r="DC51" i="31" s="1"/>
  <c r="BK9" i="31" s="1"/>
  <c r="DD57" i="31"/>
  <c r="DC57" i="31" s="1"/>
  <c r="AA10" i="31" s="1"/>
  <c r="CZ57" i="31"/>
  <c r="Z10" i="31" s="1"/>
  <c r="DD61" i="31"/>
  <c r="DA68" i="31"/>
  <c r="CZ68" i="31"/>
  <c r="DA79" i="31"/>
  <c r="AR12" i="31" s="1"/>
  <c r="DE81" i="31"/>
  <c r="BL12" i="31" s="1"/>
  <c r="K45" i="25"/>
  <c r="I45" i="25"/>
  <c r="G45" i="25"/>
  <c r="I52" i="25"/>
  <c r="G52" i="25"/>
  <c r="E52" i="25"/>
  <c r="Q30" i="24"/>
  <c r="P37" i="24"/>
  <c r="D37" i="24" s="1"/>
  <c r="S41" i="24"/>
  <c r="L41" i="24" s="1"/>
  <c r="K41" i="24" s="1"/>
  <c r="F41" i="24" s="1"/>
  <c r="K6" i="9"/>
  <c r="C6" i="9" s="1"/>
  <c r="L8" i="9"/>
  <c r="C8" i="9" s="1"/>
  <c r="R33" i="46"/>
  <c r="S32" i="46" s="1"/>
  <c r="M32" i="46"/>
  <c r="L33" i="46"/>
  <c r="Y20" i="41"/>
  <c r="T20" i="9"/>
  <c r="AB20" i="25"/>
  <c r="N20" i="33"/>
  <c r="DE51" i="31"/>
  <c r="BL9" i="31" s="1"/>
  <c r="DD59" i="31"/>
  <c r="DC59" i="31" s="1"/>
  <c r="AS10" i="31" s="1"/>
  <c r="DE61" i="31"/>
  <c r="BL10" i="31" s="1"/>
  <c r="AA8" i="25"/>
  <c r="E87" i="25"/>
  <c r="P5" i="24"/>
  <c r="D5" i="24" s="1"/>
  <c r="W8" i="24"/>
  <c r="S21" i="24" s="1"/>
  <c r="L21" i="24" s="1"/>
  <c r="K21" i="24" s="1"/>
  <c r="F21" i="24" s="1"/>
  <c r="P10" i="24"/>
  <c r="S23" i="24"/>
  <c r="L23" i="24" s="1"/>
  <c r="P26" i="24"/>
  <c r="S30" i="24"/>
  <c r="L30" i="24" s="1"/>
  <c r="S33" i="24"/>
  <c r="L33" i="24" s="1"/>
  <c r="K33" i="24" s="1"/>
  <c r="F33" i="24" s="1"/>
  <c r="Q37" i="24"/>
  <c r="O8" i="9"/>
  <c r="O18" i="9"/>
  <c r="T21" i="9"/>
  <c r="CZ13" i="31"/>
  <c r="CB5" i="31" s="1"/>
  <c r="DP14" i="31"/>
  <c r="CZ16" i="31"/>
  <c r="Q6" i="31" s="1"/>
  <c r="DE17" i="31"/>
  <c r="AB6" i="31" s="1"/>
  <c r="CZ32" i="31"/>
  <c r="BS7" i="31" s="1"/>
  <c r="CZ34" i="31"/>
  <c r="CK7" i="31" s="1"/>
  <c r="DE37" i="31"/>
  <c r="AB8" i="31" s="1"/>
  <c r="DE59" i="31"/>
  <c r="AT10" i="31" s="1"/>
  <c r="DA66" i="31"/>
  <c r="Q11" i="31" s="1"/>
  <c r="DD70" i="31"/>
  <c r="DC70" i="31" s="1"/>
  <c r="BB11" i="31" s="1"/>
  <c r="G87" i="25"/>
  <c r="X21" i="24"/>
  <c r="AJ24" i="24"/>
  <c r="AM24" i="24" s="1"/>
  <c r="Q26" i="24"/>
  <c r="S28" i="24"/>
  <c r="L28" i="24" s="1"/>
  <c r="K28" i="24" s="1"/>
  <c r="F28" i="24" s="1"/>
  <c r="AH8" i="21"/>
  <c r="T17" i="9"/>
  <c r="N17" i="33"/>
  <c r="Y17" i="41"/>
  <c r="DE27" i="31"/>
  <c r="AB7" i="31" s="1"/>
  <c r="DE53" i="31"/>
  <c r="CD9" i="31" s="1"/>
  <c r="DD68" i="31"/>
  <c r="DC68" i="31" s="1"/>
  <c r="AJ11" i="31" s="1"/>
  <c r="DE70" i="31"/>
  <c r="BC11" i="31" s="1"/>
  <c r="DA75" i="31"/>
  <c r="CZ75" i="31"/>
  <c r="H12" i="31" s="1"/>
  <c r="G60" i="25"/>
  <c r="E83" i="25"/>
  <c r="I87" i="25"/>
  <c r="W10" i="24"/>
  <c r="S25" i="24" s="1"/>
  <c r="L25" i="24" s="1"/>
  <c r="K25" i="24" s="1"/>
  <c r="F25" i="24" s="1"/>
  <c r="S26" i="24"/>
  <c r="L26" i="24" s="1"/>
  <c r="K26" i="24" s="1"/>
  <c r="F26" i="24" s="1"/>
  <c r="P34" i="24"/>
  <c r="D34" i="24" s="1"/>
  <c r="DE22" i="31"/>
  <c r="BU6" i="31" s="1"/>
  <c r="DO27" i="31"/>
  <c r="DE30" i="31"/>
  <c r="DE39" i="31"/>
  <c r="AT8" i="31" s="1"/>
  <c r="DE46" i="31"/>
  <c r="S9" i="31" s="1"/>
  <c r="DE55" i="31"/>
  <c r="J10" i="31" s="1"/>
  <c r="CZ64" i="31"/>
  <c r="CK10" i="31" s="1"/>
  <c r="DD66" i="31"/>
  <c r="DC66" i="31" s="1"/>
  <c r="R11" i="31" s="1"/>
  <c r="DE68" i="31"/>
  <c r="AK11" i="31" s="1"/>
  <c r="DD73" i="31"/>
  <c r="DD77" i="31"/>
  <c r="DC77" i="31" s="1"/>
  <c r="AA12" i="31" s="1"/>
  <c r="DD84" i="31"/>
  <c r="DC84" i="31" s="1"/>
  <c r="CL12" i="31" s="1"/>
  <c r="K42" i="25"/>
  <c r="I42" i="25"/>
  <c r="G76" i="25"/>
  <c r="Q34" i="24"/>
  <c r="Q38" i="24"/>
  <c r="AH12" i="21"/>
  <c r="O16" i="9"/>
  <c r="T18" i="9"/>
  <c r="N7" i="33"/>
  <c r="T23" i="46"/>
  <c r="G11" i="33"/>
  <c r="C11" i="33" s="1"/>
  <c r="M25" i="46"/>
  <c r="K11" i="9"/>
  <c r="C11" i="9" s="1"/>
  <c r="F8" i="33"/>
  <c r="I11" i="33"/>
  <c r="K16" i="9"/>
  <c r="C16" i="9" s="1"/>
  <c r="R28" i="46"/>
  <c r="S27" i="46" s="1"/>
  <c r="G7" i="41"/>
  <c r="L7" i="9"/>
  <c r="C7" i="9" s="1"/>
  <c r="O11" i="9"/>
  <c r="L16" i="9"/>
  <c r="G6" i="41"/>
  <c r="H7" i="41"/>
  <c r="K13" i="9"/>
  <c r="C13" i="9" s="1"/>
  <c r="G5" i="33"/>
  <c r="F10" i="33"/>
  <c r="R25" i="46"/>
  <c r="S24" i="46" s="1"/>
  <c r="G5" i="41"/>
  <c r="H6" i="41"/>
  <c r="J7" i="41"/>
  <c r="DA73" i="31"/>
  <c r="CB11" i="31" s="1"/>
  <c r="DA80" i="31"/>
  <c r="BA12" i="31" s="1"/>
  <c r="G47" i="25"/>
  <c r="G63" i="25"/>
  <c r="G79" i="25"/>
  <c r="O7" i="9"/>
  <c r="K10" i="9"/>
  <c r="C10" i="9" s="1"/>
  <c r="L13" i="9"/>
  <c r="G10" i="33"/>
  <c r="H5" i="41"/>
  <c r="J6" i="41"/>
  <c r="L7" i="41"/>
  <c r="L10" i="9"/>
  <c r="K18" i="9"/>
  <c r="F7" i="33"/>
  <c r="L6" i="41"/>
  <c r="M7" i="41"/>
  <c r="L6" i="9"/>
  <c r="O13" i="9"/>
  <c r="L18" i="9"/>
  <c r="G7" i="33"/>
  <c r="L5" i="41"/>
  <c r="M6" i="41"/>
  <c r="O7" i="41"/>
  <c r="O10" i="9"/>
  <c r="K15" i="9"/>
  <c r="C15" i="9" s="1"/>
  <c r="B9" i="33"/>
  <c r="R27" i="46"/>
  <c r="S26" i="46" s="1"/>
  <c r="M5" i="41"/>
  <c r="O6" i="41"/>
  <c r="Q7" i="41"/>
  <c r="O6" i="9"/>
  <c r="O5" i="41"/>
  <c r="Q6" i="41"/>
  <c r="R7" i="41"/>
  <c r="Q5" i="41"/>
  <c r="R6" i="41"/>
  <c r="T7" i="41"/>
  <c r="F6" i="33"/>
  <c r="B6" i="33" s="1"/>
  <c r="O5" i="46"/>
  <c r="T5" i="46" s="1"/>
  <c r="R29" i="46"/>
  <c r="S28" i="46" s="1"/>
  <c r="I6" i="33"/>
  <c r="AY39" i="1" l="1"/>
  <c r="AZ39" i="1" s="1"/>
  <c r="BG39" i="1"/>
  <c r="AE5" i="21"/>
  <c r="R72" i="25"/>
  <c r="BD38" i="1"/>
  <c r="DH38" i="1"/>
  <c r="DE38" i="1"/>
  <c r="N38" i="1"/>
  <c r="BR38" i="1"/>
  <c r="DK38" i="1"/>
  <c r="BE38" i="1"/>
  <c r="DN38" i="1"/>
  <c r="M38" i="1"/>
  <c r="AY26" i="1"/>
  <c r="AZ13" i="1"/>
  <c r="AZ26" i="1" s="1"/>
  <c r="I5" i="33"/>
  <c r="G73" i="25"/>
  <c r="E73" i="25"/>
  <c r="I73" i="25"/>
  <c r="K73" i="25"/>
  <c r="BG21" i="1"/>
  <c r="I9" i="33"/>
  <c r="C10" i="33"/>
  <c r="B10" i="33"/>
  <c r="DC61" i="31"/>
  <c r="BK10" i="31" s="1"/>
  <c r="D32" i="24"/>
  <c r="DC72" i="31"/>
  <c r="BT11" i="31" s="1"/>
  <c r="F5" i="21"/>
  <c r="DD45" i="31"/>
  <c r="S16" i="24"/>
  <c r="L16" i="24" s="1"/>
  <c r="K16" i="24" s="1"/>
  <c r="S8" i="24"/>
  <c r="L8" i="24" s="1"/>
  <c r="K8" i="24" s="1"/>
  <c r="DC80" i="31"/>
  <c r="BB12" i="31" s="1"/>
  <c r="Z11" i="31"/>
  <c r="E30" i="2"/>
  <c r="C90" i="2"/>
  <c r="C72" i="2"/>
  <c r="F27" i="2"/>
  <c r="H8" i="47"/>
  <c r="F11" i="44"/>
  <c r="EA52" i="1"/>
  <c r="DZ52" i="1"/>
  <c r="DW50" i="1"/>
  <c r="DX50" i="1"/>
  <c r="DO34" i="1"/>
  <c r="DN34" i="1"/>
  <c r="DO27" i="1"/>
  <c r="DN27" i="1"/>
  <c r="DK26" i="1"/>
  <c r="DL26" i="1"/>
  <c r="EA22" i="1"/>
  <c r="DZ22" i="1"/>
  <c r="Q51" i="25"/>
  <c r="S51" i="25"/>
  <c r="S39" i="25"/>
  <c r="Q39" i="25"/>
  <c r="DX17" i="1"/>
  <c r="DW17" i="1"/>
  <c r="BG34" i="1"/>
  <c r="Q55" i="25"/>
  <c r="S55" i="25"/>
  <c r="N15" i="33"/>
  <c r="Y15" i="41"/>
  <c r="T15" i="9"/>
  <c r="AI15" i="21"/>
  <c r="DO15" i="31"/>
  <c r="DE82" i="31"/>
  <c r="BU12" i="31" s="1"/>
  <c r="DD82" i="31"/>
  <c r="DC82" i="31" s="1"/>
  <c r="BT12" i="31" s="1"/>
  <c r="AB15" i="25"/>
  <c r="DD63" i="31"/>
  <c r="DC63" i="31" s="1"/>
  <c r="CC10" i="31" s="1"/>
  <c r="DE73" i="31"/>
  <c r="CD11" i="31" s="1"/>
  <c r="AV15" i="2"/>
  <c r="AL15" i="47"/>
  <c r="AV15" i="44"/>
  <c r="Z6" i="31"/>
  <c r="CB12" i="31"/>
  <c r="DD83" i="31"/>
  <c r="U24" i="46"/>
  <c r="U25" i="46" s="1"/>
  <c r="U26" i="46" s="1"/>
  <c r="U27" i="46" s="1"/>
  <c r="U28" i="46" s="1"/>
  <c r="U29" i="46" s="1"/>
  <c r="U30" i="46" s="1"/>
  <c r="U31" i="46" s="1"/>
  <c r="U32" i="46" s="1"/>
  <c r="C66" i="2"/>
  <c r="E8" i="47"/>
  <c r="W67" i="2"/>
  <c r="Y57" i="2"/>
  <c r="X57" i="2"/>
  <c r="D57" i="2" s="1"/>
  <c r="Q86" i="25"/>
  <c r="S86" i="25"/>
  <c r="Y43" i="2"/>
  <c r="X43" i="2"/>
  <c r="W53" i="2"/>
  <c r="E8" i="2"/>
  <c r="E19" i="2"/>
  <c r="DC64" i="31"/>
  <c r="CL10" i="31" s="1"/>
  <c r="E20" i="2"/>
  <c r="F22" i="2"/>
  <c r="F8" i="47"/>
  <c r="I5" i="47"/>
  <c r="D7" i="47"/>
  <c r="DL60" i="1"/>
  <c r="DK60" i="1"/>
  <c r="E53" i="2"/>
  <c r="DK45" i="1"/>
  <c r="DL45" i="1"/>
  <c r="CK50" i="1"/>
  <c r="CL50" i="1" s="1"/>
  <c r="CM50" i="1" s="1"/>
  <c r="CJ50" i="1"/>
  <c r="CI51" i="1"/>
  <c r="DK46" i="1"/>
  <c r="DL46" i="1"/>
  <c r="DL61" i="1"/>
  <c r="DK61" i="1"/>
  <c r="S48" i="25"/>
  <c r="Q48" i="25"/>
  <c r="BE26" i="1"/>
  <c r="BD26" i="1"/>
  <c r="BG26" i="1" s="1"/>
  <c r="T5" i="41"/>
  <c r="DN7" i="1"/>
  <c r="DO7" i="1"/>
  <c r="DN9" i="1"/>
  <c r="DO9" i="1"/>
  <c r="S27" i="9"/>
  <c r="M27" i="33"/>
  <c r="W27" i="24"/>
  <c r="AH27" i="21"/>
  <c r="DP27" i="31"/>
  <c r="AA27" i="25"/>
  <c r="AU27" i="2"/>
  <c r="AZ27" i="2" s="1"/>
  <c r="AU27" i="44"/>
  <c r="T14" i="9"/>
  <c r="N14" i="33"/>
  <c r="Y14" i="41"/>
  <c r="DO14" i="31"/>
  <c r="AI14" i="21"/>
  <c r="AB14" i="25"/>
  <c r="AV14" i="2"/>
  <c r="AL14" i="47"/>
  <c r="AV14" i="44"/>
  <c r="DD44" i="31"/>
  <c r="N12" i="33"/>
  <c r="AB12" i="25"/>
  <c r="Y12" i="41"/>
  <c r="AI12" i="21"/>
  <c r="T12" i="9"/>
  <c r="DE5" i="31"/>
  <c r="J5" i="31" s="1"/>
  <c r="DE15" i="31"/>
  <c r="J6" i="31" s="1"/>
  <c r="DL5" i="31"/>
  <c r="DD25" i="31"/>
  <c r="DD35" i="31"/>
  <c r="AL12" i="47"/>
  <c r="AV12" i="2"/>
  <c r="AV12" i="44"/>
  <c r="Q12" i="31"/>
  <c r="D38" i="24"/>
  <c r="X28" i="24"/>
  <c r="AB28" i="25"/>
  <c r="AV28" i="2"/>
  <c r="D31" i="24"/>
  <c r="S46" i="25"/>
  <c r="Q46" i="25"/>
  <c r="C22" i="2"/>
  <c r="E43" i="2"/>
  <c r="C60" i="2"/>
  <c r="C48" i="2"/>
  <c r="C96" i="2"/>
  <c r="E11" i="2"/>
  <c r="F10" i="44"/>
  <c r="F7" i="44"/>
  <c r="DT55" i="1"/>
  <c r="DU55" i="1"/>
  <c r="DT48" i="1"/>
  <c r="DU48" i="1"/>
  <c r="BE39" i="1"/>
  <c r="DN30" i="1"/>
  <c r="DO30" i="1"/>
  <c r="DR56" i="1"/>
  <c r="DQ56" i="1"/>
  <c r="Q54" i="25"/>
  <c r="S54" i="25"/>
  <c r="CF13" i="1"/>
  <c r="CD13" i="1"/>
  <c r="CB13" i="1"/>
  <c r="DQ5" i="1"/>
  <c r="DR5" i="1"/>
  <c r="M37" i="1"/>
  <c r="AD38" i="2"/>
  <c r="AC38" i="2"/>
  <c r="AB38" i="2"/>
  <c r="AA48" i="2"/>
  <c r="DT14" i="1"/>
  <c r="DU14" i="1"/>
  <c r="AA30" i="25"/>
  <c r="AU30" i="2"/>
  <c r="AZ30" i="2" s="1"/>
  <c r="DP30" i="31"/>
  <c r="S85" i="25"/>
  <c r="Q85" i="25"/>
  <c r="C6" i="41"/>
  <c r="S52" i="25"/>
  <c r="Q52" i="25"/>
  <c r="DC76" i="31"/>
  <c r="R12" i="31" s="1"/>
  <c r="S9" i="24"/>
  <c r="L9" i="24" s="1"/>
  <c r="K9" i="24" s="1"/>
  <c r="F9" i="24" s="1"/>
  <c r="D13" i="24"/>
  <c r="AI12" i="31"/>
  <c r="D30" i="24"/>
  <c r="S50" i="25"/>
  <c r="Q50" i="25"/>
  <c r="DD15" i="31"/>
  <c r="H7" i="47"/>
  <c r="E6" i="2"/>
  <c r="C68" i="2"/>
  <c r="F34" i="2"/>
  <c r="C41" i="2"/>
  <c r="F32" i="2"/>
  <c r="S57" i="25"/>
  <c r="Q57" i="25"/>
  <c r="AC45" i="2"/>
  <c r="AB45" i="2"/>
  <c r="E45" i="2" s="1"/>
  <c r="AA55" i="2"/>
  <c r="AD45" i="2"/>
  <c r="F9" i="44"/>
  <c r="DR51" i="1"/>
  <c r="DQ51" i="1"/>
  <c r="AY23" i="1"/>
  <c r="AZ23" i="1" s="1"/>
  <c r="DL29" i="1"/>
  <c r="DK29" i="1"/>
  <c r="S88" i="25"/>
  <c r="Q88" i="25"/>
  <c r="DO18" i="1"/>
  <c r="DN18" i="1"/>
  <c r="E24" i="2"/>
  <c r="K65" i="25"/>
  <c r="I65" i="25"/>
  <c r="G65" i="25"/>
  <c r="E65" i="25"/>
  <c r="C8" i="2"/>
  <c r="Q79" i="25"/>
  <c r="S79" i="25"/>
  <c r="S76" i="25"/>
  <c r="Q76" i="25"/>
  <c r="DE44" i="31"/>
  <c r="CM8" i="31" s="1"/>
  <c r="DE35" i="31"/>
  <c r="J8" i="31" s="1"/>
  <c r="S44" i="25"/>
  <c r="Q44" i="25"/>
  <c r="DE83" i="31"/>
  <c r="CD12" i="31" s="1"/>
  <c r="H11" i="31"/>
  <c r="S10" i="24"/>
  <c r="L10" i="24" s="1"/>
  <c r="K10" i="24" s="1"/>
  <c r="F10" i="24" s="1"/>
  <c r="S18" i="24"/>
  <c r="L18" i="24" s="1"/>
  <c r="K18" i="24" s="1"/>
  <c r="F18" i="24" s="1"/>
  <c r="DC78" i="31"/>
  <c r="AJ12" i="31" s="1"/>
  <c r="BJ5" i="31"/>
  <c r="D22" i="24"/>
  <c r="X29" i="24"/>
  <c r="AB29" i="25"/>
  <c r="AV29" i="2"/>
  <c r="C80" i="2"/>
  <c r="D36" i="2"/>
  <c r="D5" i="2"/>
  <c r="C76" i="2"/>
  <c r="C74" i="2"/>
  <c r="S82" i="25"/>
  <c r="Q82" i="25"/>
  <c r="C36" i="2"/>
  <c r="AA56" i="2"/>
  <c r="AD46" i="2"/>
  <c r="AC46" i="2"/>
  <c r="AB46" i="2"/>
  <c r="E46" i="2" s="1"/>
  <c r="F5" i="47"/>
  <c r="H6" i="47"/>
  <c r="D39" i="2"/>
  <c r="DO47" i="1"/>
  <c r="DN47" i="1"/>
  <c r="DT41" i="1"/>
  <c r="DU41" i="1"/>
  <c r="K64" i="25"/>
  <c r="I64" i="25"/>
  <c r="G64" i="25"/>
  <c r="E64" i="25"/>
  <c r="R70" i="25"/>
  <c r="BE36" i="1"/>
  <c r="BD36" i="1"/>
  <c r="DE36" i="1"/>
  <c r="N36" i="1"/>
  <c r="BR36" i="1"/>
  <c r="DO16" i="1"/>
  <c r="DN16" i="1"/>
  <c r="BG42" i="1"/>
  <c r="Q63" i="25"/>
  <c r="S63" i="25"/>
  <c r="DE54" i="31"/>
  <c r="CM9" i="31" s="1"/>
  <c r="S77" i="25"/>
  <c r="Q77" i="25"/>
  <c r="F17" i="2"/>
  <c r="DC81" i="31"/>
  <c r="BK12" i="31" s="1"/>
  <c r="C24" i="2"/>
  <c r="DC20" i="31"/>
  <c r="BB6" i="31" s="1"/>
  <c r="AD47" i="2"/>
  <c r="AC47" i="2"/>
  <c r="AA57" i="2"/>
  <c r="AB47" i="2"/>
  <c r="G14" i="2"/>
  <c r="DC60" i="31"/>
  <c r="BB10" i="31" s="1"/>
  <c r="C69" i="2"/>
  <c r="C95" i="2"/>
  <c r="Y49" i="2"/>
  <c r="W59" i="2"/>
  <c r="X49" i="2"/>
  <c r="D49" i="2" s="1"/>
  <c r="DO35" i="1"/>
  <c r="DN35" i="1"/>
  <c r="DN43" i="1"/>
  <c r="DO43" i="1"/>
  <c r="DK25" i="1"/>
  <c r="DL25" i="1"/>
  <c r="S58" i="25"/>
  <c r="Q58" i="25"/>
  <c r="Q83" i="25"/>
  <c r="S83" i="25"/>
  <c r="DO37" i="1"/>
  <c r="DN37" i="1"/>
  <c r="BG44" i="1"/>
  <c r="BG41" i="1"/>
  <c r="CK8" i="1"/>
  <c r="CL8" i="1" s="1"/>
  <c r="CM8" i="1" s="1"/>
  <c r="CI9" i="1"/>
  <c r="CJ8" i="1"/>
  <c r="Y51" i="2"/>
  <c r="W61" i="2"/>
  <c r="X51" i="2"/>
  <c r="AC34" i="2"/>
  <c r="AD34" i="2"/>
  <c r="AB34" i="2"/>
  <c r="AA44" i="2"/>
  <c r="DR12" i="1"/>
  <c r="DQ12" i="1"/>
  <c r="C7" i="41"/>
  <c r="S45" i="25"/>
  <c r="Q45" i="25"/>
  <c r="BS11" i="31"/>
  <c r="Q47" i="25"/>
  <c r="S47" i="25"/>
  <c r="DE25" i="31"/>
  <c r="J7" i="31" s="1"/>
  <c r="Q59" i="25"/>
  <c r="S59" i="25"/>
  <c r="BJ10" i="31"/>
  <c r="C12" i="9"/>
  <c r="BS8" i="31"/>
  <c r="D18" i="24"/>
  <c r="D36" i="24"/>
  <c r="DC46" i="31"/>
  <c r="R9" i="31" s="1"/>
  <c r="G49" i="2"/>
  <c r="DC79" i="31"/>
  <c r="AS12" i="31" s="1"/>
  <c r="X46" i="2"/>
  <c r="W56" i="2"/>
  <c r="Y46" i="2"/>
  <c r="D8" i="47"/>
  <c r="DC39" i="31"/>
  <c r="AS8" i="31" s="1"/>
  <c r="C31" i="2"/>
  <c r="C42" i="2"/>
  <c r="C94" i="2"/>
  <c r="Q5" i="31"/>
  <c r="C27" i="2"/>
  <c r="E32" i="2"/>
  <c r="C58" i="2"/>
  <c r="G39" i="2"/>
  <c r="C17" i="2"/>
  <c r="DC33" i="31"/>
  <c r="CC7" i="31" s="1"/>
  <c r="C85" i="2"/>
  <c r="E7" i="47"/>
  <c r="F6" i="44"/>
  <c r="DN40" i="1"/>
  <c r="DO40" i="1"/>
  <c r="DO19" i="1"/>
  <c r="DN19" i="1"/>
  <c r="S62" i="25"/>
  <c r="Q62" i="25"/>
  <c r="S49" i="25"/>
  <c r="Q49" i="25"/>
  <c r="EA24" i="1"/>
  <c r="DZ24" i="1"/>
  <c r="DK11" i="1"/>
  <c r="DL11" i="1"/>
  <c r="BG27" i="1"/>
  <c r="CP7" i="1"/>
  <c r="CN7" i="1"/>
  <c r="CO7" i="1" s="1"/>
  <c r="EA13" i="1"/>
  <c r="DZ13" i="1"/>
  <c r="DO54" i="1"/>
  <c r="DN54" i="1"/>
  <c r="S56" i="25"/>
  <c r="Q56" i="25"/>
  <c r="DE45" i="31"/>
  <c r="J9" i="31" s="1"/>
  <c r="CB7" i="31"/>
  <c r="D23" i="24"/>
  <c r="DC62" i="31"/>
  <c r="BT10" i="31" s="1"/>
  <c r="S43" i="25"/>
  <c r="Q43" i="25"/>
  <c r="S84" i="25"/>
  <c r="Q84" i="25"/>
  <c r="DC27" i="31"/>
  <c r="AA7" i="31" s="1"/>
  <c r="D35" i="2"/>
  <c r="DD5" i="31"/>
  <c r="DC5" i="31" s="1"/>
  <c r="I5" i="31" s="1"/>
  <c r="C92" i="2"/>
  <c r="F19" i="2"/>
  <c r="C26" i="2"/>
  <c r="C33" i="2"/>
  <c r="Y52" i="2"/>
  <c r="X52" i="2"/>
  <c r="W62" i="2"/>
  <c r="I8" i="47"/>
  <c r="DC26" i="31"/>
  <c r="R7" i="31" s="1"/>
  <c r="D6" i="47"/>
  <c r="DC37" i="31"/>
  <c r="AA8" i="31" s="1"/>
  <c r="D5" i="47"/>
  <c r="BE59" i="1"/>
  <c r="AY59" i="1"/>
  <c r="AZ59" i="1" s="1"/>
  <c r="CF54" i="1"/>
  <c r="CD54" i="1"/>
  <c r="CB54" i="1"/>
  <c r="BS55" i="1"/>
  <c r="DK59" i="1"/>
  <c r="DL59" i="1"/>
  <c r="BS60" i="1"/>
  <c r="CD59" i="1"/>
  <c r="CB59" i="1"/>
  <c r="CF59" i="1"/>
  <c r="DN32" i="1"/>
  <c r="DO32" i="1"/>
  <c r="DL49" i="1"/>
  <c r="DK49" i="1"/>
  <c r="DL53" i="1"/>
  <c r="DK53" i="1"/>
  <c r="EA20" i="1"/>
  <c r="DZ20" i="1"/>
  <c r="CF11" i="1"/>
  <c r="CD11" i="1"/>
  <c r="CB11" i="1"/>
  <c r="S41" i="25"/>
  <c r="Q41" i="25"/>
  <c r="DO36" i="1"/>
  <c r="DN36" i="1"/>
  <c r="D43" i="24"/>
  <c r="DC22" i="31"/>
  <c r="BT6" i="31" s="1"/>
  <c r="G42" i="2"/>
  <c r="D14" i="2"/>
  <c r="C49" i="2"/>
  <c r="C63" i="2"/>
  <c r="C25" i="2"/>
  <c r="F24" i="2"/>
  <c r="J9" i="42"/>
  <c r="M9" i="42" s="1"/>
  <c r="C9" i="42"/>
  <c r="D6" i="2"/>
  <c r="E5" i="47"/>
  <c r="DD54" i="31"/>
  <c r="DC54" i="31" s="1"/>
  <c r="CL9" i="31" s="1"/>
  <c r="CN49" i="1"/>
  <c r="CO49" i="1" s="1"/>
  <c r="CP49" i="1" s="1"/>
  <c r="C5" i="33"/>
  <c r="B5" i="33"/>
  <c r="AA49" i="2"/>
  <c r="AD39" i="2"/>
  <c r="AC39" i="2"/>
  <c r="AB39" i="2"/>
  <c r="S74" i="25"/>
  <c r="Q74" i="25"/>
  <c r="AK5" i="31"/>
  <c r="DC8" i="31"/>
  <c r="AJ5" i="31" s="1"/>
  <c r="G19" i="2"/>
  <c r="DO15" i="1"/>
  <c r="DN15" i="1"/>
  <c r="DL39" i="1"/>
  <c r="DK39" i="1"/>
  <c r="E66" i="25"/>
  <c r="K66" i="25"/>
  <c r="I66" i="25"/>
  <c r="G66" i="25"/>
  <c r="CP6" i="1"/>
  <c r="CN6" i="1"/>
  <c r="CO6" i="1" s="1"/>
  <c r="DO6" i="1"/>
  <c r="DN6" i="1"/>
  <c r="Q87" i="25"/>
  <c r="S87" i="25"/>
  <c r="B8" i="33"/>
  <c r="C8" i="33"/>
  <c r="R34" i="46"/>
  <c r="S33" i="46" s="1"/>
  <c r="M33" i="46"/>
  <c r="L34" i="46"/>
  <c r="D19" i="24"/>
  <c r="D28" i="24"/>
  <c r="DC38" i="31"/>
  <c r="AJ8" i="31" s="1"/>
  <c r="DC56" i="31"/>
  <c r="R10" i="31" s="1"/>
  <c r="DC71" i="31"/>
  <c r="BK11" i="31" s="1"/>
  <c r="H6" i="31"/>
  <c r="AD41" i="2"/>
  <c r="AC41" i="2"/>
  <c r="AB41" i="2"/>
  <c r="E41" i="2" s="1"/>
  <c r="AA51" i="2"/>
  <c r="C23" i="2"/>
  <c r="C40" i="2"/>
  <c r="C62" i="2"/>
  <c r="C87" i="2"/>
  <c r="C71" i="2"/>
  <c r="E17" i="2"/>
  <c r="C98" i="2"/>
  <c r="AC42" i="2"/>
  <c r="AB42" i="2"/>
  <c r="AA52" i="2"/>
  <c r="AD42" i="2"/>
  <c r="C73" i="2"/>
  <c r="E28" i="2"/>
  <c r="E23" i="2"/>
  <c r="DU62" i="1"/>
  <c r="DT62" i="1"/>
  <c r="R71" i="25"/>
  <c r="BE37" i="1"/>
  <c r="BD37" i="1"/>
  <c r="DE37" i="1"/>
  <c r="N37" i="1"/>
  <c r="BR37" i="1"/>
  <c r="DO28" i="1"/>
  <c r="DN28" i="1"/>
  <c r="CN47" i="1"/>
  <c r="CO47" i="1" s="1"/>
  <c r="CP47" i="1" s="1"/>
  <c r="DO10" i="1"/>
  <c r="DN10" i="1"/>
  <c r="S81" i="25"/>
  <c r="Q81" i="25"/>
  <c r="BG30" i="1"/>
  <c r="DC28" i="31"/>
  <c r="AJ7" i="31" s="1"/>
  <c r="Y44" i="2"/>
  <c r="X44" i="2"/>
  <c r="W54" i="2"/>
  <c r="DR44" i="1"/>
  <c r="DQ44" i="1"/>
  <c r="DC17" i="31"/>
  <c r="AA6" i="31" s="1"/>
  <c r="AD40" i="2"/>
  <c r="AC40" i="2"/>
  <c r="AB40" i="2"/>
  <c r="AA50" i="2"/>
  <c r="S53" i="25"/>
  <c r="Q53" i="25"/>
  <c r="C7" i="33"/>
  <c r="B7" i="33"/>
  <c r="C18" i="9"/>
  <c r="D26" i="24"/>
  <c r="AI11" i="31"/>
  <c r="U9" i="46"/>
  <c r="U10" i="46" s="1"/>
  <c r="U11" i="46" s="1"/>
  <c r="D33" i="24"/>
  <c r="D17" i="24"/>
  <c r="DC65" i="31"/>
  <c r="I11" i="31" s="1"/>
  <c r="DD53" i="31"/>
  <c r="DC53" i="31" s="1"/>
  <c r="CC9" i="31" s="1"/>
  <c r="Q61" i="25"/>
  <c r="S61" i="25"/>
  <c r="B11" i="33"/>
  <c r="X40" i="2"/>
  <c r="W50" i="2"/>
  <c r="Y40" i="2"/>
  <c r="C12" i="2"/>
  <c r="D41" i="2"/>
  <c r="C54" i="2"/>
  <c r="C79" i="2"/>
  <c r="D16" i="2"/>
  <c r="Z9" i="31"/>
  <c r="F12" i="2"/>
  <c r="E6" i="47"/>
  <c r="E21" i="2"/>
  <c r="C57" i="2"/>
  <c r="E29" i="2"/>
  <c r="X15" i="24"/>
  <c r="S15" i="24"/>
  <c r="L15" i="24" s="1"/>
  <c r="W58" i="2"/>
  <c r="Y48" i="2"/>
  <c r="X48" i="2"/>
  <c r="D48" i="2" s="1"/>
  <c r="C61" i="2"/>
  <c r="E13" i="2"/>
  <c r="BE57" i="1"/>
  <c r="AY57" i="1"/>
  <c r="AZ57" i="1" s="1"/>
  <c r="DK58" i="1"/>
  <c r="DL58" i="1"/>
  <c r="F15" i="44"/>
  <c r="CN46" i="1"/>
  <c r="CO46" i="1" s="1"/>
  <c r="CP46" i="1" s="1"/>
  <c r="DO33" i="1"/>
  <c r="DN33" i="1"/>
  <c r="CN45" i="1"/>
  <c r="CO45" i="1" s="1"/>
  <c r="CP45" i="1"/>
  <c r="CD12" i="1"/>
  <c r="CB12" i="1"/>
  <c r="CF12" i="1"/>
  <c r="AY12" i="1"/>
  <c r="AZ12" i="1" s="1"/>
  <c r="DR21" i="1"/>
  <c r="DQ21" i="1"/>
  <c r="DO8" i="1"/>
  <c r="DN8" i="1"/>
  <c r="BG31" i="1"/>
  <c r="BS17" i="1"/>
  <c r="CF16" i="1"/>
  <c r="CD9" i="1"/>
  <c r="CF9" i="1"/>
  <c r="CB9" i="1"/>
  <c r="AY9" i="1"/>
  <c r="AZ9" i="1" s="1"/>
  <c r="AA73" i="2"/>
  <c r="AD63" i="2"/>
  <c r="AC63" i="2"/>
  <c r="AB63" i="2"/>
  <c r="E63" i="2" s="1"/>
  <c r="I10" i="33"/>
  <c r="DC73" i="31"/>
  <c r="CC11" i="31" s="1"/>
  <c r="C5" i="41"/>
  <c r="Z8" i="31"/>
  <c r="D6" i="24"/>
  <c r="D21" i="24"/>
  <c r="Q10" i="31"/>
  <c r="S75" i="25"/>
  <c r="Q75" i="25"/>
  <c r="D39" i="24"/>
  <c r="C78" i="2"/>
  <c r="D20" i="2"/>
  <c r="F54" i="2"/>
  <c r="E14" i="2"/>
  <c r="E25" i="2"/>
  <c r="F5" i="44"/>
  <c r="W65" i="2"/>
  <c r="Y55" i="2"/>
  <c r="X55" i="2"/>
  <c r="D55" i="2" s="1"/>
  <c r="X14" i="24"/>
  <c r="S7" i="24"/>
  <c r="L7" i="24" s="1"/>
  <c r="F6" i="47"/>
  <c r="D38" i="2"/>
  <c r="E27" i="2"/>
  <c r="R67" i="25"/>
  <c r="BE33" i="1"/>
  <c r="BD33" i="1"/>
  <c r="DE33" i="1"/>
  <c r="N33" i="1"/>
  <c r="BR33" i="1"/>
  <c r="DH33" i="1"/>
  <c r="DN42" i="1"/>
  <c r="DO42" i="1"/>
  <c r="R69" i="25"/>
  <c r="BE35" i="1"/>
  <c r="BD35" i="1"/>
  <c r="DE35" i="1"/>
  <c r="N35" i="1"/>
  <c r="BR35" i="1"/>
  <c r="DR38" i="1"/>
  <c r="DQ38" i="1"/>
  <c r="CB8" i="1"/>
  <c r="CD8" i="1"/>
  <c r="CF8" i="1"/>
  <c r="Q80" i="25"/>
  <c r="S80" i="25"/>
  <c r="DO23" i="1"/>
  <c r="DN23" i="1"/>
  <c r="BG13" i="1"/>
  <c r="BG32" i="1"/>
  <c r="DT57" i="1"/>
  <c r="DU57" i="1"/>
  <c r="S42" i="25"/>
  <c r="Q42" i="25"/>
  <c r="DB30" i="31"/>
  <c r="BC7" i="31"/>
  <c r="H5" i="47"/>
  <c r="S60" i="25"/>
  <c r="Q60" i="25"/>
  <c r="O24" i="46"/>
  <c r="T24" i="46" s="1"/>
  <c r="O6" i="46"/>
  <c r="D10" i="24"/>
  <c r="DE63" i="31"/>
  <c r="CD10" i="31" s="1"/>
  <c r="S78" i="25"/>
  <c r="Q78" i="25"/>
  <c r="O12" i="9"/>
  <c r="O5" i="9"/>
  <c r="D35" i="24"/>
  <c r="S22" i="24"/>
  <c r="L22" i="24" s="1"/>
  <c r="K22" i="24" s="1"/>
  <c r="F22" i="24" s="1"/>
  <c r="CB6" i="31"/>
  <c r="AI7" i="31"/>
  <c r="E33" i="2"/>
  <c r="C47" i="2"/>
  <c r="C67" i="2"/>
  <c r="C86" i="2"/>
  <c r="C91" i="2"/>
  <c r="F7" i="47"/>
  <c r="C14" i="2"/>
  <c r="E18" i="2"/>
  <c r="DC47" i="31"/>
  <c r="AA9" i="31" s="1"/>
  <c r="D32" i="2"/>
  <c r="K8" i="47"/>
  <c r="AR5" i="31"/>
  <c r="C18" i="2"/>
  <c r="D31" i="2"/>
  <c r="C101" i="2"/>
  <c r="D45" i="2"/>
  <c r="C52" i="2"/>
  <c r="D34" i="2"/>
  <c r="E12" i="2"/>
  <c r="E36" i="2"/>
  <c r="DC21" i="31"/>
  <c r="BK6" i="31" s="1"/>
  <c r="F8" i="44"/>
  <c r="DN31" i="1"/>
  <c r="DO31" i="1"/>
  <c r="I68" i="25"/>
  <c r="G68" i="25"/>
  <c r="E68" i="25"/>
  <c r="K68" i="25"/>
  <c r="CD6" i="1"/>
  <c r="CB6" i="1"/>
  <c r="AY6" i="1"/>
  <c r="AZ6" i="1" s="1"/>
  <c r="CF6" i="1"/>
  <c r="S40" i="25"/>
  <c r="Q40" i="25"/>
  <c r="BG9" i="1"/>
  <c r="DO45" i="1" l="1"/>
  <c r="DN45" i="1"/>
  <c r="DR23" i="1"/>
  <c r="DQ23" i="1"/>
  <c r="AY33" i="1"/>
  <c r="AZ33" i="1" s="1"/>
  <c r="BG33" i="1"/>
  <c r="AY37" i="1"/>
  <c r="AZ37" i="1" s="1"/>
  <c r="BG37" i="1"/>
  <c r="CF55" i="1"/>
  <c r="CB55" i="1"/>
  <c r="CD55" i="1"/>
  <c r="DU5" i="1"/>
  <c r="DT5" i="1"/>
  <c r="W60" i="2"/>
  <c r="Y50" i="2"/>
  <c r="X50" i="2"/>
  <c r="D50" i="2" s="1"/>
  <c r="CN8" i="1"/>
  <c r="CO8" i="1" s="1"/>
  <c r="CP8" i="1" s="1"/>
  <c r="W69" i="2"/>
  <c r="Y59" i="2"/>
  <c r="X59" i="2"/>
  <c r="D59" i="2" s="1"/>
  <c r="DR7" i="1"/>
  <c r="DQ7" i="1"/>
  <c r="EC22" i="1"/>
  <c r="ED22" i="1"/>
  <c r="DR35" i="1"/>
  <c r="DQ35" i="1"/>
  <c r="S65" i="25"/>
  <c r="Q65" i="25"/>
  <c r="EC13" i="1"/>
  <c r="ED13" i="1"/>
  <c r="W66" i="2"/>
  <c r="Y56" i="2"/>
  <c r="X56" i="2"/>
  <c r="D56" i="2" s="1"/>
  <c r="AD56" i="2"/>
  <c r="AC56" i="2"/>
  <c r="AB56" i="2"/>
  <c r="E56" i="2" s="1"/>
  <c r="AA66" i="2"/>
  <c r="M15" i="33"/>
  <c r="X15" i="41"/>
  <c r="S15" i="9"/>
  <c r="AH15" i="21"/>
  <c r="AA15" i="25"/>
  <c r="AU15" i="2"/>
  <c r="AZ15" i="2" s="1"/>
  <c r="AU15" i="44"/>
  <c r="AK15" i="47"/>
  <c r="DO26" i="1"/>
  <c r="DN26" i="1"/>
  <c r="S73" i="25"/>
  <c r="Q73" i="25"/>
  <c r="DQ40" i="1"/>
  <c r="DR40" i="1"/>
  <c r="CI10" i="1"/>
  <c r="CK9" i="1"/>
  <c r="CL9" i="1" s="1"/>
  <c r="CM9" i="1" s="1"/>
  <c r="CJ9" i="1"/>
  <c r="AY36" i="1"/>
  <c r="AZ36" i="1" s="1"/>
  <c r="BG36" i="1"/>
  <c r="DR10" i="1"/>
  <c r="DQ10" i="1"/>
  <c r="AA60" i="2"/>
  <c r="AD50" i="2"/>
  <c r="AC50" i="2"/>
  <c r="AB50" i="2"/>
  <c r="I71" i="25"/>
  <c r="G71" i="25"/>
  <c r="E71" i="25"/>
  <c r="K71" i="25"/>
  <c r="EC20" i="1"/>
  <c r="ED20" i="1"/>
  <c r="D46" i="2"/>
  <c r="K70" i="25"/>
  <c r="I70" i="25"/>
  <c r="E70" i="25"/>
  <c r="G70" i="25"/>
  <c r="DC35" i="31"/>
  <c r="I8" i="31" s="1"/>
  <c r="AA14" i="25"/>
  <c r="S14" i="9"/>
  <c r="M14" i="33"/>
  <c r="X14" i="41"/>
  <c r="AH14" i="21"/>
  <c r="AU14" i="2"/>
  <c r="AZ14" i="2" s="1"/>
  <c r="AK44" i="2" s="1"/>
  <c r="AK14" i="47"/>
  <c r="AU14" i="44"/>
  <c r="DN60" i="1"/>
  <c r="DO60" i="1"/>
  <c r="W77" i="2"/>
  <c r="Y67" i="2"/>
  <c r="X67" i="2"/>
  <c r="D67" i="2" s="1"/>
  <c r="O7" i="46"/>
  <c r="O25" i="46"/>
  <c r="T25" i="46" s="1"/>
  <c r="T6" i="46"/>
  <c r="DR15" i="1"/>
  <c r="DQ15" i="1"/>
  <c r="DR54" i="1"/>
  <c r="DQ54" i="1"/>
  <c r="AY35" i="1"/>
  <c r="AZ35" i="1" s="1"/>
  <c r="BG35" i="1"/>
  <c r="AA83" i="2"/>
  <c r="AD73" i="2"/>
  <c r="AB73" i="2"/>
  <c r="E73" i="2" s="1"/>
  <c r="AC73" i="2"/>
  <c r="W68" i="2"/>
  <c r="Y58" i="2"/>
  <c r="X58" i="2"/>
  <c r="D58" i="2" s="1"/>
  <c r="D40" i="2"/>
  <c r="I69" i="25"/>
  <c r="E69" i="25"/>
  <c r="K69" i="25"/>
  <c r="G69" i="25"/>
  <c r="K67" i="25"/>
  <c r="E67" i="25"/>
  <c r="G67" i="25"/>
  <c r="I67" i="25"/>
  <c r="E40" i="2"/>
  <c r="AD51" i="2"/>
  <c r="AC51" i="2"/>
  <c r="AB51" i="2"/>
  <c r="AA61" i="2"/>
  <c r="DR18" i="1"/>
  <c r="DQ18" i="1"/>
  <c r="DC25" i="31"/>
  <c r="I7" i="31" s="1"/>
  <c r="M8" i="24"/>
  <c r="F8" i="24"/>
  <c r="K24" i="24"/>
  <c r="F24" i="24" s="1"/>
  <c r="AY38" i="1"/>
  <c r="AZ38" i="1" s="1"/>
  <c r="BG38" i="1"/>
  <c r="R35" i="46"/>
  <c r="M34" i="46"/>
  <c r="L35" i="46"/>
  <c r="BA7" i="31"/>
  <c r="DD30" i="31"/>
  <c r="DC30" i="31" s="1"/>
  <c r="BB7" i="31" s="1"/>
  <c r="DN53" i="1"/>
  <c r="DO53" i="1"/>
  <c r="DR37" i="1"/>
  <c r="DQ37" i="1"/>
  <c r="Q64" i="25"/>
  <c r="S64" i="25"/>
  <c r="DR27" i="1"/>
  <c r="DQ27" i="1"/>
  <c r="F16" i="24"/>
  <c r="M16" i="24"/>
  <c r="DQ9" i="1"/>
  <c r="DR9" i="1"/>
  <c r="DR42" i="1"/>
  <c r="DQ42" i="1"/>
  <c r="DQ33" i="1"/>
  <c r="DR33" i="1"/>
  <c r="DQ28" i="1"/>
  <c r="DR28" i="1"/>
  <c r="DR6" i="1"/>
  <c r="DQ6" i="1"/>
  <c r="E39" i="2"/>
  <c r="DO11" i="1"/>
  <c r="DN11" i="1"/>
  <c r="DR16" i="1"/>
  <c r="DQ16" i="1"/>
  <c r="AB30" i="25"/>
  <c r="AV30" i="2"/>
  <c r="U33" i="46"/>
  <c r="U34" i="46" s="1"/>
  <c r="DC45" i="31"/>
  <c r="I9" i="31" s="1"/>
  <c r="I72" i="25"/>
  <c r="G72" i="25"/>
  <c r="E72" i="25"/>
  <c r="K72" i="25"/>
  <c r="DO39" i="1"/>
  <c r="DN39" i="1"/>
  <c r="DW62" i="1"/>
  <c r="DX62" i="1"/>
  <c r="DU38" i="1"/>
  <c r="DT38" i="1"/>
  <c r="DO49" i="1"/>
  <c r="DN49" i="1"/>
  <c r="DT12" i="1"/>
  <c r="DU12" i="1"/>
  <c r="E47" i="2"/>
  <c r="DC83" i="31"/>
  <c r="CC12" i="31" s="1"/>
  <c r="DQ34" i="1"/>
  <c r="DR34" i="1"/>
  <c r="AA65" i="2"/>
  <c r="AD55" i="2"/>
  <c r="AC55" i="2"/>
  <c r="AB55" i="2"/>
  <c r="EA50" i="1"/>
  <c r="DZ50" i="1"/>
  <c r="DQ32" i="1"/>
  <c r="DR32" i="1"/>
  <c r="AA54" i="2"/>
  <c r="AD44" i="2"/>
  <c r="AC44" i="2"/>
  <c r="AB44" i="2"/>
  <c r="S68" i="25"/>
  <c r="Q68" i="25"/>
  <c r="DN58" i="1"/>
  <c r="DO58" i="1"/>
  <c r="DT44" i="1"/>
  <c r="DU44" i="1"/>
  <c r="S66" i="25"/>
  <c r="Q66" i="25"/>
  <c r="AC49" i="2"/>
  <c r="AB49" i="2"/>
  <c r="E49" i="2" s="1"/>
  <c r="AA59" i="2"/>
  <c r="AD49" i="2"/>
  <c r="ED24" i="1"/>
  <c r="EC24" i="1"/>
  <c r="E34" i="2"/>
  <c r="DC15" i="31"/>
  <c r="I6" i="31" s="1"/>
  <c r="DW14" i="1"/>
  <c r="DX14" i="1"/>
  <c r="DQ30" i="1"/>
  <c r="DR30" i="1"/>
  <c r="DO61" i="1"/>
  <c r="DN61" i="1"/>
  <c r="DW55" i="1"/>
  <c r="DX55" i="1"/>
  <c r="DX41" i="1"/>
  <c r="DW41" i="1"/>
  <c r="DO25" i="1"/>
  <c r="DN25" i="1"/>
  <c r="T27" i="9"/>
  <c r="N27" i="33"/>
  <c r="X27" i="24"/>
  <c r="AI27" i="21"/>
  <c r="AV27" i="2"/>
  <c r="AV27" i="44"/>
  <c r="AB27" i="25"/>
  <c r="DO46" i="1"/>
  <c r="DN46" i="1"/>
  <c r="CN50" i="1"/>
  <c r="CO50" i="1" s="1"/>
  <c r="CP50" i="1" s="1"/>
  <c r="DW57" i="1"/>
  <c r="DX57" i="1"/>
  <c r="BS18" i="1"/>
  <c r="CF17" i="1"/>
  <c r="CD17" i="1"/>
  <c r="CB17" i="1"/>
  <c r="DT56" i="1"/>
  <c r="DU56" i="1"/>
  <c r="Y54" i="2"/>
  <c r="W64" i="2"/>
  <c r="X54" i="2"/>
  <c r="D54" i="2" s="1"/>
  <c r="AD52" i="2"/>
  <c r="AB52" i="2"/>
  <c r="AA62" i="2"/>
  <c r="AC52" i="2"/>
  <c r="DR31" i="1"/>
  <c r="DQ31" i="1"/>
  <c r="DR8" i="1"/>
  <c r="DQ8" i="1"/>
  <c r="D44" i="2"/>
  <c r="E42" i="2"/>
  <c r="W72" i="2"/>
  <c r="Y62" i="2"/>
  <c r="X62" i="2"/>
  <c r="D62" i="2" s="1"/>
  <c r="DQ47" i="1"/>
  <c r="DR47" i="1"/>
  <c r="DT51" i="1"/>
  <c r="DU51" i="1"/>
  <c r="AD48" i="2"/>
  <c r="AC48" i="2"/>
  <c r="AB48" i="2"/>
  <c r="E48" i="2" s="1"/>
  <c r="AA58" i="2"/>
  <c r="EA17" i="1"/>
  <c r="DZ17" i="1"/>
  <c r="EC52" i="1"/>
  <c r="ED52" i="1"/>
  <c r="S34" i="46"/>
  <c r="DR36" i="1"/>
  <c r="DQ36" i="1"/>
  <c r="D52" i="2"/>
  <c r="D51" i="2"/>
  <c r="DQ43" i="1"/>
  <c r="DR43" i="1"/>
  <c r="E38" i="2"/>
  <c r="DW48" i="1"/>
  <c r="DX48" i="1"/>
  <c r="CI52" i="1"/>
  <c r="CK51" i="1"/>
  <c r="CL51" i="1" s="1"/>
  <c r="CM51" i="1" s="1"/>
  <c r="CJ51" i="1"/>
  <c r="W63" i="2"/>
  <c r="Y53" i="2"/>
  <c r="X53" i="2"/>
  <c r="D53" i="2" s="1"/>
  <c r="DO59" i="1"/>
  <c r="DN59" i="1"/>
  <c r="DQ19" i="1"/>
  <c r="DR19" i="1"/>
  <c r="AA67" i="2"/>
  <c r="AD57" i="2"/>
  <c r="AB57" i="2"/>
  <c r="E57" i="2" s="1"/>
  <c r="AC57" i="2"/>
  <c r="DO29" i="1"/>
  <c r="DN29" i="1"/>
  <c r="W75" i="2"/>
  <c r="Y65" i="2"/>
  <c r="X65" i="2"/>
  <c r="DU21" i="1"/>
  <c r="DT21" i="1"/>
  <c r="CD60" i="1"/>
  <c r="CB60" i="1"/>
  <c r="CF60" i="1"/>
  <c r="BS61" i="1"/>
  <c r="X61" i="2"/>
  <c r="D61" i="2" s="1"/>
  <c r="Y61" i="2"/>
  <c r="W71" i="2"/>
  <c r="DC44" i="31"/>
  <c r="CL8" i="31" s="1"/>
  <c r="D43" i="2"/>
  <c r="W74" i="2" l="1"/>
  <c r="Y64" i="2"/>
  <c r="X64" i="2"/>
  <c r="D64" i="2" s="1"/>
  <c r="DT9" i="1"/>
  <c r="DU9" i="1"/>
  <c r="AC67" i="2"/>
  <c r="AB67" i="2"/>
  <c r="E67" i="2" s="1"/>
  <c r="AD67" i="2"/>
  <c r="AA77" i="2"/>
  <c r="E44" i="2"/>
  <c r="DX12" i="1"/>
  <c r="DW12" i="1"/>
  <c r="DU54" i="1"/>
  <c r="DT54" i="1"/>
  <c r="E50" i="2"/>
  <c r="DQ26" i="1"/>
  <c r="DR26" i="1"/>
  <c r="EV13" i="1"/>
  <c r="EX13" i="1" s="1"/>
  <c r="EF13" i="1"/>
  <c r="ES13" i="1"/>
  <c r="EU13" i="1" s="1"/>
  <c r="EP13" i="1"/>
  <c r="ER13" i="1" s="1"/>
  <c r="FE13" i="1"/>
  <c r="FG13" i="1" s="1"/>
  <c r="EG13" i="1"/>
  <c r="EI13" i="1" s="1"/>
  <c r="FB13" i="1"/>
  <c r="FD13" i="1" s="1"/>
  <c r="EY13" i="1"/>
  <c r="FA13" i="1" s="1"/>
  <c r="FH13" i="1"/>
  <c r="FJ13" i="1" s="1"/>
  <c r="EM13" i="1"/>
  <c r="EO13" i="1" s="1"/>
  <c r="EJ13" i="1"/>
  <c r="EL13" i="1" s="1"/>
  <c r="W81" i="2"/>
  <c r="Y71" i="2"/>
  <c r="X71" i="2"/>
  <c r="D71" i="2" s="1"/>
  <c r="DX5" i="1"/>
  <c r="DW5" i="1"/>
  <c r="DQ59" i="1"/>
  <c r="DR59" i="1"/>
  <c r="DU32" i="1"/>
  <c r="DT32" i="1"/>
  <c r="DT27" i="1"/>
  <c r="DU27" i="1"/>
  <c r="S69" i="25"/>
  <c r="Q69" i="25"/>
  <c r="Q70" i="25"/>
  <c r="S70" i="25"/>
  <c r="DT10" i="1"/>
  <c r="DU10" i="1"/>
  <c r="DU35" i="1"/>
  <c r="DT35" i="1"/>
  <c r="W82" i="2"/>
  <c r="Y72" i="2"/>
  <c r="X72" i="2"/>
  <c r="D72" i="2" s="1"/>
  <c r="AP24" i="2"/>
  <c r="AP44" i="2"/>
  <c r="AK54" i="2"/>
  <c r="AP34" i="2"/>
  <c r="BS19" i="1"/>
  <c r="CB18" i="1"/>
  <c r="CF18" i="1"/>
  <c r="CD18" i="1"/>
  <c r="O8" i="46"/>
  <c r="O26" i="46"/>
  <c r="T26" i="46" s="1"/>
  <c r="T7" i="46"/>
  <c r="FB22" i="1"/>
  <c r="FD22" i="1" s="1"/>
  <c r="EJ22" i="1"/>
  <c r="EL22" i="1" s="1"/>
  <c r="EV22" i="1"/>
  <c r="EX22" i="1" s="1"/>
  <c r="EF22" i="1"/>
  <c r="ES22" i="1"/>
  <c r="EU22" i="1" s="1"/>
  <c r="FE22" i="1"/>
  <c r="FG22" i="1" s="1"/>
  <c r="EG22" i="1"/>
  <c r="EI22" i="1" s="1"/>
  <c r="EY22" i="1"/>
  <c r="FA22" i="1" s="1"/>
  <c r="FH22" i="1"/>
  <c r="FJ22" i="1" s="1"/>
  <c r="EP22" i="1"/>
  <c r="ER22" i="1" s="1"/>
  <c r="EM22" i="1"/>
  <c r="EO22" i="1" s="1"/>
  <c r="AC54" i="2"/>
  <c r="AB54" i="2"/>
  <c r="AA64" i="2"/>
  <c r="AD54" i="2"/>
  <c r="DU16" i="1"/>
  <c r="DT16" i="1"/>
  <c r="DX38" i="1"/>
  <c r="DW38" i="1"/>
  <c r="EA62" i="1"/>
  <c r="DZ62" i="1"/>
  <c r="DX21" i="1"/>
  <c r="DW21" i="1"/>
  <c r="DU8" i="1"/>
  <c r="DT8" i="1"/>
  <c r="EA41" i="1"/>
  <c r="DZ41" i="1"/>
  <c r="ED50" i="1"/>
  <c r="EC50" i="1"/>
  <c r="DT18" i="1"/>
  <c r="DU18" i="1"/>
  <c r="Y60" i="2"/>
  <c r="X60" i="2"/>
  <c r="W70" i="2"/>
  <c r="BS62" i="1"/>
  <c r="CF61" i="1"/>
  <c r="CD61" i="1"/>
  <c r="CB61" i="1"/>
  <c r="DR25" i="1"/>
  <c r="DQ25" i="1"/>
  <c r="W73" i="2"/>
  <c r="Y63" i="2"/>
  <c r="X63" i="2"/>
  <c r="D63" i="2" s="1"/>
  <c r="DZ57" i="1"/>
  <c r="EA57" i="1"/>
  <c r="D65" i="2"/>
  <c r="EC17" i="1"/>
  <c r="ED17" i="1"/>
  <c r="DZ55" i="1"/>
  <c r="EA55" i="1"/>
  <c r="E55" i="2"/>
  <c r="DU6" i="1"/>
  <c r="DT6" i="1"/>
  <c r="DU37" i="1"/>
  <c r="DT37" i="1"/>
  <c r="AD61" i="2"/>
  <c r="AA71" i="2"/>
  <c r="AC61" i="2"/>
  <c r="AB61" i="2"/>
  <c r="Y68" i="2"/>
  <c r="X68" i="2"/>
  <c r="D68" i="2" s="1"/>
  <c r="W78" i="2"/>
  <c r="EM24" i="1"/>
  <c r="EO24" i="1" s="1"/>
  <c r="EY24" i="1"/>
  <c r="FA24" i="1" s="1"/>
  <c r="FH24" i="1"/>
  <c r="FJ24" i="1" s="1"/>
  <c r="EP24" i="1"/>
  <c r="ER24" i="1" s="1"/>
  <c r="EJ24" i="1"/>
  <c r="EL24" i="1" s="1"/>
  <c r="EG24" i="1"/>
  <c r="EI24" i="1" s="1"/>
  <c r="EF24" i="1"/>
  <c r="FE24" i="1"/>
  <c r="FG24" i="1" s="1"/>
  <c r="FB24" i="1"/>
  <c r="FD24" i="1" s="1"/>
  <c r="EV24" i="1"/>
  <c r="EX24" i="1" s="1"/>
  <c r="ES24" i="1"/>
  <c r="EU24" i="1" s="1"/>
  <c r="FE52" i="1"/>
  <c r="FG52" i="1" s="1"/>
  <c r="FB52" i="1"/>
  <c r="FD52" i="1" s="1"/>
  <c r="EJ52" i="1"/>
  <c r="EL52" i="1" s="1"/>
  <c r="EY52" i="1"/>
  <c r="FA52" i="1" s="1"/>
  <c r="EV52" i="1"/>
  <c r="EX52" i="1" s="1"/>
  <c r="EF52" i="1"/>
  <c r="FH52" i="1"/>
  <c r="FJ52" i="1" s="1"/>
  <c r="EG52" i="1"/>
  <c r="EI52" i="1" s="1"/>
  <c r="EP52" i="1"/>
  <c r="ER52" i="1" s="1"/>
  <c r="EM52" i="1"/>
  <c r="EO52" i="1" s="1"/>
  <c r="ES52" i="1"/>
  <c r="EU52" i="1" s="1"/>
  <c r="DR11" i="1"/>
  <c r="DQ11" i="1"/>
  <c r="CN51" i="1"/>
  <c r="CO51" i="1" s="1"/>
  <c r="CP51" i="1" s="1"/>
  <c r="AA68" i="2"/>
  <c r="AD58" i="2"/>
  <c r="AC58" i="2"/>
  <c r="AB58" i="2"/>
  <c r="E58" i="2" s="1"/>
  <c r="DT31" i="1"/>
  <c r="DU31" i="1"/>
  <c r="DR39" i="1"/>
  <c r="DQ39" i="1"/>
  <c r="DU28" i="1"/>
  <c r="DT28" i="1"/>
  <c r="DQ53" i="1"/>
  <c r="DR53" i="1"/>
  <c r="E51" i="2"/>
  <c r="X77" i="2"/>
  <c r="Y77" i="2"/>
  <c r="W87" i="2"/>
  <c r="CP9" i="1"/>
  <c r="CN9" i="1"/>
  <c r="CO9" i="1" s="1"/>
  <c r="AA76" i="2"/>
  <c r="AD66" i="2"/>
  <c r="AC66" i="2"/>
  <c r="AB66" i="2"/>
  <c r="E66" i="2" s="1"/>
  <c r="DU7" i="1"/>
  <c r="DT7" i="1"/>
  <c r="DX44" i="1"/>
  <c r="DW44" i="1"/>
  <c r="DR60" i="1"/>
  <c r="DQ60" i="1"/>
  <c r="FB20" i="1"/>
  <c r="FD20" i="1" s="1"/>
  <c r="EP20" i="1"/>
  <c r="ER20" i="1" s="1"/>
  <c r="FH20" i="1"/>
  <c r="FJ20" i="1" s="1"/>
  <c r="EM20" i="1"/>
  <c r="EO20" i="1" s="1"/>
  <c r="EJ20" i="1"/>
  <c r="EL20" i="1" s="1"/>
  <c r="FE20" i="1"/>
  <c r="FG20" i="1" s="1"/>
  <c r="EG20" i="1"/>
  <c r="EI20" i="1" s="1"/>
  <c r="EF20" i="1"/>
  <c r="EY20" i="1"/>
  <c r="FA20" i="1" s="1"/>
  <c r="ES20" i="1"/>
  <c r="EU20" i="1" s="1"/>
  <c r="EV20" i="1"/>
  <c r="EX20" i="1" s="1"/>
  <c r="CI11" i="1"/>
  <c r="CJ10" i="1"/>
  <c r="CK10" i="1"/>
  <c r="CL10" i="1" s="1"/>
  <c r="CM10" i="1" s="1"/>
  <c r="DW56" i="1"/>
  <c r="DX56" i="1"/>
  <c r="DT15" i="1"/>
  <c r="DU15" i="1"/>
  <c r="DU36" i="1"/>
  <c r="DT36" i="1"/>
  <c r="DR49" i="1"/>
  <c r="DQ49" i="1"/>
  <c r="AB60" i="2"/>
  <c r="AD60" i="2"/>
  <c r="AC60" i="2"/>
  <c r="AA70" i="2"/>
  <c r="DZ48" i="1"/>
  <c r="EA48" i="1"/>
  <c r="AA72" i="2"/>
  <c r="AD62" i="2"/>
  <c r="AB62" i="2"/>
  <c r="AC62" i="2"/>
  <c r="DQ61" i="1"/>
  <c r="DR61" i="1"/>
  <c r="AA75" i="2"/>
  <c r="AD65" i="2"/>
  <c r="AB65" i="2"/>
  <c r="E65" i="2" s="1"/>
  <c r="AC65" i="2"/>
  <c r="DU33" i="1"/>
  <c r="DT33" i="1"/>
  <c r="DT40" i="1"/>
  <c r="DU40" i="1"/>
  <c r="DU43" i="1"/>
  <c r="DT43" i="1"/>
  <c r="DU19" i="1"/>
  <c r="DT19" i="1"/>
  <c r="AC59" i="2"/>
  <c r="AB59" i="2"/>
  <c r="AD59" i="2"/>
  <c r="AA69" i="2"/>
  <c r="W85" i="2"/>
  <c r="Y75" i="2"/>
  <c r="X75" i="2"/>
  <c r="CI53" i="1"/>
  <c r="CK52" i="1"/>
  <c r="CL52" i="1" s="1"/>
  <c r="CM52" i="1" s="1"/>
  <c r="CJ52" i="1"/>
  <c r="DR29" i="1"/>
  <c r="DQ29" i="1"/>
  <c r="E52" i="2"/>
  <c r="DR46" i="1"/>
  <c r="DQ46" i="1"/>
  <c r="DU30" i="1"/>
  <c r="DT30" i="1"/>
  <c r="DR58" i="1"/>
  <c r="DQ58" i="1"/>
  <c r="DU34" i="1"/>
  <c r="DT34" i="1"/>
  <c r="S72" i="25"/>
  <c r="Q72" i="25"/>
  <c r="AA93" i="2"/>
  <c r="AC83" i="2"/>
  <c r="AB83" i="2"/>
  <c r="AD83" i="2"/>
  <c r="X69" i="2"/>
  <c r="Y69" i="2"/>
  <c r="W79" i="2"/>
  <c r="DT23" i="1"/>
  <c r="DU23" i="1"/>
  <c r="DX51" i="1"/>
  <c r="DW51" i="1"/>
  <c r="L36" i="46"/>
  <c r="M35" i="46"/>
  <c r="R36" i="46"/>
  <c r="EA14" i="1"/>
  <c r="DZ14" i="1"/>
  <c r="DU42" i="1"/>
  <c r="DT42" i="1"/>
  <c r="Q67" i="25"/>
  <c r="S67" i="25"/>
  <c r="AK1" i="2"/>
  <c r="AK2" i="2" s="1"/>
  <c r="Q71" i="25"/>
  <c r="S71" i="25"/>
  <c r="DQ45" i="1"/>
  <c r="DR45" i="1"/>
  <c r="DU47" i="1"/>
  <c r="DT47" i="1"/>
  <c r="W76" i="2"/>
  <c r="Y66" i="2"/>
  <c r="X66" i="2"/>
  <c r="D66" i="2" s="1"/>
  <c r="DU39" i="1" l="1"/>
  <c r="DT39" i="1"/>
  <c r="W88" i="2"/>
  <c r="Y78" i="2"/>
  <c r="X78" i="2"/>
  <c r="D78" i="2" s="1"/>
  <c r="DX54" i="1"/>
  <c r="DW54" i="1"/>
  <c r="DU29" i="1"/>
  <c r="DT29" i="1"/>
  <c r="DX19" i="1"/>
  <c r="DW19" i="1"/>
  <c r="AD72" i="2"/>
  <c r="AC72" i="2"/>
  <c r="AB72" i="2"/>
  <c r="E72" i="2" s="1"/>
  <c r="AA82" i="2"/>
  <c r="EA44" i="1"/>
  <c r="DZ44" i="1"/>
  <c r="DX28" i="1"/>
  <c r="DW28" i="1"/>
  <c r="D60" i="2"/>
  <c r="DX35" i="1"/>
  <c r="DW35" i="1"/>
  <c r="EA5" i="1"/>
  <c r="DZ5" i="1"/>
  <c r="DU46" i="1"/>
  <c r="DT46" i="1"/>
  <c r="ED48" i="1"/>
  <c r="EC48" i="1"/>
  <c r="CK11" i="1"/>
  <c r="CL11" i="1" s="1"/>
  <c r="CM11" i="1" s="1"/>
  <c r="CJ11" i="1"/>
  <c r="CI12" i="1"/>
  <c r="DW16" i="1"/>
  <c r="DX16" i="1"/>
  <c r="DX7" i="1"/>
  <c r="DW7" i="1"/>
  <c r="D69" i="2"/>
  <c r="FE50" i="1"/>
  <c r="FG50" i="1" s="1"/>
  <c r="EJ50" i="1"/>
  <c r="EL50" i="1" s="1"/>
  <c r="EY50" i="1"/>
  <c r="FA50" i="1" s="1"/>
  <c r="EV50" i="1"/>
  <c r="EX50" i="1" s="1"/>
  <c r="EF50" i="1"/>
  <c r="EM50" i="1"/>
  <c r="EO50" i="1" s="1"/>
  <c r="FH50" i="1"/>
  <c r="FJ50" i="1" s="1"/>
  <c r="FB50" i="1"/>
  <c r="FD50" i="1" s="1"/>
  <c r="EP50" i="1"/>
  <c r="ER50" i="1" s="1"/>
  <c r="EG50" i="1"/>
  <c r="EI50" i="1" s="1"/>
  <c r="ES50" i="1"/>
  <c r="EU50" i="1" s="1"/>
  <c r="DZ12" i="1"/>
  <c r="EA12" i="1"/>
  <c r="DW43" i="1"/>
  <c r="DX43" i="1"/>
  <c r="AA80" i="2"/>
  <c r="AD70" i="2"/>
  <c r="AB70" i="2"/>
  <c r="E70" i="2" s="1"/>
  <c r="AC70" i="2"/>
  <c r="EC57" i="1"/>
  <c r="ED57" i="1"/>
  <c r="E60" i="2"/>
  <c r="AB76" i="2"/>
  <c r="AD76" i="2"/>
  <c r="AC76" i="2"/>
  <c r="AA86" i="2"/>
  <c r="E61" i="2"/>
  <c r="O9" i="46"/>
  <c r="O27" i="46"/>
  <c r="T27" i="46" s="1"/>
  <c r="T8" i="46"/>
  <c r="E54" i="2"/>
  <c r="AD93" i="2"/>
  <c r="AA103" i="2"/>
  <c r="AC93" i="2"/>
  <c r="AB93" i="2"/>
  <c r="CJ53" i="1"/>
  <c r="CI54" i="1"/>
  <c r="CK53" i="1"/>
  <c r="CL53" i="1" s="1"/>
  <c r="CM53" i="1" s="1"/>
  <c r="ED41" i="1"/>
  <c r="EC41" i="1"/>
  <c r="BS20" i="1"/>
  <c r="CD19" i="1"/>
  <c r="CF19" i="1"/>
  <c r="CB19" i="1"/>
  <c r="AA87" i="2"/>
  <c r="AD77" i="2"/>
  <c r="AC77" i="2"/>
  <c r="AB77" i="2"/>
  <c r="E77" i="2" s="1"/>
  <c r="DX31" i="1"/>
  <c r="DW31" i="1"/>
  <c r="AB68" i="2"/>
  <c r="AA78" i="2"/>
  <c r="AC68" i="2"/>
  <c r="AD68" i="2"/>
  <c r="AA81" i="2"/>
  <c r="AD71" i="2"/>
  <c r="AC71" i="2"/>
  <c r="AB71" i="2"/>
  <c r="E71" i="2" s="1"/>
  <c r="W83" i="2"/>
  <c r="Y73" i="2"/>
  <c r="X73" i="2"/>
  <c r="DX27" i="1"/>
  <c r="DW27" i="1"/>
  <c r="DX18" i="1"/>
  <c r="DW18" i="1"/>
  <c r="DX40" i="1"/>
  <c r="DW40" i="1"/>
  <c r="AC75" i="2"/>
  <c r="AB75" i="2"/>
  <c r="AD75" i="2"/>
  <c r="AA85" i="2"/>
  <c r="DX36" i="1"/>
  <c r="DW36" i="1"/>
  <c r="DT25" i="1"/>
  <c r="DU25" i="1"/>
  <c r="DW33" i="1"/>
  <c r="DX33" i="1"/>
  <c r="DW34" i="1"/>
  <c r="DX34" i="1"/>
  <c r="AD69" i="2"/>
  <c r="AC69" i="2"/>
  <c r="AB69" i="2"/>
  <c r="E69" i="2" s="1"/>
  <c r="AA79" i="2"/>
  <c r="DU61" i="1"/>
  <c r="DT61" i="1"/>
  <c r="DX15" i="1"/>
  <c r="DW15" i="1"/>
  <c r="D77" i="2"/>
  <c r="DX37" i="1"/>
  <c r="DW37" i="1"/>
  <c r="EA21" i="1"/>
  <c r="DZ21" i="1"/>
  <c r="AP1" i="2"/>
  <c r="DW32" i="1"/>
  <c r="DX32" i="1"/>
  <c r="DX9" i="1"/>
  <c r="DW9" i="1"/>
  <c r="ES17" i="1"/>
  <c r="EU17" i="1" s="1"/>
  <c r="FH17" i="1"/>
  <c r="FJ17" i="1" s="1"/>
  <c r="EP17" i="1"/>
  <c r="ER17" i="1" s="1"/>
  <c r="FE17" i="1"/>
  <c r="FG17" i="1" s="1"/>
  <c r="EM17" i="1"/>
  <c r="EO17" i="1" s="1"/>
  <c r="FB17" i="1"/>
  <c r="FD17" i="1" s="1"/>
  <c r="EJ17" i="1"/>
  <c r="EL17" i="1" s="1"/>
  <c r="EV17" i="1"/>
  <c r="EX17" i="1" s="1"/>
  <c r="EG17" i="1"/>
  <c r="EI17" i="1" s="1"/>
  <c r="EF17" i="1"/>
  <c r="EY17" i="1"/>
  <c r="FA17" i="1" s="1"/>
  <c r="AD64" i="2"/>
  <c r="AC64" i="2"/>
  <c r="AB64" i="2"/>
  <c r="E64" i="2" s="1"/>
  <c r="AA74" i="2"/>
  <c r="ED14" i="1"/>
  <c r="EC14" i="1"/>
  <c r="DX8" i="1"/>
  <c r="DW8" i="1"/>
  <c r="DU11" i="1"/>
  <c r="DT11" i="1"/>
  <c r="Y81" i="2"/>
  <c r="X81" i="2"/>
  <c r="D81" i="2" s="1"/>
  <c r="W91" i="2"/>
  <c r="CN52" i="1"/>
  <c r="CO52" i="1" s="1"/>
  <c r="CP52" i="1"/>
  <c r="DX42" i="1"/>
  <c r="DW42" i="1"/>
  <c r="E59" i="2"/>
  <c r="DZ56" i="1"/>
  <c r="EA56" i="1"/>
  <c r="DT53" i="1"/>
  <c r="DU53" i="1"/>
  <c r="DX6" i="1"/>
  <c r="DW6" i="1"/>
  <c r="ED62" i="1"/>
  <c r="EC62" i="1"/>
  <c r="DU59" i="1"/>
  <c r="DT59" i="1"/>
  <c r="DX10" i="1"/>
  <c r="DW10" i="1"/>
  <c r="E83" i="2"/>
  <c r="D75" i="2"/>
  <c r="DT49" i="1"/>
  <c r="DU49" i="1"/>
  <c r="R37" i="46"/>
  <c r="L37" i="46"/>
  <c r="M36" i="46"/>
  <c r="DT60" i="1"/>
  <c r="DU60" i="1"/>
  <c r="CB62" i="1"/>
  <c r="CD62" i="1"/>
  <c r="CF62" i="1"/>
  <c r="Y82" i="2"/>
  <c r="X82" i="2"/>
  <c r="D82" i="2" s="1"/>
  <c r="W92" i="2"/>
  <c r="Y79" i="2"/>
  <c r="X79" i="2"/>
  <c r="D79" i="2" s="1"/>
  <c r="W89" i="2"/>
  <c r="W97" i="2"/>
  <c r="Y87" i="2"/>
  <c r="X87" i="2"/>
  <c r="D87" i="2" s="1"/>
  <c r="X85" i="2"/>
  <c r="W95" i="2"/>
  <c r="Y85" i="2"/>
  <c r="Y76" i="2"/>
  <c r="X76" i="2"/>
  <c r="W86" i="2"/>
  <c r="DT58" i="1"/>
  <c r="DU58" i="1"/>
  <c r="DW47" i="1"/>
  <c r="DX47" i="1"/>
  <c r="EA51" i="1"/>
  <c r="DZ51" i="1"/>
  <c r="E62" i="2"/>
  <c r="DU45" i="1"/>
  <c r="DT45" i="1"/>
  <c r="DW23" i="1"/>
  <c r="DX23" i="1"/>
  <c r="DW30" i="1"/>
  <c r="DX30" i="1"/>
  <c r="CN10" i="1"/>
  <c r="CO10" i="1" s="1"/>
  <c r="CP10" i="1" s="1"/>
  <c r="EC55" i="1"/>
  <c r="ED55" i="1"/>
  <c r="W80" i="2"/>
  <c r="Y70" i="2"/>
  <c r="X70" i="2"/>
  <c r="D70" i="2" s="1"/>
  <c r="EA38" i="1"/>
  <c r="DZ38" i="1"/>
  <c r="DT26" i="1"/>
  <c r="DU26" i="1"/>
  <c r="W84" i="2"/>
  <c r="Y74" i="2"/>
  <c r="X74" i="2"/>
  <c r="D74" i="2" s="1"/>
  <c r="DZ42" i="1" l="1"/>
  <c r="EA42" i="1"/>
  <c r="O10" i="46"/>
  <c r="O28" i="46"/>
  <c r="T28" i="46" s="1"/>
  <c r="T9" i="46"/>
  <c r="T13" i="46" s="1"/>
  <c r="T16" i="46" s="1"/>
  <c r="ED44" i="1"/>
  <c r="EC44" i="1"/>
  <c r="DW25" i="1"/>
  <c r="DX25" i="1"/>
  <c r="AA95" i="2"/>
  <c r="AD85" i="2"/>
  <c r="AC85" i="2"/>
  <c r="AB85" i="2"/>
  <c r="E85" i="2" s="1"/>
  <c r="AD81" i="2"/>
  <c r="AB81" i="2"/>
  <c r="E81" i="2" s="1"/>
  <c r="AA91" i="2"/>
  <c r="AC81" i="2"/>
  <c r="EJ41" i="1"/>
  <c r="EL41" i="1" s="1"/>
  <c r="EY41" i="1"/>
  <c r="FA41" i="1" s="1"/>
  <c r="EG41" i="1"/>
  <c r="EI41" i="1" s="1"/>
  <c r="FH41" i="1"/>
  <c r="FJ41" i="1" s="1"/>
  <c r="FE41" i="1"/>
  <c r="FG41" i="1" s="1"/>
  <c r="FB41" i="1"/>
  <c r="FD41" i="1" s="1"/>
  <c r="EV41" i="1"/>
  <c r="EX41" i="1" s="1"/>
  <c r="ES41" i="1"/>
  <c r="EU41" i="1" s="1"/>
  <c r="EF41" i="1"/>
  <c r="EP41" i="1"/>
  <c r="ER41" i="1" s="1"/>
  <c r="EM41" i="1"/>
  <c r="EO41" i="1" s="1"/>
  <c r="E76" i="2"/>
  <c r="EM48" i="1"/>
  <c r="EO48" i="1" s="1"/>
  <c r="FB48" i="1"/>
  <c r="FD48" i="1" s="1"/>
  <c r="EJ48" i="1"/>
  <c r="EL48" i="1" s="1"/>
  <c r="EG48" i="1"/>
  <c r="EI48" i="1" s="1"/>
  <c r="EV48" i="1"/>
  <c r="EX48" i="1" s="1"/>
  <c r="EF48" i="1"/>
  <c r="FH48" i="1"/>
  <c r="FJ48" i="1" s="1"/>
  <c r="EP48" i="1"/>
  <c r="ER48" i="1" s="1"/>
  <c r="FE48" i="1"/>
  <c r="FG48" i="1" s="1"/>
  <c r="ES48" i="1"/>
  <c r="EU48" i="1" s="1"/>
  <c r="EY48" i="1"/>
  <c r="FA48" i="1" s="1"/>
  <c r="W99" i="2"/>
  <c r="X89" i="2"/>
  <c r="Y89" i="2"/>
  <c r="AA96" i="2"/>
  <c r="AD86" i="2"/>
  <c r="AB86" i="2"/>
  <c r="AC86" i="2"/>
  <c r="W101" i="2"/>
  <c r="X91" i="2"/>
  <c r="D91" i="2" s="1"/>
  <c r="Y91" i="2"/>
  <c r="CN11" i="1"/>
  <c r="CO11" i="1" s="1"/>
  <c r="CP11" i="1" s="1"/>
  <c r="EA15" i="1"/>
  <c r="DZ15" i="1"/>
  <c r="CN53" i="1"/>
  <c r="CO53" i="1" s="1"/>
  <c r="CP53" i="1" s="1"/>
  <c r="EA19" i="1"/>
  <c r="DZ19" i="1"/>
  <c r="EG55" i="1"/>
  <c r="EI55" i="1" s="1"/>
  <c r="FH55" i="1"/>
  <c r="FJ55" i="1" s="1"/>
  <c r="EP55" i="1"/>
  <c r="ER55" i="1" s="1"/>
  <c r="FE55" i="1"/>
  <c r="FG55" i="1" s="1"/>
  <c r="FB55" i="1"/>
  <c r="FD55" i="1" s="1"/>
  <c r="ES55" i="1"/>
  <c r="EU55" i="1" s="1"/>
  <c r="EJ55" i="1"/>
  <c r="EL55" i="1" s="1"/>
  <c r="EF55" i="1"/>
  <c r="EV55" i="1"/>
  <c r="EX55" i="1" s="1"/>
  <c r="EY55" i="1"/>
  <c r="FA55" i="1" s="1"/>
  <c r="EM55" i="1"/>
  <c r="EO55" i="1" s="1"/>
  <c r="EM62" i="1"/>
  <c r="EO62" i="1" s="1"/>
  <c r="FB62" i="1"/>
  <c r="FD62" i="1" s="1"/>
  <c r="EY62" i="1"/>
  <c r="FA62" i="1" s="1"/>
  <c r="EG62" i="1"/>
  <c r="EI62" i="1" s="1"/>
  <c r="EV62" i="1"/>
  <c r="EX62" i="1" s="1"/>
  <c r="EF62" i="1"/>
  <c r="FH62" i="1"/>
  <c r="FJ62" i="1" s="1"/>
  <c r="EJ62" i="1"/>
  <c r="EL62" i="1" s="1"/>
  <c r="FE62" i="1"/>
  <c r="FG62" i="1" s="1"/>
  <c r="ES62" i="1"/>
  <c r="EU62" i="1" s="1"/>
  <c r="EP62" i="1"/>
  <c r="ER62" i="1" s="1"/>
  <c r="E75" i="2"/>
  <c r="CK54" i="1"/>
  <c r="CL54" i="1" s="1"/>
  <c r="CM54" i="1" s="1"/>
  <c r="CJ54" i="1"/>
  <c r="CI55" i="1"/>
  <c r="EG57" i="1"/>
  <c r="EI57" i="1" s="1"/>
  <c r="EV57" i="1"/>
  <c r="EX57" i="1" s="1"/>
  <c r="EF57" i="1"/>
  <c r="FH57" i="1"/>
  <c r="FJ57" i="1" s="1"/>
  <c r="EP57" i="1"/>
  <c r="ER57" i="1" s="1"/>
  <c r="FE57" i="1"/>
  <c r="FG57" i="1" s="1"/>
  <c r="FB57" i="1"/>
  <c r="FD57" i="1" s="1"/>
  <c r="EY57" i="1"/>
  <c r="FA57" i="1" s="1"/>
  <c r="ES57" i="1"/>
  <c r="EU57" i="1" s="1"/>
  <c r="EM57" i="1"/>
  <c r="EO57" i="1" s="1"/>
  <c r="EJ57" i="1"/>
  <c r="EL57" i="1" s="1"/>
  <c r="DW46" i="1"/>
  <c r="DX46" i="1"/>
  <c r="CI13" i="1"/>
  <c r="CK12" i="1"/>
  <c r="CL12" i="1" s="1"/>
  <c r="CM12" i="1" s="1"/>
  <c r="CJ12" i="1"/>
  <c r="CD20" i="1"/>
  <c r="BS21" i="1"/>
  <c r="CF20" i="1"/>
  <c r="CB20" i="1"/>
  <c r="D76" i="2"/>
  <c r="DX61" i="1"/>
  <c r="DW61" i="1"/>
  <c r="AD78" i="2"/>
  <c r="AB78" i="2"/>
  <c r="AC78" i="2"/>
  <c r="AA88" i="2"/>
  <c r="DW29" i="1"/>
  <c r="DX29" i="1"/>
  <c r="W93" i="2"/>
  <c r="Y83" i="2"/>
  <c r="X83" i="2"/>
  <c r="D83" i="2" s="1"/>
  <c r="EA6" i="1"/>
  <c r="DZ6" i="1"/>
  <c r="E68" i="2"/>
  <c r="E93" i="2"/>
  <c r="ED5" i="1"/>
  <c r="EC5" i="1"/>
  <c r="EA47" i="1"/>
  <c r="DZ47" i="1"/>
  <c r="EA37" i="1"/>
  <c r="DZ37" i="1"/>
  <c r="DX58" i="1"/>
  <c r="DW58" i="1"/>
  <c r="DX59" i="1"/>
  <c r="DW59" i="1"/>
  <c r="DX53" i="1"/>
  <c r="DW53" i="1"/>
  <c r="DZ54" i="1"/>
  <c r="EA54" i="1"/>
  <c r="AD82" i="2"/>
  <c r="AC82" i="2"/>
  <c r="AB82" i="2"/>
  <c r="E82" i="2" s="1"/>
  <c r="AA92" i="2"/>
  <c r="EA36" i="1"/>
  <c r="DZ36" i="1"/>
  <c r="Y95" i="2"/>
  <c r="X95" i="2"/>
  <c r="D95" i="2" s="1"/>
  <c r="Y80" i="2"/>
  <c r="W90" i="2"/>
  <c r="X80" i="2"/>
  <c r="EA9" i="1"/>
  <c r="DZ9" i="1"/>
  <c r="AD80" i="2"/>
  <c r="AC80" i="2"/>
  <c r="AB80" i="2"/>
  <c r="E80" i="2" s="1"/>
  <c r="AA90" i="2"/>
  <c r="EC21" i="1"/>
  <c r="ED21" i="1"/>
  <c r="EC51" i="1"/>
  <c r="ED51" i="1"/>
  <c r="EA10" i="1"/>
  <c r="DZ10" i="1"/>
  <c r="W96" i="2"/>
  <c r="Y86" i="2"/>
  <c r="X86" i="2"/>
  <c r="DX11" i="1"/>
  <c r="DW11" i="1"/>
  <c r="DX60" i="1"/>
  <c r="DW60" i="1"/>
  <c r="EA31" i="1"/>
  <c r="DZ31" i="1"/>
  <c r="D85" i="2"/>
  <c r="ED56" i="1"/>
  <c r="EC56" i="1"/>
  <c r="EA32" i="1"/>
  <c r="DZ32" i="1"/>
  <c r="EA34" i="1"/>
  <c r="DZ34" i="1"/>
  <c r="EA43" i="1"/>
  <c r="DZ43" i="1"/>
  <c r="W98" i="2"/>
  <c r="Y88" i="2"/>
  <c r="X88" i="2"/>
  <c r="W102" i="2"/>
  <c r="Y92" i="2"/>
  <c r="X92" i="2"/>
  <c r="EM14" i="1"/>
  <c r="EO14" i="1" s="1"/>
  <c r="FB14" i="1"/>
  <c r="FD14" i="1" s="1"/>
  <c r="EJ14" i="1"/>
  <c r="EL14" i="1" s="1"/>
  <c r="EY14" i="1"/>
  <c r="FA14" i="1" s="1"/>
  <c r="EG14" i="1"/>
  <c r="EI14" i="1" s="1"/>
  <c r="EV14" i="1"/>
  <c r="EX14" i="1" s="1"/>
  <c r="EF14" i="1"/>
  <c r="FH14" i="1"/>
  <c r="FJ14" i="1" s="1"/>
  <c r="ES14" i="1"/>
  <c r="EU14" i="1" s="1"/>
  <c r="EP14" i="1"/>
  <c r="ER14" i="1" s="1"/>
  <c r="FE14" i="1"/>
  <c r="FG14" i="1" s="1"/>
  <c r="L38" i="46"/>
  <c r="M37" i="46"/>
  <c r="R38" i="46"/>
  <c r="AA84" i="2"/>
  <c r="AD74" i="2"/>
  <c r="AC74" i="2"/>
  <c r="AB74" i="2"/>
  <c r="EA18" i="1"/>
  <c r="DZ18" i="1"/>
  <c r="W94" i="2"/>
  <c r="Y84" i="2"/>
  <c r="X84" i="2"/>
  <c r="D84" i="2" s="1"/>
  <c r="DX49" i="1"/>
  <c r="DW49" i="1"/>
  <c r="EA27" i="1"/>
  <c r="DZ27" i="1"/>
  <c r="EA7" i="1"/>
  <c r="DZ7" i="1"/>
  <c r="EA28" i="1"/>
  <c r="DZ28" i="1"/>
  <c r="ED38" i="1"/>
  <c r="EC38" i="1"/>
  <c r="DZ8" i="1"/>
  <c r="EA8" i="1"/>
  <c r="AA89" i="2"/>
  <c r="AD79" i="2"/>
  <c r="AC79" i="2"/>
  <c r="AB79" i="2"/>
  <c r="EA30" i="1"/>
  <c r="DZ30" i="1"/>
  <c r="EA40" i="1"/>
  <c r="DZ40" i="1"/>
  <c r="AD103" i="2"/>
  <c r="AC103" i="2"/>
  <c r="AB103" i="2"/>
  <c r="EA35" i="1"/>
  <c r="DZ35" i="1"/>
  <c r="EA23" i="1"/>
  <c r="DZ23" i="1"/>
  <c r="DX26" i="1"/>
  <c r="DW26" i="1"/>
  <c r="DX45" i="1"/>
  <c r="DW45" i="1"/>
  <c r="X97" i="2"/>
  <c r="Y97" i="2"/>
  <c r="AQ3" i="2"/>
  <c r="AP2" i="2"/>
  <c r="EA33" i="1"/>
  <c r="DZ33" i="1"/>
  <c r="D73" i="2"/>
  <c r="AA97" i="2"/>
  <c r="AD87" i="2"/>
  <c r="AC87" i="2"/>
  <c r="AB87" i="2"/>
  <c r="E87" i="2" s="1"/>
  <c r="ED12" i="1"/>
  <c r="EC12" i="1"/>
  <c r="EA16" i="1"/>
  <c r="DZ16" i="1"/>
  <c r="DX39" i="1"/>
  <c r="DW39" i="1"/>
  <c r="DZ58" i="1" l="1"/>
  <c r="EA58" i="1"/>
  <c r="ED43" i="1"/>
  <c r="EC43" i="1"/>
  <c r="EC33" i="1"/>
  <c r="ED33" i="1"/>
  <c r="X98" i="2"/>
  <c r="D98" i="2" s="1"/>
  <c r="Y98" i="2"/>
  <c r="D86" i="2"/>
  <c r="X90" i="2"/>
  <c r="W100" i="2"/>
  <c r="Y90" i="2"/>
  <c r="Y101" i="2"/>
  <c r="X101" i="2"/>
  <c r="AA101" i="2"/>
  <c r="AD91" i="2"/>
  <c r="AC91" i="2"/>
  <c r="AB91" i="2"/>
  <c r="ED27" i="1"/>
  <c r="EC27" i="1"/>
  <c r="AC96" i="2"/>
  <c r="AB96" i="2"/>
  <c r="AD96" i="2"/>
  <c r="EC34" i="1"/>
  <c r="ED34" i="1"/>
  <c r="ED10" i="1"/>
  <c r="EC10" i="1"/>
  <c r="DZ39" i="1"/>
  <c r="EA39" i="1"/>
  <c r="EJ51" i="1"/>
  <c r="EL51" i="1" s="1"/>
  <c r="ES51" i="1"/>
  <c r="EU51" i="1" s="1"/>
  <c r="FH51" i="1"/>
  <c r="FJ51" i="1" s="1"/>
  <c r="FE51" i="1"/>
  <c r="FG51" i="1" s="1"/>
  <c r="EG51" i="1"/>
  <c r="EI51" i="1" s="1"/>
  <c r="EF51" i="1"/>
  <c r="FB51" i="1"/>
  <c r="FD51" i="1" s="1"/>
  <c r="EY51" i="1"/>
  <c r="FA51" i="1" s="1"/>
  <c r="EV51" i="1"/>
  <c r="EX51" i="1" s="1"/>
  <c r="EP51" i="1"/>
  <c r="ER51" i="1" s="1"/>
  <c r="EM51" i="1"/>
  <c r="EO51" i="1" s="1"/>
  <c r="ED36" i="1"/>
  <c r="EC36" i="1"/>
  <c r="EC47" i="1"/>
  <c r="ED47" i="1"/>
  <c r="D89" i="2"/>
  <c r="AC95" i="2"/>
  <c r="AB95" i="2"/>
  <c r="E95" i="2" s="1"/>
  <c r="AD95" i="2"/>
  <c r="E78" i="2"/>
  <c r="X94" i="2"/>
  <c r="D94" i="2" s="1"/>
  <c r="Y94" i="2"/>
  <c r="EC32" i="1"/>
  <c r="ED32" i="1"/>
  <c r="ES21" i="1"/>
  <c r="EU21" i="1" s="1"/>
  <c r="FE21" i="1"/>
  <c r="FG21" i="1" s="1"/>
  <c r="FB21" i="1"/>
  <c r="FD21" i="1" s="1"/>
  <c r="EM21" i="1"/>
  <c r="EO21" i="1" s="1"/>
  <c r="FH21" i="1"/>
  <c r="FJ21" i="1" s="1"/>
  <c r="EJ21" i="1"/>
  <c r="EL21" i="1" s="1"/>
  <c r="EG21" i="1"/>
  <c r="EI21" i="1" s="1"/>
  <c r="EF21" i="1"/>
  <c r="EY21" i="1"/>
  <c r="FA21" i="1" s="1"/>
  <c r="EV21" i="1"/>
  <c r="EX21" i="1" s="1"/>
  <c r="EP21" i="1"/>
  <c r="ER21" i="1" s="1"/>
  <c r="EV5" i="1"/>
  <c r="EX5" i="1" s="1"/>
  <c r="ES5" i="1"/>
  <c r="EU5" i="1" s="1"/>
  <c r="FH5" i="1"/>
  <c r="FJ5" i="1" s="1"/>
  <c r="EP5" i="1"/>
  <c r="ER5" i="1" s="1"/>
  <c r="FE5" i="1"/>
  <c r="FG5" i="1" s="1"/>
  <c r="EY5" i="1"/>
  <c r="FA5" i="1" s="1"/>
  <c r="EG5" i="1"/>
  <c r="EI5" i="1" s="1"/>
  <c r="EF5" i="1"/>
  <c r="EM5" i="1"/>
  <c r="EO5" i="1" s="1"/>
  <c r="FB5" i="1"/>
  <c r="FD5" i="1" s="1"/>
  <c r="EJ5" i="1"/>
  <c r="EL5" i="1" s="1"/>
  <c r="ED19" i="1"/>
  <c r="EC19" i="1"/>
  <c r="X99" i="2"/>
  <c r="Y99" i="2"/>
  <c r="EA25" i="1"/>
  <c r="DZ25" i="1"/>
  <c r="ED40" i="1"/>
  <c r="EC40" i="1"/>
  <c r="AC88" i="2"/>
  <c r="AA98" i="2"/>
  <c r="AB88" i="2"/>
  <c r="AD88" i="2"/>
  <c r="D97" i="2"/>
  <c r="EA45" i="1"/>
  <c r="DZ45" i="1"/>
  <c r="AC92" i="2"/>
  <c r="AB92" i="2"/>
  <c r="AA102" i="2"/>
  <c r="AD92" i="2"/>
  <c r="EA61" i="1"/>
  <c r="DZ61" i="1"/>
  <c r="ED16" i="1"/>
  <c r="EC16" i="1"/>
  <c r="AA99" i="2"/>
  <c r="AD89" i="2"/>
  <c r="AB89" i="2"/>
  <c r="AC89" i="2"/>
  <c r="EA26" i="1"/>
  <c r="DZ26" i="1"/>
  <c r="EC8" i="1"/>
  <c r="ED8" i="1"/>
  <c r="ED18" i="1"/>
  <c r="EC18" i="1"/>
  <c r="FE56" i="1"/>
  <c r="FG56" i="1" s="1"/>
  <c r="EM56" i="1"/>
  <c r="EO56" i="1" s="1"/>
  <c r="EJ56" i="1"/>
  <c r="EL56" i="1" s="1"/>
  <c r="EG56" i="1"/>
  <c r="EI56" i="1" s="1"/>
  <c r="EP56" i="1"/>
  <c r="ER56" i="1" s="1"/>
  <c r="FB56" i="1"/>
  <c r="FD56" i="1" s="1"/>
  <c r="EY56" i="1"/>
  <c r="FA56" i="1" s="1"/>
  <c r="EV56" i="1"/>
  <c r="EX56" i="1" s="1"/>
  <c r="ES56" i="1"/>
  <c r="EU56" i="1" s="1"/>
  <c r="FH56" i="1"/>
  <c r="FJ56" i="1" s="1"/>
  <c r="EF56" i="1"/>
  <c r="FE12" i="1"/>
  <c r="FG12" i="1" s="1"/>
  <c r="FB12" i="1"/>
  <c r="FD12" i="1" s="1"/>
  <c r="EJ12" i="1"/>
  <c r="EL12" i="1" s="1"/>
  <c r="EY12" i="1"/>
  <c r="FA12" i="1" s="1"/>
  <c r="EP12" i="1"/>
  <c r="ER12" i="1" s="1"/>
  <c r="EG12" i="1"/>
  <c r="EI12" i="1" s="1"/>
  <c r="EF12" i="1"/>
  <c r="FH12" i="1"/>
  <c r="FJ12" i="1" s="1"/>
  <c r="EV12" i="1"/>
  <c r="EX12" i="1" s="1"/>
  <c r="EM12" i="1"/>
  <c r="EO12" i="1" s="1"/>
  <c r="ES12" i="1"/>
  <c r="EU12" i="1" s="1"/>
  <c r="E74" i="2"/>
  <c r="AA100" i="2"/>
  <c r="AD90" i="2"/>
  <c r="AC90" i="2"/>
  <c r="AB90" i="2"/>
  <c r="E90" i="2" s="1"/>
  <c r="ED54" i="1"/>
  <c r="EC54" i="1"/>
  <c r="CB21" i="1"/>
  <c r="CF21" i="1"/>
  <c r="CD21" i="1"/>
  <c r="BS22" i="1"/>
  <c r="ES44" i="1"/>
  <c r="EU44" i="1" s="1"/>
  <c r="FE44" i="1"/>
  <c r="FG44" i="1" s="1"/>
  <c r="FB44" i="1"/>
  <c r="FD44" i="1" s="1"/>
  <c r="EY44" i="1"/>
  <c r="FA44" i="1" s="1"/>
  <c r="EM44" i="1"/>
  <c r="EO44" i="1" s="1"/>
  <c r="EJ44" i="1"/>
  <c r="EL44" i="1" s="1"/>
  <c r="FH44" i="1"/>
  <c r="FJ44" i="1" s="1"/>
  <c r="EF44" i="1"/>
  <c r="EP44" i="1"/>
  <c r="ER44" i="1" s="1"/>
  <c r="EG44" i="1"/>
  <c r="EI44" i="1" s="1"/>
  <c r="EV44" i="1"/>
  <c r="EX44" i="1" s="1"/>
  <c r="ES38" i="1"/>
  <c r="EU38" i="1" s="1"/>
  <c r="FB38" i="1"/>
  <c r="FD38" i="1" s="1"/>
  <c r="EY38" i="1"/>
  <c r="FA38" i="1" s="1"/>
  <c r="EF38" i="1"/>
  <c r="EV38" i="1"/>
  <c r="EX38" i="1" s="1"/>
  <c r="EP38" i="1"/>
  <c r="ER38" i="1" s="1"/>
  <c r="EM38" i="1"/>
  <c r="EO38" i="1" s="1"/>
  <c r="EG38" i="1"/>
  <c r="EI38" i="1" s="1"/>
  <c r="EJ38" i="1"/>
  <c r="EL38" i="1" s="1"/>
  <c r="FH38" i="1"/>
  <c r="FJ38" i="1" s="1"/>
  <c r="FE38" i="1"/>
  <c r="FG38" i="1" s="1"/>
  <c r="D92" i="2"/>
  <c r="EC31" i="1"/>
  <c r="ED31" i="1"/>
  <c r="ED6" i="1"/>
  <c r="EC6" i="1"/>
  <c r="ED15" i="1"/>
  <c r="EC15" i="1"/>
  <c r="E86" i="2"/>
  <c r="AA94" i="2"/>
  <c r="AB84" i="2"/>
  <c r="AD84" i="2"/>
  <c r="AC84" i="2"/>
  <c r="CJ55" i="1"/>
  <c r="CI56" i="1"/>
  <c r="CK55" i="1"/>
  <c r="CL55" i="1" s="1"/>
  <c r="CM55" i="1" s="1"/>
  <c r="Y96" i="2"/>
  <c r="X96" i="2"/>
  <c r="D96" i="2" s="1"/>
  <c r="E79" i="2"/>
  <c r="EC35" i="1"/>
  <c r="ED35" i="1"/>
  <c r="AD97" i="2"/>
  <c r="AC97" i="2"/>
  <c r="AB97" i="2"/>
  <c r="E97" i="2" s="1"/>
  <c r="E103" i="2"/>
  <c r="EC28" i="1"/>
  <c r="ED28" i="1"/>
  <c r="X102" i="2"/>
  <c r="Y102" i="2"/>
  <c r="DZ60" i="1"/>
  <c r="EA60" i="1"/>
  <c r="EA53" i="1"/>
  <c r="DZ53" i="1"/>
  <c r="CP12" i="1"/>
  <c r="CN12" i="1"/>
  <c r="CO12" i="1" s="1"/>
  <c r="O11" i="46"/>
  <c r="O29" i="46"/>
  <c r="T29" i="46" s="1"/>
  <c r="EA49" i="1"/>
  <c r="DZ49" i="1"/>
  <c r="ED37" i="1"/>
  <c r="EC37" i="1"/>
  <c r="EC23" i="1"/>
  <c r="ED23" i="1"/>
  <c r="D88" i="2"/>
  <c r="EC9" i="1"/>
  <c r="ED9" i="1"/>
  <c r="Y93" i="2"/>
  <c r="W103" i="2"/>
  <c r="X93" i="2"/>
  <c r="D93" i="2" s="1"/>
  <c r="CK13" i="1"/>
  <c r="CL13" i="1" s="1"/>
  <c r="CM13" i="1" s="1"/>
  <c r="CJ13" i="1"/>
  <c r="CI14" i="1"/>
  <c r="CP54" i="1"/>
  <c r="CN54" i="1"/>
  <c r="CO54" i="1" s="1"/>
  <c r="EC42" i="1"/>
  <c r="ED42" i="1"/>
  <c r="EC30" i="1"/>
  <c r="ED30" i="1"/>
  <c r="EC7" i="1"/>
  <c r="ED7" i="1"/>
  <c r="R39" i="46"/>
  <c r="L39" i="46"/>
  <c r="M38" i="46"/>
  <c r="EA11" i="1"/>
  <c r="DZ11" i="1"/>
  <c r="D80" i="2"/>
  <c r="EA59" i="1"/>
  <c r="DZ59" i="1"/>
  <c r="DZ29" i="1"/>
  <c r="EA29" i="1"/>
  <c r="EA46" i="1"/>
  <c r="DZ46" i="1"/>
  <c r="ED61" i="1" l="1"/>
  <c r="EC61" i="1"/>
  <c r="E84" i="2"/>
  <c r="EC39" i="1"/>
  <c r="ED39" i="1"/>
  <c r="EP35" i="1"/>
  <c r="ER35" i="1" s="1"/>
  <c r="FE35" i="1"/>
  <c r="FG35" i="1" s="1"/>
  <c r="FB35" i="1"/>
  <c r="FD35" i="1" s="1"/>
  <c r="EJ35" i="1"/>
  <c r="EL35" i="1" s="1"/>
  <c r="EY35" i="1"/>
  <c r="FA35" i="1" s="1"/>
  <c r="EV35" i="1"/>
  <c r="EX35" i="1" s="1"/>
  <c r="EF35" i="1"/>
  <c r="FH35" i="1"/>
  <c r="FJ35" i="1" s="1"/>
  <c r="EM35" i="1"/>
  <c r="EO35" i="1" s="1"/>
  <c r="EG35" i="1"/>
  <c r="EI35" i="1" s="1"/>
  <c r="ES35" i="1"/>
  <c r="EU35" i="1" s="1"/>
  <c r="EJ6" i="1"/>
  <c r="EL6" i="1" s="1"/>
  <c r="EY6" i="1"/>
  <c r="FA6" i="1" s="1"/>
  <c r="FB6" i="1"/>
  <c r="FD6" i="1" s="1"/>
  <c r="EG6" i="1"/>
  <c r="EI6" i="1" s="1"/>
  <c r="EV6" i="1"/>
  <c r="EX6" i="1" s="1"/>
  <c r="EF6" i="1"/>
  <c r="EM6" i="1"/>
  <c r="EO6" i="1" s="1"/>
  <c r="ES6" i="1"/>
  <c r="EU6" i="1" s="1"/>
  <c r="FH6" i="1"/>
  <c r="FJ6" i="1" s="1"/>
  <c r="FE6" i="1"/>
  <c r="FG6" i="1" s="1"/>
  <c r="EP6" i="1"/>
  <c r="ER6" i="1" s="1"/>
  <c r="L40" i="46"/>
  <c r="M40" i="46" s="1"/>
  <c r="M39" i="46"/>
  <c r="R40" i="46"/>
  <c r="EJ9" i="1"/>
  <c r="EL9" i="1" s="1"/>
  <c r="EG9" i="1"/>
  <c r="EI9" i="1" s="1"/>
  <c r="ES9" i="1"/>
  <c r="EU9" i="1" s="1"/>
  <c r="EV9" i="1"/>
  <c r="EX9" i="1" s="1"/>
  <c r="FB9" i="1"/>
  <c r="FD9" i="1" s="1"/>
  <c r="EF9" i="1"/>
  <c r="EP9" i="1"/>
  <c r="ER9" i="1" s="1"/>
  <c r="EY9" i="1"/>
  <c r="FA9" i="1" s="1"/>
  <c r="FH9" i="1"/>
  <c r="FJ9" i="1" s="1"/>
  <c r="EM9" i="1"/>
  <c r="EO9" i="1" s="1"/>
  <c r="FE9" i="1"/>
  <c r="FG9" i="1" s="1"/>
  <c r="EC25" i="1"/>
  <c r="ED25" i="1"/>
  <c r="D101" i="2"/>
  <c r="D102" i="2"/>
  <c r="CB22" i="1"/>
  <c r="CF22" i="1"/>
  <c r="CD22" i="1"/>
  <c r="BS23" i="1"/>
  <c r="ES30" i="1"/>
  <c r="EU30" i="1" s="1"/>
  <c r="FH30" i="1"/>
  <c r="FJ30" i="1" s="1"/>
  <c r="EP30" i="1"/>
  <c r="ER30" i="1" s="1"/>
  <c r="FB30" i="1"/>
  <c r="FD30" i="1" s="1"/>
  <c r="EJ30" i="1"/>
  <c r="EL30" i="1" s="1"/>
  <c r="FE30" i="1"/>
  <c r="FG30" i="1" s="1"/>
  <c r="EG30" i="1"/>
  <c r="EI30" i="1" s="1"/>
  <c r="EF30" i="1"/>
  <c r="EV30" i="1"/>
  <c r="EX30" i="1" s="1"/>
  <c r="EM30" i="1"/>
  <c r="EO30" i="1" s="1"/>
  <c r="EY30" i="1"/>
  <c r="FA30" i="1" s="1"/>
  <c r="AD94" i="2"/>
  <c r="AB94" i="2"/>
  <c r="AC94" i="2"/>
  <c r="EG19" i="1"/>
  <c r="EI19" i="1" s="1"/>
  <c r="FB19" i="1"/>
  <c r="FD19" i="1" s="1"/>
  <c r="EF19" i="1"/>
  <c r="EY19" i="1"/>
  <c r="FA19" i="1" s="1"/>
  <c r="EV19" i="1"/>
  <c r="EX19" i="1" s="1"/>
  <c r="ES19" i="1"/>
  <c r="EU19" i="1" s="1"/>
  <c r="EJ19" i="1"/>
  <c r="EL19" i="1" s="1"/>
  <c r="FH19" i="1"/>
  <c r="FJ19" i="1" s="1"/>
  <c r="FE19" i="1"/>
  <c r="FG19" i="1" s="1"/>
  <c r="EP19" i="1"/>
  <c r="ER19" i="1" s="1"/>
  <c r="EM19" i="1"/>
  <c r="EO19" i="1" s="1"/>
  <c r="EJ18" i="1"/>
  <c r="EL18" i="1" s="1"/>
  <c r="EY18" i="1"/>
  <c r="FA18" i="1" s="1"/>
  <c r="EG18" i="1"/>
  <c r="EI18" i="1" s="1"/>
  <c r="EV18" i="1"/>
  <c r="EX18" i="1" s="1"/>
  <c r="EF18" i="1"/>
  <c r="ES18" i="1"/>
  <c r="EU18" i="1" s="1"/>
  <c r="FH18" i="1"/>
  <c r="FJ18" i="1" s="1"/>
  <c r="FE18" i="1"/>
  <c r="FG18" i="1" s="1"/>
  <c r="FB18" i="1"/>
  <c r="FD18" i="1" s="1"/>
  <c r="EP18" i="1"/>
  <c r="ER18" i="1" s="1"/>
  <c r="EM18" i="1"/>
  <c r="EO18" i="1" s="1"/>
  <c r="Y100" i="2"/>
  <c r="X100" i="2"/>
  <c r="D100" i="2" s="1"/>
  <c r="ES23" i="1"/>
  <c r="EU23" i="1" s="1"/>
  <c r="EM23" i="1"/>
  <c r="EO23" i="1" s="1"/>
  <c r="EJ23" i="1"/>
  <c r="EL23" i="1" s="1"/>
  <c r="EV23" i="1"/>
  <c r="EX23" i="1" s="1"/>
  <c r="EF23" i="1"/>
  <c r="FH23" i="1"/>
  <c r="FJ23" i="1" s="1"/>
  <c r="FE23" i="1"/>
  <c r="FG23" i="1" s="1"/>
  <c r="EG23" i="1"/>
  <c r="EI23" i="1" s="1"/>
  <c r="FB23" i="1"/>
  <c r="FD23" i="1" s="1"/>
  <c r="EY23" i="1"/>
  <c r="FA23" i="1" s="1"/>
  <c r="EP23" i="1"/>
  <c r="ER23" i="1" s="1"/>
  <c r="ES42" i="1"/>
  <c r="EU42" i="1" s="1"/>
  <c r="FH42" i="1"/>
  <c r="FJ42" i="1" s="1"/>
  <c r="EP42" i="1"/>
  <c r="ER42" i="1" s="1"/>
  <c r="EM42" i="1"/>
  <c r="EO42" i="1" s="1"/>
  <c r="FE42" i="1"/>
  <c r="FG42" i="1" s="1"/>
  <c r="EG42" i="1"/>
  <c r="EI42" i="1" s="1"/>
  <c r="EF42" i="1"/>
  <c r="EY42" i="1"/>
  <c r="FA42" i="1" s="1"/>
  <c r="EJ42" i="1"/>
  <c r="EL42" i="1" s="1"/>
  <c r="EV42" i="1"/>
  <c r="EX42" i="1" s="1"/>
  <c r="FB42" i="1"/>
  <c r="FD42" i="1" s="1"/>
  <c r="EP37" i="1"/>
  <c r="ER37" i="1" s="1"/>
  <c r="FE37" i="1"/>
  <c r="FG37" i="1" s="1"/>
  <c r="FB37" i="1"/>
  <c r="FD37" i="1" s="1"/>
  <c r="EJ37" i="1"/>
  <c r="EL37" i="1" s="1"/>
  <c r="EY37" i="1"/>
  <c r="FA37" i="1" s="1"/>
  <c r="EV37" i="1"/>
  <c r="EX37" i="1" s="1"/>
  <c r="EF37" i="1"/>
  <c r="FH37" i="1"/>
  <c r="FJ37" i="1" s="1"/>
  <c r="EG37" i="1"/>
  <c r="EI37" i="1" s="1"/>
  <c r="EM37" i="1"/>
  <c r="EO37" i="1" s="1"/>
  <c r="ES37" i="1"/>
  <c r="EU37" i="1" s="1"/>
  <c r="ES8" i="1"/>
  <c r="EU8" i="1" s="1"/>
  <c r="FB8" i="1"/>
  <c r="FD8" i="1" s="1"/>
  <c r="FH8" i="1"/>
  <c r="FJ8" i="1" s="1"/>
  <c r="EP8" i="1"/>
  <c r="ER8" i="1" s="1"/>
  <c r="FE8" i="1"/>
  <c r="FG8" i="1" s="1"/>
  <c r="EM8" i="1"/>
  <c r="EO8" i="1" s="1"/>
  <c r="EV8" i="1"/>
  <c r="EX8" i="1" s="1"/>
  <c r="EJ8" i="1"/>
  <c r="EL8" i="1" s="1"/>
  <c r="EY8" i="1"/>
  <c r="FA8" i="1" s="1"/>
  <c r="EG8" i="1"/>
  <c r="EI8" i="1" s="1"/>
  <c r="EF8" i="1"/>
  <c r="EP10" i="1"/>
  <c r="ER10" i="1" s="1"/>
  <c r="FB10" i="1"/>
  <c r="FD10" i="1" s="1"/>
  <c r="EJ10" i="1"/>
  <c r="EL10" i="1" s="1"/>
  <c r="FH10" i="1"/>
  <c r="FJ10" i="1" s="1"/>
  <c r="ES10" i="1"/>
  <c r="EU10" i="1" s="1"/>
  <c r="EV10" i="1"/>
  <c r="EX10" i="1" s="1"/>
  <c r="EM10" i="1"/>
  <c r="EO10" i="1" s="1"/>
  <c r="EG10" i="1"/>
  <c r="EI10" i="1" s="1"/>
  <c r="FE10" i="1"/>
  <c r="FG10" i="1" s="1"/>
  <c r="EF10" i="1"/>
  <c r="EY10" i="1"/>
  <c r="FA10" i="1" s="1"/>
  <c r="D90" i="2"/>
  <c r="E92" i="2"/>
  <c r="FH47" i="1"/>
  <c r="FJ47" i="1" s="1"/>
  <c r="FE47" i="1"/>
  <c r="FG47" i="1" s="1"/>
  <c r="EM47" i="1"/>
  <c r="EO47" i="1" s="1"/>
  <c r="FB47" i="1"/>
  <c r="FD47" i="1" s="1"/>
  <c r="EJ47" i="1"/>
  <c r="EL47" i="1" s="1"/>
  <c r="EG47" i="1"/>
  <c r="EI47" i="1" s="1"/>
  <c r="ES47" i="1"/>
  <c r="EU47" i="1" s="1"/>
  <c r="EY47" i="1"/>
  <c r="FA47" i="1" s="1"/>
  <c r="EV47" i="1"/>
  <c r="EX47" i="1" s="1"/>
  <c r="EP47" i="1"/>
  <c r="ER47" i="1" s="1"/>
  <c r="EF47" i="1"/>
  <c r="EC46" i="1"/>
  <c r="ED46" i="1"/>
  <c r="ES15" i="1"/>
  <c r="EU15" i="1" s="1"/>
  <c r="FH15" i="1"/>
  <c r="FJ15" i="1" s="1"/>
  <c r="EP15" i="1"/>
  <c r="ER15" i="1" s="1"/>
  <c r="FE15" i="1"/>
  <c r="FG15" i="1" s="1"/>
  <c r="FB15" i="1"/>
  <c r="FD15" i="1" s="1"/>
  <c r="EJ15" i="1"/>
  <c r="EL15" i="1" s="1"/>
  <c r="EV15" i="1"/>
  <c r="EX15" i="1" s="1"/>
  <c r="EF15" i="1"/>
  <c r="EY15" i="1"/>
  <c r="FA15" i="1" s="1"/>
  <c r="EG15" i="1"/>
  <c r="EI15" i="1" s="1"/>
  <c r="EM15" i="1"/>
  <c r="EO15" i="1" s="1"/>
  <c r="EC45" i="1"/>
  <c r="ED45" i="1"/>
  <c r="EP36" i="1"/>
  <c r="ER36" i="1" s="1"/>
  <c r="FE36" i="1"/>
  <c r="FG36" i="1" s="1"/>
  <c r="FB36" i="1"/>
  <c r="FD36" i="1" s="1"/>
  <c r="EJ36" i="1"/>
  <c r="EL36" i="1" s="1"/>
  <c r="EY36" i="1"/>
  <c r="FA36" i="1" s="1"/>
  <c r="EV36" i="1"/>
  <c r="EX36" i="1" s="1"/>
  <c r="EF36" i="1"/>
  <c r="FH36" i="1"/>
  <c r="FJ36" i="1" s="1"/>
  <c r="EM36" i="1"/>
  <c r="EO36" i="1" s="1"/>
  <c r="EG36" i="1"/>
  <c r="EI36" i="1" s="1"/>
  <c r="ES36" i="1"/>
  <c r="EU36" i="1" s="1"/>
  <c r="FH34" i="1"/>
  <c r="FJ34" i="1" s="1"/>
  <c r="EP34" i="1"/>
  <c r="ER34" i="1" s="1"/>
  <c r="FE34" i="1"/>
  <c r="FG34" i="1" s="1"/>
  <c r="EM34" i="1"/>
  <c r="EO34" i="1" s="1"/>
  <c r="FB34" i="1"/>
  <c r="FD34" i="1" s="1"/>
  <c r="EJ34" i="1"/>
  <c r="EL34" i="1" s="1"/>
  <c r="EG34" i="1"/>
  <c r="EI34" i="1" s="1"/>
  <c r="ES34" i="1"/>
  <c r="EU34" i="1" s="1"/>
  <c r="EY34" i="1"/>
  <c r="FA34" i="1" s="1"/>
  <c r="EV34" i="1"/>
  <c r="EX34" i="1" s="1"/>
  <c r="EF34" i="1"/>
  <c r="ED29" i="1"/>
  <c r="EC29" i="1"/>
  <c r="EC49" i="1"/>
  <c r="ED49" i="1"/>
  <c r="EP54" i="1"/>
  <c r="ER54" i="1" s="1"/>
  <c r="EY54" i="1"/>
  <c r="FA54" i="1" s="1"/>
  <c r="EG54" i="1"/>
  <c r="EI54" i="1" s="1"/>
  <c r="EF54" i="1"/>
  <c r="FH54" i="1"/>
  <c r="FJ54" i="1" s="1"/>
  <c r="FE54" i="1"/>
  <c r="FG54" i="1" s="1"/>
  <c r="FB54" i="1"/>
  <c r="FD54" i="1" s="1"/>
  <c r="EV54" i="1"/>
  <c r="EX54" i="1" s="1"/>
  <c r="EM54" i="1"/>
  <c r="EO54" i="1" s="1"/>
  <c r="EJ54" i="1"/>
  <c r="EL54" i="1" s="1"/>
  <c r="ES54" i="1"/>
  <c r="EU54" i="1" s="1"/>
  <c r="ES31" i="1"/>
  <c r="EU31" i="1" s="1"/>
  <c r="FH31" i="1"/>
  <c r="FJ31" i="1" s="1"/>
  <c r="EP31" i="1"/>
  <c r="ER31" i="1" s="1"/>
  <c r="EM31" i="1"/>
  <c r="EO31" i="1" s="1"/>
  <c r="FB31" i="1"/>
  <c r="FD31" i="1" s="1"/>
  <c r="EY31" i="1"/>
  <c r="FA31" i="1" s="1"/>
  <c r="EV31" i="1"/>
  <c r="EX31" i="1" s="1"/>
  <c r="EJ31" i="1"/>
  <c r="EL31" i="1" s="1"/>
  <c r="EF31" i="1"/>
  <c r="FE31" i="1"/>
  <c r="FG31" i="1" s="1"/>
  <c r="EG31" i="1"/>
  <c r="EI31" i="1" s="1"/>
  <c r="E88" i="2"/>
  <c r="E96" i="2"/>
  <c r="FH33" i="1"/>
  <c r="FJ33" i="1" s="1"/>
  <c r="EP33" i="1"/>
  <c r="ER33" i="1" s="1"/>
  <c r="FE33" i="1"/>
  <c r="FG33" i="1" s="1"/>
  <c r="EM33" i="1"/>
  <c r="EO33" i="1" s="1"/>
  <c r="FB33" i="1"/>
  <c r="FD33" i="1" s="1"/>
  <c r="EJ33" i="1"/>
  <c r="EL33" i="1" s="1"/>
  <c r="EG33" i="1"/>
  <c r="EI33" i="1" s="1"/>
  <c r="ES33" i="1"/>
  <c r="EU33" i="1" s="1"/>
  <c r="EY33" i="1"/>
  <c r="FA33" i="1" s="1"/>
  <c r="EV33" i="1"/>
  <c r="EX33" i="1" s="1"/>
  <c r="EF33" i="1"/>
  <c r="AD101" i="2"/>
  <c r="AC101" i="2"/>
  <c r="AB101" i="2"/>
  <c r="E101" i="2" s="1"/>
  <c r="EP28" i="1"/>
  <c r="ER28" i="1" s="1"/>
  <c r="FE28" i="1"/>
  <c r="FG28" i="1" s="1"/>
  <c r="EM28" i="1"/>
  <c r="EO28" i="1" s="1"/>
  <c r="FB28" i="1"/>
  <c r="FD28" i="1" s="1"/>
  <c r="EY28" i="1"/>
  <c r="FA28" i="1" s="1"/>
  <c r="EV28" i="1"/>
  <c r="EX28" i="1" s="1"/>
  <c r="EF28" i="1"/>
  <c r="FH28" i="1"/>
  <c r="FJ28" i="1" s="1"/>
  <c r="ES28" i="1"/>
  <c r="EU28" i="1" s="1"/>
  <c r="EJ28" i="1"/>
  <c r="EL28" i="1" s="1"/>
  <c r="EG28" i="1"/>
  <c r="EI28" i="1" s="1"/>
  <c r="ED59" i="1"/>
  <c r="EC59" i="1"/>
  <c r="E89" i="2"/>
  <c r="AB98" i="2"/>
  <c r="AD98" i="2"/>
  <c r="AC98" i="2"/>
  <c r="FH32" i="1"/>
  <c r="FJ32" i="1" s="1"/>
  <c r="EP32" i="1"/>
  <c r="ER32" i="1" s="1"/>
  <c r="FE32" i="1"/>
  <c r="FG32" i="1" s="1"/>
  <c r="EM32" i="1"/>
  <c r="EO32" i="1" s="1"/>
  <c r="FB32" i="1"/>
  <c r="FD32" i="1" s="1"/>
  <c r="EJ32" i="1"/>
  <c r="EL32" i="1" s="1"/>
  <c r="EG32" i="1"/>
  <c r="EI32" i="1" s="1"/>
  <c r="ES32" i="1"/>
  <c r="EU32" i="1" s="1"/>
  <c r="EY32" i="1"/>
  <c r="FA32" i="1" s="1"/>
  <c r="EV32" i="1"/>
  <c r="EX32" i="1" s="1"/>
  <c r="EF32" i="1"/>
  <c r="O30" i="46"/>
  <c r="O12" i="46"/>
  <c r="AC100" i="2"/>
  <c r="AB100" i="2"/>
  <c r="E100" i="2" s="1"/>
  <c r="AD100" i="2"/>
  <c r="D99" i="2"/>
  <c r="AD102" i="2"/>
  <c r="AB102" i="2"/>
  <c r="AC102" i="2"/>
  <c r="ED26" i="1"/>
  <c r="EC26" i="1"/>
  <c r="CN13" i="1"/>
  <c r="CO13" i="1" s="1"/>
  <c r="CP13" i="1"/>
  <c r="AD99" i="2"/>
  <c r="AC99" i="2"/>
  <c r="AB99" i="2"/>
  <c r="E99" i="2" s="1"/>
  <c r="EY27" i="1"/>
  <c r="FA27" i="1" s="1"/>
  <c r="EG27" i="1"/>
  <c r="EI27" i="1" s="1"/>
  <c r="EV27" i="1"/>
  <c r="EX27" i="1" s="1"/>
  <c r="EF27" i="1"/>
  <c r="EJ27" i="1"/>
  <c r="EL27" i="1" s="1"/>
  <c r="ES27" i="1"/>
  <c r="EU27" i="1" s="1"/>
  <c r="EP27" i="1"/>
  <c r="ER27" i="1" s="1"/>
  <c r="EM27" i="1"/>
  <c r="EO27" i="1" s="1"/>
  <c r="FH27" i="1"/>
  <c r="FJ27" i="1" s="1"/>
  <c r="FB27" i="1"/>
  <c r="FD27" i="1" s="1"/>
  <c r="FE27" i="1"/>
  <c r="FG27" i="1" s="1"/>
  <c r="FB43" i="1"/>
  <c r="FD43" i="1" s="1"/>
  <c r="EY43" i="1"/>
  <c r="FA43" i="1" s="1"/>
  <c r="EG43" i="1"/>
  <c r="EI43" i="1" s="1"/>
  <c r="EM43" i="1"/>
  <c r="EO43" i="1" s="1"/>
  <c r="EV43" i="1"/>
  <c r="EX43" i="1" s="1"/>
  <c r="EP43" i="1"/>
  <c r="ER43" i="1" s="1"/>
  <c r="EF43" i="1"/>
  <c r="FE43" i="1"/>
  <c r="FG43" i="1" s="1"/>
  <c r="ES43" i="1"/>
  <c r="EU43" i="1" s="1"/>
  <c r="EJ43" i="1"/>
  <c r="EL43" i="1" s="1"/>
  <c r="FH43" i="1"/>
  <c r="FJ43" i="1" s="1"/>
  <c r="FB7" i="1"/>
  <c r="FD7" i="1" s="1"/>
  <c r="FH7" i="1"/>
  <c r="FJ7" i="1" s="1"/>
  <c r="EP7" i="1"/>
  <c r="ER7" i="1" s="1"/>
  <c r="FE7" i="1"/>
  <c r="FG7" i="1" s="1"/>
  <c r="EM7" i="1"/>
  <c r="EO7" i="1" s="1"/>
  <c r="EJ7" i="1"/>
  <c r="EL7" i="1" s="1"/>
  <c r="EV7" i="1"/>
  <c r="EX7" i="1" s="1"/>
  <c r="ES7" i="1"/>
  <c r="EU7" i="1" s="1"/>
  <c r="EY7" i="1"/>
  <c r="FA7" i="1" s="1"/>
  <c r="EG7" i="1"/>
  <c r="EI7" i="1" s="1"/>
  <c r="EF7" i="1"/>
  <c r="CI15" i="1"/>
  <c r="CJ14" i="1"/>
  <c r="CK14" i="1"/>
  <c r="CL14" i="1" s="1"/>
  <c r="CM14" i="1" s="1"/>
  <c r="EC11" i="1"/>
  <c r="ED11" i="1"/>
  <c r="Y103" i="2"/>
  <c r="X103" i="2"/>
  <c r="D103" i="2" s="1"/>
  <c r="CP55" i="1"/>
  <c r="CN55" i="1"/>
  <c r="CO55" i="1" s="1"/>
  <c r="FH40" i="1"/>
  <c r="FJ40" i="1" s="1"/>
  <c r="FE40" i="1"/>
  <c r="FG40" i="1" s="1"/>
  <c r="EJ40" i="1"/>
  <c r="EL40" i="1" s="1"/>
  <c r="EG40" i="1"/>
  <c r="EI40" i="1" s="1"/>
  <c r="EY40" i="1"/>
  <c r="FA40" i="1" s="1"/>
  <c r="EV40" i="1"/>
  <c r="EX40" i="1" s="1"/>
  <c r="ES40" i="1"/>
  <c r="EU40" i="1" s="1"/>
  <c r="EP40" i="1"/>
  <c r="ER40" i="1" s="1"/>
  <c r="FB40" i="1"/>
  <c r="FD40" i="1" s="1"/>
  <c r="EF40" i="1"/>
  <c r="EM40" i="1"/>
  <c r="EO40" i="1" s="1"/>
  <c r="E91" i="2"/>
  <c r="ED58" i="1"/>
  <c r="EC58" i="1"/>
  <c r="ED53" i="1"/>
  <c r="EC53" i="1"/>
  <c r="EC60" i="1"/>
  <c r="ED60" i="1"/>
  <c r="CK56" i="1"/>
  <c r="CL56" i="1" s="1"/>
  <c r="CM56" i="1" s="1"/>
  <c r="CI57" i="1"/>
  <c r="CJ56" i="1"/>
  <c r="FB16" i="1"/>
  <c r="FD16" i="1" s="1"/>
  <c r="EJ16" i="1"/>
  <c r="EL16" i="1" s="1"/>
  <c r="EY16" i="1"/>
  <c r="FA16" i="1" s="1"/>
  <c r="EG16" i="1"/>
  <c r="EI16" i="1" s="1"/>
  <c r="EV16" i="1"/>
  <c r="EX16" i="1" s="1"/>
  <c r="EF16" i="1"/>
  <c r="ES16" i="1"/>
  <c r="EU16" i="1" s="1"/>
  <c r="EM16" i="1"/>
  <c r="EO16" i="1" s="1"/>
  <c r="FH16" i="1"/>
  <c r="FJ16" i="1" s="1"/>
  <c r="FE16" i="1"/>
  <c r="FG16" i="1" s="1"/>
  <c r="EP16" i="1"/>
  <c r="ER16" i="1" s="1"/>
  <c r="EP26" i="1" l="1"/>
  <c r="ER26" i="1" s="1"/>
  <c r="FE26" i="1"/>
  <c r="FG26" i="1" s="1"/>
  <c r="EM26" i="1"/>
  <c r="EO26" i="1" s="1"/>
  <c r="EY26" i="1"/>
  <c r="FA26" i="1" s="1"/>
  <c r="EV26" i="1"/>
  <c r="EX26" i="1" s="1"/>
  <c r="EF26" i="1"/>
  <c r="FH26" i="1"/>
  <c r="FJ26" i="1" s="1"/>
  <c r="ES26" i="1"/>
  <c r="EU26" i="1" s="1"/>
  <c r="EJ26" i="1"/>
  <c r="EL26" i="1" s="1"/>
  <c r="EG26" i="1"/>
  <c r="EI26" i="1" s="1"/>
  <c r="FB26" i="1"/>
  <c r="FD26" i="1" s="1"/>
  <c r="EG46" i="1"/>
  <c r="EI46" i="1" s="1"/>
  <c r="ES46" i="1"/>
  <c r="EU46" i="1" s="1"/>
  <c r="EP46" i="1"/>
  <c r="ER46" i="1" s="1"/>
  <c r="EM46" i="1"/>
  <c r="EO46" i="1" s="1"/>
  <c r="EY46" i="1"/>
  <c r="FA46" i="1" s="1"/>
  <c r="EV46" i="1"/>
  <c r="EX46" i="1" s="1"/>
  <c r="EJ46" i="1"/>
  <c r="EL46" i="1" s="1"/>
  <c r="EF46" i="1"/>
  <c r="FH46" i="1"/>
  <c r="FJ46" i="1" s="1"/>
  <c r="FE46" i="1"/>
  <c r="FG46" i="1" s="1"/>
  <c r="FB46" i="1"/>
  <c r="FD46" i="1" s="1"/>
  <c r="FE58" i="1"/>
  <c r="FG58" i="1" s="1"/>
  <c r="EM58" i="1"/>
  <c r="EO58" i="1" s="1"/>
  <c r="EJ58" i="1"/>
  <c r="EL58" i="1" s="1"/>
  <c r="EG58" i="1"/>
  <c r="EI58" i="1" s="1"/>
  <c r="EP58" i="1"/>
  <c r="ER58" i="1" s="1"/>
  <c r="FH58" i="1"/>
  <c r="FJ58" i="1" s="1"/>
  <c r="EY58" i="1"/>
  <c r="FA58" i="1" s="1"/>
  <c r="EV58" i="1"/>
  <c r="EX58" i="1" s="1"/>
  <c r="EF58" i="1"/>
  <c r="FB58" i="1"/>
  <c r="FD58" i="1" s="1"/>
  <c r="ES58" i="1"/>
  <c r="EU58" i="1" s="1"/>
  <c r="E102" i="2"/>
  <c r="ES25" i="1"/>
  <c r="EU25" i="1" s="1"/>
  <c r="EM25" i="1"/>
  <c r="EO25" i="1" s="1"/>
  <c r="EJ25" i="1"/>
  <c r="EL25" i="1" s="1"/>
  <c r="EV25" i="1"/>
  <c r="EX25" i="1" s="1"/>
  <c r="EF25" i="1"/>
  <c r="EP25" i="1"/>
  <c r="ER25" i="1" s="1"/>
  <c r="FH25" i="1"/>
  <c r="FJ25" i="1" s="1"/>
  <c r="FE25" i="1"/>
  <c r="FG25" i="1" s="1"/>
  <c r="EG25" i="1"/>
  <c r="EI25" i="1" s="1"/>
  <c r="FB25" i="1"/>
  <c r="FD25" i="1" s="1"/>
  <c r="EY25" i="1"/>
  <c r="FA25" i="1" s="1"/>
  <c r="EM45" i="1"/>
  <c r="EO45" i="1" s="1"/>
  <c r="EY45" i="1"/>
  <c r="FA45" i="1" s="1"/>
  <c r="EG45" i="1"/>
  <c r="EI45" i="1" s="1"/>
  <c r="EV45" i="1"/>
  <c r="EX45" i="1" s="1"/>
  <c r="EF45" i="1"/>
  <c r="ES45" i="1"/>
  <c r="EU45" i="1" s="1"/>
  <c r="FE45" i="1"/>
  <c r="FG45" i="1" s="1"/>
  <c r="EP45" i="1"/>
  <c r="ER45" i="1" s="1"/>
  <c r="EJ45" i="1"/>
  <c r="EL45" i="1" s="1"/>
  <c r="FB45" i="1"/>
  <c r="FD45" i="1" s="1"/>
  <c r="FH45" i="1"/>
  <c r="FJ45" i="1" s="1"/>
  <c r="E98" i="2"/>
  <c r="CJ15" i="1"/>
  <c r="CI16" i="1"/>
  <c r="CK15" i="1"/>
  <c r="CL15" i="1" s="1"/>
  <c r="CM15" i="1" s="1"/>
  <c r="EG11" i="1"/>
  <c r="EI11" i="1" s="1"/>
  <c r="ES11" i="1"/>
  <c r="EU11" i="1" s="1"/>
  <c r="FH11" i="1"/>
  <c r="FJ11" i="1" s="1"/>
  <c r="EY11" i="1"/>
  <c r="FA11" i="1" s="1"/>
  <c r="FB11" i="1"/>
  <c r="FD11" i="1" s="1"/>
  <c r="EJ11" i="1"/>
  <c r="EL11" i="1" s="1"/>
  <c r="FE11" i="1"/>
  <c r="FG11" i="1" s="1"/>
  <c r="EV11" i="1"/>
  <c r="EX11" i="1" s="1"/>
  <c r="EP11" i="1"/>
  <c r="ER11" i="1" s="1"/>
  <c r="EM11" i="1"/>
  <c r="EO11" i="1" s="1"/>
  <c r="EF11" i="1"/>
  <c r="EJ39" i="1"/>
  <c r="EL39" i="1" s="1"/>
  <c r="ES39" i="1"/>
  <c r="EU39" i="1" s="1"/>
  <c r="EP39" i="1"/>
  <c r="ER39" i="1" s="1"/>
  <c r="FB39" i="1"/>
  <c r="FD39" i="1" s="1"/>
  <c r="EY39" i="1"/>
  <c r="FA39" i="1" s="1"/>
  <c r="EM39" i="1"/>
  <c r="EO39" i="1" s="1"/>
  <c r="EF39" i="1"/>
  <c r="EG39" i="1"/>
  <c r="EI39" i="1" s="1"/>
  <c r="EV39" i="1"/>
  <c r="EX39" i="1" s="1"/>
  <c r="FH39" i="1"/>
  <c r="FJ39" i="1" s="1"/>
  <c r="FE39" i="1"/>
  <c r="FG39" i="1" s="1"/>
  <c r="EG49" i="1"/>
  <c r="EI49" i="1" s="1"/>
  <c r="EY49" i="1"/>
  <c r="FA49" i="1" s="1"/>
  <c r="EF49" i="1"/>
  <c r="ES49" i="1"/>
  <c r="EU49" i="1" s="1"/>
  <c r="FH49" i="1"/>
  <c r="FJ49" i="1" s="1"/>
  <c r="EP49" i="1"/>
  <c r="ER49" i="1" s="1"/>
  <c r="FE49" i="1"/>
  <c r="FG49" i="1" s="1"/>
  <c r="FB49" i="1"/>
  <c r="FD49" i="1" s="1"/>
  <c r="EJ49" i="1"/>
  <c r="EL49" i="1" s="1"/>
  <c r="EM49" i="1"/>
  <c r="EO49" i="1" s="1"/>
  <c r="EV49" i="1"/>
  <c r="EX49" i="1" s="1"/>
  <c r="O31" i="46"/>
  <c r="T30" i="46"/>
  <c r="CJ57" i="1"/>
  <c r="CI58" i="1"/>
  <c r="CK57" i="1"/>
  <c r="CL57" i="1" s="1"/>
  <c r="CM57" i="1" s="1"/>
  <c r="EY53" i="1"/>
  <c r="FA53" i="1" s="1"/>
  <c r="EG53" i="1"/>
  <c r="EI53" i="1" s="1"/>
  <c r="FH53" i="1"/>
  <c r="FJ53" i="1" s="1"/>
  <c r="EJ53" i="1"/>
  <c r="EL53" i="1" s="1"/>
  <c r="EV53" i="1"/>
  <c r="EX53" i="1" s="1"/>
  <c r="ES53" i="1"/>
  <c r="EU53" i="1" s="1"/>
  <c r="EM53" i="1"/>
  <c r="EO53" i="1" s="1"/>
  <c r="FB53" i="1"/>
  <c r="FD53" i="1" s="1"/>
  <c r="FE53" i="1"/>
  <c r="FG53" i="1" s="1"/>
  <c r="EP53" i="1"/>
  <c r="ER53" i="1" s="1"/>
  <c r="EF53" i="1"/>
  <c r="E94" i="2"/>
  <c r="CN14" i="1"/>
  <c r="CO14" i="1" s="1"/>
  <c r="CP14" i="1" s="1"/>
  <c r="EV59" i="1"/>
  <c r="EX59" i="1" s="1"/>
  <c r="EF59" i="1"/>
  <c r="FE59" i="1"/>
  <c r="FG59" i="1" s="1"/>
  <c r="EG59" i="1"/>
  <c r="EI59" i="1" s="1"/>
  <c r="FB59" i="1"/>
  <c r="FD59" i="1" s="1"/>
  <c r="EY59" i="1"/>
  <c r="FA59" i="1" s="1"/>
  <c r="EP59" i="1"/>
  <c r="ER59" i="1" s="1"/>
  <c r="EM59" i="1"/>
  <c r="EO59" i="1" s="1"/>
  <c r="FH59" i="1"/>
  <c r="FJ59" i="1" s="1"/>
  <c r="EJ59" i="1"/>
  <c r="EL59" i="1" s="1"/>
  <c r="ES59" i="1"/>
  <c r="EU59" i="1" s="1"/>
  <c r="CN56" i="1"/>
  <c r="CO56" i="1" s="1"/>
  <c r="CP56" i="1" s="1"/>
  <c r="EM60" i="1"/>
  <c r="EO60" i="1" s="1"/>
  <c r="FB60" i="1"/>
  <c r="FD60" i="1" s="1"/>
  <c r="EJ60" i="1"/>
  <c r="EL60" i="1" s="1"/>
  <c r="EY60" i="1"/>
  <c r="FA60" i="1" s="1"/>
  <c r="EG60" i="1"/>
  <c r="EI60" i="1" s="1"/>
  <c r="EV60" i="1"/>
  <c r="EX60" i="1" s="1"/>
  <c r="EF60" i="1"/>
  <c r="ES60" i="1"/>
  <c r="EU60" i="1" s="1"/>
  <c r="FE60" i="1"/>
  <c r="FG60" i="1" s="1"/>
  <c r="EP60" i="1"/>
  <c r="ER60" i="1" s="1"/>
  <c r="FH60" i="1"/>
  <c r="FJ60" i="1" s="1"/>
  <c r="EP29" i="1"/>
  <c r="ER29" i="1" s="1"/>
  <c r="FE29" i="1"/>
  <c r="FG29" i="1" s="1"/>
  <c r="EJ29" i="1"/>
  <c r="EL29" i="1" s="1"/>
  <c r="FH29" i="1"/>
  <c r="FJ29" i="1" s="1"/>
  <c r="EG29" i="1"/>
  <c r="EI29" i="1" s="1"/>
  <c r="FB29" i="1"/>
  <c r="FD29" i="1" s="1"/>
  <c r="EF29" i="1"/>
  <c r="EY29" i="1"/>
  <c r="FA29" i="1" s="1"/>
  <c r="EV29" i="1"/>
  <c r="EX29" i="1" s="1"/>
  <c r="ES29" i="1"/>
  <c r="EU29" i="1" s="1"/>
  <c r="EM29" i="1"/>
  <c r="EO29" i="1" s="1"/>
  <c r="BS24" i="1"/>
  <c r="CB23" i="1"/>
  <c r="CF23" i="1"/>
  <c r="CD23" i="1"/>
  <c r="EV61" i="1"/>
  <c r="EX61" i="1" s="1"/>
  <c r="EF61" i="1"/>
  <c r="FH61" i="1"/>
  <c r="FJ61" i="1" s="1"/>
  <c r="EP61" i="1"/>
  <c r="ER61" i="1" s="1"/>
  <c r="FE61" i="1"/>
  <c r="FG61" i="1" s="1"/>
  <c r="EG61" i="1"/>
  <c r="EI61" i="1" s="1"/>
  <c r="FB61" i="1"/>
  <c r="FD61" i="1" s="1"/>
  <c r="ES61" i="1"/>
  <c r="EU61" i="1" s="1"/>
  <c r="EY61" i="1"/>
  <c r="FA61" i="1" s="1"/>
  <c r="EJ61" i="1"/>
  <c r="EL61" i="1" s="1"/>
  <c r="EM61" i="1"/>
  <c r="EO61" i="1" s="1"/>
  <c r="CI17" i="1" l="1"/>
  <c r="CK16" i="1"/>
  <c r="CL16" i="1" s="1"/>
  <c r="CM16" i="1" s="1"/>
  <c r="CJ16" i="1"/>
  <c r="CN15" i="1"/>
  <c r="CO15" i="1" s="1"/>
  <c r="CP15" i="1" s="1"/>
  <c r="CD24" i="1"/>
  <c r="CF24" i="1"/>
  <c r="CB24" i="1"/>
  <c r="BS25" i="1"/>
  <c r="O32" i="46"/>
  <c r="T31" i="46"/>
  <c r="CN57" i="1"/>
  <c r="CO57" i="1" s="1"/>
  <c r="CP57" i="1" s="1"/>
  <c r="CI59" i="1"/>
  <c r="CJ58" i="1"/>
  <c r="CK58" i="1"/>
  <c r="CL58" i="1" s="1"/>
  <c r="CM58" i="1" s="1"/>
  <c r="CN58" i="1" l="1"/>
  <c r="CO58" i="1" s="1"/>
  <c r="CP58" i="1" s="1"/>
  <c r="CK59" i="1"/>
  <c r="CL59" i="1" s="1"/>
  <c r="CM59" i="1" s="1"/>
  <c r="CJ59" i="1"/>
  <c r="CI60" i="1"/>
  <c r="BS26" i="1"/>
  <c r="CF25" i="1"/>
  <c r="CD25" i="1"/>
  <c r="CB25" i="1"/>
  <c r="O33" i="46"/>
  <c r="T32" i="46"/>
  <c r="CN16" i="1"/>
  <c r="CO16" i="1" s="1"/>
  <c r="CP16" i="1" s="1"/>
  <c r="CK17" i="1"/>
  <c r="CL17" i="1" s="1"/>
  <c r="CM17" i="1" s="1"/>
  <c r="CJ17" i="1"/>
  <c r="CI18" i="1"/>
  <c r="CN17" i="1" l="1"/>
  <c r="CO17" i="1" s="1"/>
  <c r="CP17" i="1" s="1"/>
  <c r="CI19" i="1"/>
  <c r="CK18" i="1"/>
  <c r="CL18" i="1" s="1"/>
  <c r="CM18" i="1" s="1"/>
  <c r="CJ18" i="1"/>
  <c r="CN59" i="1"/>
  <c r="CO59" i="1" s="1"/>
  <c r="CP59" i="1"/>
  <c r="O34" i="46"/>
  <c r="T33" i="46"/>
  <c r="BS27" i="1"/>
  <c r="CF26" i="1"/>
  <c r="CD26" i="1"/>
  <c r="CB26" i="1"/>
  <c r="CI61" i="1"/>
  <c r="CK60" i="1"/>
  <c r="CL60" i="1" s="1"/>
  <c r="CM60" i="1" s="1"/>
  <c r="CJ60" i="1"/>
  <c r="CJ61" i="1" l="1"/>
  <c r="CI62" i="1"/>
  <c r="CK61" i="1"/>
  <c r="CL61" i="1" s="1"/>
  <c r="CM61" i="1" s="1"/>
  <c r="BS28" i="1"/>
  <c r="CD27" i="1"/>
  <c r="CB27" i="1"/>
  <c r="CF27" i="1"/>
  <c r="CN60" i="1"/>
  <c r="CO60" i="1" s="1"/>
  <c r="CP60" i="1" s="1"/>
  <c r="CK19" i="1"/>
  <c r="CL19" i="1" s="1"/>
  <c r="CM19" i="1" s="1"/>
  <c r="CJ19" i="1"/>
  <c r="CI20" i="1"/>
  <c r="O35" i="46"/>
  <c r="O36" i="46" s="1"/>
  <c r="O37" i="46" s="1"/>
  <c r="O38" i="46" s="1"/>
  <c r="O39" i="46" s="1"/>
  <c r="O40" i="46" s="1"/>
  <c r="T34" i="46"/>
  <c r="T42" i="46" s="1"/>
  <c r="CN18" i="1"/>
  <c r="CO18" i="1" s="1"/>
  <c r="CP18" i="1" s="1"/>
  <c r="CI21" i="1" l="1"/>
  <c r="CK20" i="1"/>
  <c r="CL20" i="1" s="1"/>
  <c r="CM20" i="1" s="1"/>
  <c r="CJ20" i="1"/>
  <c r="CF28" i="1"/>
  <c r="CD28" i="1"/>
  <c r="CB28" i="1"/>
  <c r="BS29" i="1"/>
  <c r="T45" i="46"/>
  <c r="U42" i="46"/>
  <c r="U45" i="46" s="1"/>
  <c r="V45" i="46" s="1"/>
  <c r="CN19" i="1"/>
  <c r="CO19" i="1" s="1"/>
  <c r="CP19" i="1" s="1"/>
  <c r="CN61" i="1"/>
  <c r="CO61" i="1" s="1"/>
  <c r="CP61" i="1" s="1"/>
  <c r="CJ62" i="1"/>
  <c r="CK62" i="1"/>
  <c r="CL62" i="1" s="1"/>
  <c r="CM62" i="1" s="1"/>
  <c r="CN62" i="1" l="1"/>
  <c r="CO62" i="1" s="1"/>
  <c r="CP62" i="1" s="1"/>
  <c r="BS30" i="1"/>
  <c r="CF29" i="1"/>
  <c r="CD29" i="1"/>
  <c r="CB29" i="1"/>
  <c r="CN20" i="1"/>
  <c r="CO20" i="1" s="1"/>
  <c r="CP20" i="1" s="1"/>
  <c r="CK21" i="1"/>
  <c r="CL21" i="1" s="1"/>
  <c r="CM21" i="1" s="1"/>
  <c r="CI22" i="1"/>
  <c r="CJ21" i="1"/>
  <c r="CN21" i="1" l="1"/>
  <c r="CO21" i="1" s="1"/>
  <c r="CP21" i="1" s="1"/>
  <c r="BS31" i="1"/>
  <c r="CB30" i="1"/>
  <c r="CD30" i="1"/>
  <c r="CF30" i="1"/>
  <c r="CI23" i="1"/>
  <c r="CK22" i="1"/>
  <c r="CL22" i="1" s="1"/>
  <c r="CM22" i="1" s="1"/>
  <c r="CJ22" i="1"/>
  <c r="CN22" i="1" l="1"/>
  <c r="CO22" i="1" s="1"/>
  <c r="CP22" i="1"/>
  <c r="CK23" i="1"/>
  <c r="CL23" i="1" s="1"/>
  <c r="CM23" i="1" s="1"/>
  <c r="CJ23" i="1"/>
  <c r="CI24" i="1"/>
  <c r="BS32" i="1"/>
  <c r="CF31" i="1"/>
  <c r="CD31" i="1"/>
  <c r="CB31" i="1"/>
  <c r="CN23" i="1" l="1"/>
  <c r="CO23" i="1" s="1"/>
  <c r="CP23" i="1" s="1"/>
  <c r="BS33" i="1"/>
  <c r="CB32" i="1"/>
  <c r="CD32" i="1"/>
  <c r="CF32" i="1"/>
  <c r="CI25" i="1"/>
  <c r="CJ24" i="1"/>
  <c r="CK24" i="1"/>
  <c r="CL24" i="1" s="1"/>
  <c r="CM24" i="1" s="1"/>
  <c r="CI26" i="1" l="1"/>
  <c r="CK25" i="1"/>
  <c r="CL25" i="1" s="1"/>
  <c r="CM25" i="1" s="1"/>
  <c r="CJ25" i="1"/>
  <c r="BS34" i="1"/>
  <c r="CD33" i="1"/>
  <c r="CB33" i="1"/>
  <c r="CF33" i="1"/>
  <c r="CN24" i="1"/>
  <c r="CO24" i="1" s="1"/>
  <c r="CP24" i="1" s="1"/>
  <c r="BS35" i="1" l="1"/>
  <c r="CD34" i="1"/>
  <c r="CF34" i="1"/>
  <c r="CB34" i="1"/>
  <c r="CN25" i="1"/>
  <c r="CO25" i="1" s="1"/>
  <c r="CP25" i="1"/>
  <c r="CJ26" i="1"/>
  <c r="CI27" i="1"/>
  <c r="CK26" i="1"/>
  <c r="CL26" i="1" s="1"/>
  <c r="CM26" i="1" s="1"/>
  <c r="CN26" i="1" l="1"/>
  <c r="CO26" i="1" s="1"/>
  <c r="CP26" i="1" s="1"/>
  <c r="CI28" i="1"/>
  <c r="CK27" i="1"/>
  <c r="CL27" i="1" s="1"/>
  <c r="CM27" i="1" s="1"/>
  <c r="CJ27" i="1"/>
  <c r="BS36" i="1"/>
  <c r="CB35" i="1"/>
  <c r="CF35" i="1"/>
  <c r="CD35" i="1"/>
  <c r="BS37" i="1" l="1"/>
  <c r="CB36" i="1"/>
  <c r="CF36" i="1"/>
  <c r="CD36" i="1"/>
  <c r="CJ28" i="1"/>
  <c r="CK28" i="1"/>
  <c r="CL28" i="1" s="1"/>
  <c r="CM28" i="1" s="1"/>
  <c r="CI29" i="1"/>
  <c r="CN27" i="1"/>
  <c r="CO27" i="1" s="1"/>
  <c r="CP27" i="1" s="1"/>
  <c r="CI30" i="1" l="1"/>
  <c r="CK29" i="1"/>
  <c r="CL29" i="1" s="1"/>
  <c r="CM29" i="1" s="1"/>
  <c r="CJ29" i="1"/>
  <c r="CN28" i="1"/>
  <c r="CO28" i="1" s="1"/>
  <c r="CP28" i="1" s="1"/>
  <c r="BS38" i="1"/>
  <c r="CD37" i="1"/>
  <c r="CB37" i="1"/>
  <c r="CF37" i="1"/>
  <c r="BS39" i="1" l="1"/>
  <c r="CB38" i="1"/>
  <c r="CF38" i="1"/>
  <c r="CD38" i="1"/>
  <c r="CN29" i="1"/>
  <c r="CO29" i="1" s="1"/>
  <c r="CP29" i="1" s="1"/>
  <c r="CI31" i="1"/>
  <c r="CK30" i="1"/>
  <c r="CL30" i="1" s="1"/>
  <c r="CM30" i="1" s="1"/>
  <c r="CJ30" i="1"/>
  <c r="CI32" i="1" l="1"/>
  <c r="CK31" i="1"/>
  <c r="CL31" i="1" s="1"/>
  <c r="CM31" i="1" s="1"/>
  <c r="CJ31" i="1"/>
  <c r="CN30" i="1"/>
  <c r="CO30" i="1" s="1"/>
  <c r="CP30" i="1" s="1"/>
  <c r="BS40" i="1"/>
  <c r="CD39" i="1"/>
  <c r="CB39" i="1"/>
  <c r="CF39" i="1"/>
  <c r="BS41" i="1" l="1"/>
  <c r="CD40" i="1"/>
  <c r="CB40" i="1"/>
  <c r="CF40" i="1"/>
  <c r="CN31" i="1"/>
  <c r="CO31" i="1" s="1"/>
  <c r="CP31" i="1"/>
  <c r="CI33" i="1"/>
  <c r="CK32" i="1"/>
  <c r="CL32" i="1" s="1"/>
  <c r="CM32" i="1" s="1"/>
  <c r="CJ32" i="1"/>
  <c r="CN32" i="1" l="1"/>
  <c r="CO32" i="1" s="1"/>
  <c r="CP32" i="1" s="1"/>
  <c r="CI34" i="1"/>
  <c r="CK33" i="1"/>
  <c r="CL33" i="1" s="1"/>
  <c r="CM33" i="1" s="1"/>
  <c r="CJ33" i="1"/>
  <c r="CB41" i="1"/>
  <c r="BS42" i="1"/>
  <c r="CF41" i="1"/>
  <c r="CD41" i="1"/>
  <c r="BS43" i="1" l="1"/>
  <c r="CF42" i="1"/>
  <c r="CB42" i="1"/>
  <c r="CD42" i="1"/>
  <c r="CN33" i="1"/>
  <c r="CO33" i="1" s="1"/>
  <c r="CP33" i="1" s="1"/>
  <c r="CI35" i="1"/>
  <c r="CJ34" i="1"/>
  <c r="CK34" i="1"/>
  <c r="CL34" i="1" s="1"/>
  <c r="CM34" i="1" s="1"/>
  <c r="CI36" i="1" l="1"/>
  <c r="CJ35" i="1"/>
  <c r="CK35" i="1"/>
  <c r="CL35" i="1" s="1"/>
  <c r="CM35" i="1" s="1"/>
  <c r="CN34" i="1"/>
  <c r="CO34" i="1" s="1"/>
  <c r="CP34" i="1" s="1"/>
  <c r="CB43" i="1"/>
  <c r="BS44" i="1"/>
  <c r="CD43" i="1"/>
  <c r="CF43" i="1"/>
  <c r="CB44" i="1" l="1"/>
  <c r="CF44" i="1"/>
  <c r="CD44" i="1"/>
  <c r="BS45" i="1"/>
  <c r="CN35" i="1"/>
  <c r="CO35" i="1" s="1"/>
  <c r="CP35" i="1"/>
  <c r="CI37" i="1"/>
  <c r="CJ36" i="1"/>
  <c r="CK36" i="1"/>
  <c r="CL36" i="1" s="1"/>
  <c r="CM36" i="1" s="1"/>
  <c r="CI38" i="1" l="1"/>
  <c r="CJ37" i="1"/>
  <c r="CK37" i="1"/>
  <c r="CL37" i="1" s="1"/>
  <c r="CM37" i="1" s="1"/>
  <c r="CN36" i="1"/>
  <c r="CO36" i="1" s="1"/>
  <c r="CP36" i="1" s="1"/>
  <c r="CB45" i="1"/>
  <c r="CF45" i="1"/>
  <c r="CD45" i="1"/>
  <c r="CN37" i="1" l="1"/>
  <c r="CO37" i="1" s="1"/>
  <c r="CP37" i="1"/>
  <c r="CI39" i="1"/>
  <c r="CK38" i="1"/>
  <c r="CL38" i="1" s="1"/>
  <c r="CM38" i="1" s="1"/>
  <c r="CJ38" i="1"/>
  <c r="CN38" i="1" l="1"/>
  <c r="CO38" i="1" s="1"/>
  <c r="CP38" i="1"/>
  <c r="CI40" i="1"/>
  <c r="CJ39" i="1"/>
  <c r="CK39" i="1"/>
  <c r="CL39" i="1" s="1"/>
  <c r="CM39" i="1" s="1"/>
  <c r="CN39" i="1" l="1"/>
  <c r="CO39" i="1" s="1"/>
  <c r="CP39" i="1" s="1"/>
  <c r="CJ40" i="1"/>
  <c r="CK40" i="1"/>
  <c r="CL40" i="1" s="1"/>
  <c r="CM40" i="1" s="1"/>
  <c r="CI41" i="1"/>
  <c r="CJ41" i="1" l="1"/>
  <c r="CK41" i="1"/>
  <c r="CL41" i="1" s="1"/>
  <c r="CM41" i="1" s="1"/>
  <c r="CI42" i="1"/>
  <c r="CN40" i="1"/>
  <c r="CO40" i="1" s="1"/>
  <c r="CP40" i="1"/>
  <c r="CK42" i="1" l="1"/>
  <c r="CL42" i="1" s="1"/>
  <c r="CM42" i="1" s="1"/>
  <c r="CJ42" i="1"/>
  <c r="CI43" i="1"/>
  <c r="CN41" i="1"/>
  <c r="CO41" i="1" s="1"/>
  <c r="CP41" i="1" s="1"/>
  <c r="CI44" i="1" l="1"/>
  <c r="CK43" i="1"/>
  <c r="CL43" i="1" s="1"/>
  <c r="CM43" i="1" s="1"/>
  <c r="CJ43" i="1"/>
  <c r="CN42" i="1"/>
  <c r="CO42" i="1" s="1"/>
  <c r="CP42" i="1" s="1"/>
  <c r="CN43" i="1" l="1"/>
  <c r="CO43" i="1" s="1"/>
  <c r="CP43" i="1"/>
  <c r="CK44" i="1"/>
  <c r="CL44" i="1" s="1"/>
  <c r="CM44" i="1" s="1"/>
  <c r="CJ44" i="1"/>
  <c r="CN44" i="1" l="1"/>
  <c r="CO44" i="1" s="1"/>
  <c r="CP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作者</author>
    <author>user</author>
    <author>龙江</author>
  </authors>
  <commentList>
    <comment ref="B6" authorId="0" shapeId="0" xr:uid="{00000000-0006-0000-0100-000001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现在逻辑坐标是10000*10000</t>
        </r>
      </text>
    </comment>
    <comment ref="B44" authorId="0" shapeId="0" xr:uid="{00000000-0006-0000-0100-000002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客户端专用
服务器不允许小数</t>
        </r>
      </text>
    </comment>
    <comment ref="I65" authorId="0" shapeId="0" xr:uid="{00000000-0006-0000-0100-000003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比赛时间+积分动画持续时间</t>
        </r>
      </text>
    </comment>
    <comment ref="B83" authorId="1" shapeId="0" xr:uid="{00000000-0006-0000-0100-000004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85/100算随机数</t>
        </r>
      </text>
    </comment>
    <comment ref="B91" authorId="2" shapeId="0" xr:uid="{00000000-0006-0000-0100-000005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开火和锁定共用一个等级</t>
        </r>
      </text>
    </comment>
    <comment ref="B105" authorId="2" shapeId="0" xr:uid="{00000000-0006-0000-0100-000006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</t>
        </r>
      </text>
    </comment>
    <comment ref="B120" authorId="2" shapeId="0" xr:uid="{00000000-0006-0000-0100-00000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C=50/100</t>
        </r>
      </text>
    </comment>
    <comment ref="B121" authorId="2" shapeId="0" xr:uid="{00000000-0006-0000-0100-000008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C=N/100</t>
        </r>
      </text>
    </comment>
    <comment ref="B122" authorId="2" shapeId="0" xr:uid="{00000000-0006-0000-0100-000009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300炮倍率</t>
        </r>
      </text>
    </comment>
    <comment ref="B134" authorId="2" shapeId="0" xr:uid="{00000000-0006-0000-0100-00000A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概率=60/100</t>
        </r>
      </text>
    </comment>
    <comment ref="B135" authorId="2" shapeId="0" xr:uid="{00000000-0006-0000-0100-00000B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概率=60/100</t>
        </r>
      </text>
    </comment>
    <comment ref="B148" authorId="2" shapeId="0" xr:uid="{00000000-0006-0000-0100-00000C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["2|1001|200",10],最后一个10表示10/100，在现有概率上衰减为10%</t>
        </r>
      </text>
    </comment>
    <comment ref="A219" authorId="3" shapeId="0" xr:uid="{00000000-0006-0000-0100-00000D000000}">
      <text>
        <r>
          <rPr>
            <sz val="9"/>
            <rFont val="宋体"/>
            <charset val="134"/>
          </rPr>
          <t>展示奖池的大致范围</t>
        </r>
      </text>
    </comment>
    <comment ref="B246" authorId="0" shapeId="0" xr:uid="{00000000-0006-0000-0100-00000E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功能开启做在了客户端
现在是按照账号创建时间算起的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  <author>86177</author>
    <author>jianlong wo</author>
  </authors>
  <commentList>
    <comment ref="F4" authorId="0" shapeId="0" xr:uid="{00000000-0006-0000-0C00-00000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 xr:uid="{00000000-0006-0000-0C00-000002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从左到右显示的第一个物品</t>
        </r>
      </text>
    </comment>
    <comment ref="K4" authorId="1" shapeId="0" xr:uid="{00000000-0006-0000-0C00-000003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用来控制客户端特效显示</t>
        </r>
      </text>
    </comment>
    <comment ref="BI4" authorId="1" shapeId="0" xr:uid="{00000000-0006-0000-0C00-000004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从左到右显示的第一个物品</t>
        </r>
      </text>
    </comment>
    <comment ref="BM4" authorId="1" shapeId="0" xr:uid="{00000000-0006-0000-0C00-000005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用来控制客户端特效显示</t>
        </r>
      </text>
    </comment>
    <comment ref="BR4" authorId="1" shapeId="0" xr:uid="{00000000-0006-0000-0C00-000006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从左到右显示的第一个物品</t>
        </r>
      </text>
    </comment>
    <comment ref="BV4" authorId="1" shapeId="0" xr:uid="{00000000-0006-0000-0C00-000007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用来控制客户端特效显示</t>
        </r>
      </text>
    </comment>
    <comment ref="CA4" authorId="1" shapeId="0" xr:uid="{00000000-0006-0000-0C00-000008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从左到右显示的第一个物品</t>
        </r>
      </text>
    </comment>
    <comment ref="CE4" authorId="1" shapeId="0" xr:uid="{00000000-0006-0000-0C00-000009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用来控制客户端特效显示</t>
        </r>
      </text>
    </comment>
    <comment ref="CJ4" authorId="1" shapeId="0" xr:uid="{00000000-0006-0000-0C00-00000A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从左到右显示的第一个物品</t>
        </r>
      </text>
    </comment>
    <comment ref="CN4" authorId="1" shapeId="0" xr:uid="{00000000-0006-0000-0C00-00000B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用来控制客户端特效显示</t>
        </r>
      </text>
    </comment>
    <comment ref="DC4" authorId="0" shapeId="0" xr:uid="{00000000-0006-0000-0C00-00000C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 xr:uid="{00000000-0006-0000-0C00-00000D000000}">
      <text>
        <r>
          <rPr>
            <b/>
            <sz val="9"/>
            <rFont val="宋体"/>
            <charset val="134"/>
          </rPr>
          <t>86177:</t>
        </r>
        <r>
          <rPr>
            <sz val="9"/>
            <rFont val="宋体"/>
            <charset val="134"/>
          </rPr>
          <t xml:space="preserve">
档位奖励需要有这个区间之外的最大值和最小值</t>
        </r>
      </text>
    </comment>
    <comment ref="DP12" authorId="0" shapeId="0" xr:uid="{00000000-0006-0000-0C00-00000E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其钻石价值可以比标准值高</t>
        </r>
      </text>
    </comment>
    <comment ref="DO17" authorId="3" shapeId="0" xr:uid="{00000000-0006-0000-0C00-00000F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话费卡的价值与话费券对应
5元=5000话费券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</authors>
  <commentList>
    <comment ref="B4" authorId="0" shapeId="0" xr:uid="{00000000-0006-0000-0D00-00000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 xr:uid="{00000000-0006-0000-0D00-000002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根据鱼的分值分配掉落组
1200炮必掉一个道具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</authors>
  <commentList>
    <comment ref="I5" authorId="0" shapeId="0" xr:uid="{00000000-0006-0000-0E00-000001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兑换商城没有用到该字段</t>
        </r>
      </text>
    </comment>
    <comment ref="I13" authorId="0" shapeId="0" xr:uid="{00000000-0006-0000-0E00-000002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兑换商城没有用到该字段</t>
        </r>
      </text>
    </comment>
    <comment ref="V20" authorId="1" shapeId="0" xr:uid="{00000000-0006-0000-0E00-000003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实物价值是正常价值的2倍</t>
        </r>
      </text>
    </comment>
    <comment ref="C21" authorId="0" shapeId="0" xr:uid="{00000000-0006-0000-0E00-000004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提审状态下不配置渠道</t>
        </r>
      </text>
    </comment>
    <comment ref="H29" authorId="0" shapeId="0" xr:uid="{00000000-0006-0000-0E00-000005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你游戏我买单
没有用到该字段</t>
        </r>
      </text>
    </comment>
    <comment ref="H34" authorId="0" shapeId="0" xr:uid="{00000000-0006-0000-0E00-000006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你游戏我买单
没有用到该字段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G20" authorId="0" shapeId="0" xr:uid="{00000000-0006-0000-0F00-00000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" authorId="0" shapeId="0" xr:uid="{00000000-0006-0000-1300-000001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例如下面数据，表示话费赛开始后20s出现热气球track，90s后移除track</t>
        </r>
      </text>
    </comment>
    <comment ref="E5" authorId="0" shapeId="0" xr:uid="{00000000-0006-0000-1300-000002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200次破罩子，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1500-000001000000}">
      <text>
        <r>
          <rPr>
            <b/>
            <sz val="9"/>
            <rFont val="宋体"/>
            <charset val="134"/>
          </rPr>
          <t>user:
按照当前等级得积分，然后升级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jianlong wo</author>
  </authors>
  <commentList>
    <comment ref="A7" authorId="0" shapeId="0" xr:uid="{00000000-0006-0000-0200-000001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奖券资源，图片和名字的多语言暂时没用到</t>
        </r>
      </text>
    </comment>
    <comment ref="A8" authorId="0" shapeId="0" xr:uid="{00000000-0006-0000-0200-000002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VIPEXP</t>
        </r>
      </text>
    </comment>
    <comment ref="A9" authorId="0" shapeId="0" xr:uid="{00000000-0006-0000-0200-000003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竞技场</t>
        </r>
      </text>
    </comment>
    <comment ref="A10" authorId="0" shapeId="0" xr:uid="{00000000-0006-0000-0200-000004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活跃度</t>
        </r>
      </text>
    </comment>
    <comment ref="K11" authorId="0" shapeId="0" xr:uid="{00000000-0006-0000-0200-000005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续费</t>
        </r>
      </text>
    </comment>
    <comment ref="K21" authorId="0" shapeId="0" xr:uid="{00000000-0006-0000-0200-000006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续费</t>
        </r>
      </text>
    </comment>
    <comment ref="E24" authorId="1" shapeId="0" xr:uid="{00000000-0006-0000-0200-000007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实际价值1：50万，卖出为1：40万</t>
        </r>
      </text>
    </comment>
    <comment ref="R24" authorId="1" shapeId="0" xr:uid="{00000000-0006-0000-0200-000008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实际价值1：50万，卖出为1：40万</t>
        </r>
      </text>
    </comment>
    <comment ref="E25" authorId="1" shapeId="0" xr:uid="{00000000-0006-0000-0200-000009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实际价值1：50万，卖出为1：40万</t>
        </r>
      </text>
    </comment>
    <comment ref="R25" authorId="1" shapeId="0" xr:uid="{00000000-0006-0000-0200-00000A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实际价值1：50万，卖出为1：40万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P4" authorId="0" shapeId="0" xr:uid="{00000000-0006-0000-0300-000001000000}">
      <text>
        <r>
          <rPr>
            <b/>
            <sz val="9"/>
            <rFont val="宋体"/>
            <charset val="134"/>
          </rPr>
          <t>阶段五结束条件</t>
        </r>
        <r>
          <rPr>
            <sz val="9"/>
            <rFont val="宋体"/>
            <charset val="134"/>
          </rPr>
          <t xml:space="preserve">
当玩家持有金币 - 房间最大炮倍*屏幕子弹最大数量20满足进入下一个高级房间金币范围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  <author>user</author>
    <author>作者</author>
    <author>燕</author>
  </authors>
  <commentList>
    <comment ref="U1" authorId="0" shapeId="0" xr:uid="{00000000-0006-0000-0400-000001000000}">
      <text>
        <r>
          <rPr>
            <sz val="9"/>
            <rFont val="宋体"/>
            <charset val="134"/>
          </rPr>
          <t>捕鱼掉落话费券占比为计算值</t>
        </r>
      </text>
    </comment>
    <comment ref="AD1" authorId="1" shapeId="0" xr:uid="{00000000-0006-0000-0400-000002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添加新的小精灵需要跟美术确认</t>
        </r>
      </text>
    </comment>
    <comment ref="AT1" authorId="1" shapeId="0" xr:uid="{00000000-0006-0000-0400-000003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AU1" authorId="1" shapeId="0" xr:uid="{00000000-0006-0000-0400-000004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AV1" authorId="1" shapeId="0" xr:uid="{00000000-0006-0000-0400-000005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AW1" authorId="1" shapeId="0" xr:uid="{00000000-0006-0000-0400-000006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AX1" authorId="1" shapeId="0" xr:uid="{00000000-0006-0000-0400-00000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B1" authorId="2" shapeId="0" xr:uid="{00000000-0006-0000-0400-000008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目前参考的是闪电鱼的</t>
        </r>
      </text>
    </comment>
    <comment ref="BL1" authorId="1" shapeId="0" xr:uid="{00000000-0006-0000-0400-000009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在鱼的价值的基础上，额外拿出10%，作为小游戏奖励</t>
        </r>
      </text>
    </comment>
    <comment ref="CU1" authorId="0" shapeId="0" xr:uid="{00000000-0006-0000-0400-00000A000000}">
      <text>
        <r>
          <rPr>
            <sz val="9"/>
            <rFont val="宋体"/>
            <charset val="134"/>
          </rPr>
          <t>捕鱼掉落、抽奖、每日任务、话费鱼潮上限GM中配置；
话费券金币价值GM配置</t>
        </r>
      </text>
    </comment>
    <comment ref="CJ2" authorId="3" shapeId="0" xr:uid="{00000000-0006-0000-0400-00000B000000}">
      <text>
        <r>
          <rPr>
            <b/>
            <sz val="9"/>
            <rFont val="宋体"/>
            <charset val="134"/>
          </rPr>
          <t>话费券金币价值:</t>
        </r>
        <r>
          <rPr>
            <sz val="9"/>
            <rFont val="宋体"/>
            <charset val="134"/>
          </rPr>
          <t xml:space="preserve">
通过乐缤纷捕鱼净消耗金币和(玩家充值-消耗话费券）的比例大致确定值
此值为标准值，GM可配置方便调整</t>
        </r>
      </text>
    </comment>
    <comment ref="CT3" authorId="3" shapeId="0" xr:uid="{00000000-0006-0000-0400-00000C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小于1000炮，按照1000炮的来计算</t>
        </r>
      </text>
    </comment>
    <comment ref="A4" authorId="1" shapeId="0" xr:uid="{00000000-0006-0000-0400-00000D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为了提高运算效率
id是写死的，策划注意一下，fishid和行号一一对应</t>
        </r>
      </text>
    </comment>
    <comment ref="B4" authorId="1" shapeId="0" xr:uid="{00000000-0006-0000-0400-00000E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C4" authorId="2" shapeId="0" xr:uid="{00000000-0006-0000-0400-00000F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5特殊鱼都不掉金币，特殊鱼都是单独处理的</t>
        </r>
      </text>
    </comment>
    <comment ref="S4" authorId="1" shapeId="0" xr:uid="{00000000-0006-0000-0400-000010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普通鱼掉落，锁定、冰送、召唤，按照开炮次数来计算，出现的物品的价值，还没配置</t>
        </r>
      </text>
    </comment>
    <comment ref="AL4" authorId="0" shapeId="0" xr:uid="{00000000-0006-0000-0400-000011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冰晶跟着缩放比一起走</t>
        </r>
      </text>
    </comment>
    <comment ref="AN4" authorId="1" shapeId="0" xr:uid="{00000000-0006-0000-0400-000012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fruit\art\pokemon\Effect\底座 小精灵脚下原盘提交</t>
        </r>
      </text>
    </comment>
    <comment ref="AU4" authorId="4" shapeId="0" xr:uid="{00000000-0006-0000-0400-000013000000}">
      <text>
        <r>
          <rPr>
            <sz val="9"/>
            <rFont val="宋体"/>
            <charset val="134"/>
          </rPr>
          <t xml:space="preserve">
泡泡捕鱼当前使用版本</t>
        </r>
      </text>
    </comment>
    <comment ref="CW4" authorId="0" shapeId="0" xr:uid="{00000000-0006-0000-0400-000014000000}">
      <text>
        <r>
          <rPr>
            <b/>
            <sz val="9"/>
            <rFont val="宋体"/>
            <charset val="134"/>
          </rPr>
          <t>基础值是个固定值</t>
        </r>
      </text>
    </comment>
    <comment ref="DE4" authorId="0" shapeId="0" xr:uid="{00000000-0006-0000-0400-000015000000}">
      <text>
        <r>
          <rPr>
            <b/>
            <sz val="9"/>
            <rFont val="宋体"/>
            <charset val="134"/>
          </rPr>
          <t xml:space="preserve">鱼被捕获情况下掉落概率
按照分值计算出的大致概率
</t>
        </r>
      </text>
    </comment>
    <comment ref="CY5" authorId="0" shapeId="0" xr:uid="{00000000-0006-0000-0400-000016000000}">
      <text>
        <r>
          <rPr>
            <b/>
            <sz val="9"/>
            <rFont val="宋体"/>
            <charset val="134"/>
          </rPr>
          <t>鱼被捕获概率*鱼被捕获下掉落概率</t>
        </r>
        <r>
          <rPr>
            <sz val="9"/>
            <rFont val="宋体"/>
            <charset val="134"/>
          </rPr>
          <t xml:space="preserve">
</t>
        </r>
      </text>
    </comment>
    <comment ref="BH6" authorId="2" shapeId="0" xr:uid="{00000000-0006-0000-0400-00001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5分钟出现一个红包，20分钟出完</t>
        </r>
      </text>
    </comment>
    <comment ref="E30" authorId="0" shapeId="0" xr:uid="{00000000-0006-0000-0400-000018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从【黄金鱼分值设计】score不能为float类型</t>
        </r>
      </text>
    </comment>
    <comment ref="AD33" authorId="1" shapeId="0" xr:uid="{00000000-0006-0000-0400-000019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动作改成序列帧有点大，所以改回spine</t>
        </r>
      </text>
    </comment>
    <comment ref="AD35" authorId="1" shapeId="0" xr:uid="{00000000-0006-0000-0400-00001A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动作改成序列帧有点大，所以改回spine</t>
        </r>
      </text>
    </comment>
    <comment ref="B39" authorId="0" shapeId="0" xr:uid="{00000000-0006-0000-0400-00001B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图鉴占位配置，book_Num填写就表示需要展示，哪怕为空</t>
        </r>
      </text>
    </comment>
    <comment ref="N39" authorId="2" shapeId="0" xr:uid="{00000000-0006-0000-0400-00001C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不掉小游戏卡牌</t>
        </r>
      </text>
    </comment>
    <comment ref="N46" authorId="2" shapeId="0" xr:uid="{00000000-0006-0000-0400-00001D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  <comment ref="B47" authorId="0" shapeId="0" xr:uid="{00000000-0006-0000-0400-00001E000000}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  <comment ref="N47" authorId="2" shapeId="0" xr:uid="{00000000-0006-0000-0400-00001F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  <comment ref="N48" authorId="2" shapeId="0" xr:uid="{00000000-0006-0000-0400-000020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  <comment ref="AC48" authorId="1" shapeId="0" xr:uid="{00000000-0006-0000-0400-00002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皮卡丘特有动画</t>
        </r>
      </text>
    </comment>
    <comment ref="N50" authorId="2" shapeId="0" xr:uid="{00000000-0006-0000-0400-000022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  <comment ref="AC50" authorId="1" shapeId="0" xr:uid="{00000000-0006-0000-0400-000023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可达鸭特有动画</t>
        </r>
      </text>
    </comment>
    <comment ref="E51" authorId="1" shapeId="0" xr:uid="{00000000-0006-0000-0400-000024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V51" authorId="0" shapeId="0" xr:uid="{00000000-0006-0000-0400-000025000000}">
      <text>
        <r>
          <rPr>
            <b/>
            <sz val="9"/>
            <rFont val="宋体"/>
            <charset val="134"/>
          </rPr>
          <t>海豚特殊处理，捕获必掉卡牌，额外掉落为0%</t>
        </r>
      </text>
    </comment>
    <comment ref="C53" authorId="2" shapeId="0" xr:uid="{00000000-0006-0000-0400-000026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普通鱼</t>
        </r>
      </text>
    </comment>
    <comment ref="N53" authorId="2" shapeId="0" xr:uid="{00000000-0006-0000-0400-00002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  <comment ref="O53" authorId="0" shapeId="0" xr:uid="{00000000-0006-0000-0400-000028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此项填写一个非0值即可</t>
        </r>
      </text>
    </comment>
    <comment ref="DE53" authorId="0" shapeId="0" xr:uid="{00000000-0006-0000-0400-000029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H53" authorId="0" shapeId="0" xr:uid="{00000000-0006-0000-0400-00002A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K53" authorId="0" shapeId="0" xr:uid="{00000000-0006-0000-0400-00002B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N53" authorId="0" shapeId="0" xr:uid="{00000000-0006-0000-0400-00002C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Q53" authorId="0" shapeId="0" xr:uid="{00000000-0006-0000-0400-00002D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T53" authorId="0" shapeId="0" xr:uid="{00000000-0006-0000-0400-00002E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W53" authorId="0" shapeId="0" xr:uid="{00000000-0006-0000-0400-00002F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DZ53" authorId="0" shapeId="0" xr:uid="{00000000-0006-0000-0400-000030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C53" authorId="0" shapeId="0" xr:uid="{00000000-0006-0000-0400-000031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F53" authorId="0" shapeId="0" xr:uid="{00000000-0006-0000-0400-000032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I53" authorId="0" shapeId="0" xr:uid="{00000000-0006-0000-0400-000033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L53" authorId="0" shapeId="0" xr:uid="{00000000-0006-0000-0400-000034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O53" authorId="0" shapeId="0" xr:uid="{00000000-0006-0000-0400-000035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R53" authorId="0" shapeId="0" xr:uid="{00000000-0006-0000-0400-000036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U53" authorId="0" shapeId="0" xr:uid="{00000000-0006-0000-0400-000037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EX53" authorId="0" shapeId="0" xr:uid="{00000000-0006-0000-0400-000038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A53" authorId="0" shapeId="0" xr:uid="{00000000-0006-0000-0400-000039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D53" authorId="0" shapeId="0" xr:uid="{00000000-0006-0000-0400-00003A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G53" authorId="0" shapeId="0" xr:uid="{00000000-0006-0000-0400-00003B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J53" authorId="0" shapeId="0" xr:uid="{00000000-0006-0000-0400-00003C000000}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56" authorId="2" shapeId="0" xr:uid="{00000000-0006-0000-0400-00003D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小额话费券标准价值1～10、10~100、100~1000之间
炮倍不同小额话费的金额不同</t>
        </r>
      </text>
    </comment>
    <comment ref="N56" authorId="2" shapeId="0" xr:uid="{00000000-0006-0000-0400-00003E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不掉卡牌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AutoBVT</author>
  </authors>
  <commentList>
    <comment ref="C4" authorId="0" shapeId="0" xr:uid="{00000000-0006-0000-0600-00000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
5.解锁狂暴等级
6.开启道具赠送功能
7.充值金币额外赠送 5% 
8.邮件上限增加至60
9.竞技场积分加成3%
10.每日提现次数上限增加至（红包版专用）
11.存钱罐金币存储上限增加至
12.签到获得的金币翻n倍</t>
        </r>
      </text>
    </comment>
    <comment ref="D4" authorId="0" shapeId="0" xr:uid="{00000000-0006-0000-0600-000002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 xr:uid="{00000000-0006-0000-0600-000003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当前VIP+1+该列数据后，表示最后一个显示金额的VIP等级</t>
        </r>
      </text>
    </comment>
    <comment ref="L4" authorId="0" shapeId="0" xr:uid="{00000000-0006-0000-0600-000004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svn://192.168.8.190/fruit/tech/json/DataTable/发财金CompenGold.xlsx</t>
        </r>
      </text>
    </comment>
    <comment ref="N4" authorId="0" shapeId="0" xr:uid="{00000000-0006-0000-0600-000005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待狂暴文档确认后，再添加狂暴等级解锁的数据</t>
        </r>
      </text>
    </comment>
    <comment ref="O4" authorId="2" shapeId="0" xr:uid="{00000000-0006-0000-0600-000006000000}">
      <text>
        <r>
          <rPr>
            <sz val="9"/>
            <rFont val="宋体"/>
            <charset val="134"/>
          </rPr>
          <t xml:space="preserve">修改了注意修改全局表上开启狂暴2级的vip等级
</t>
        </r>
      </text>
    </comment>
    <comment ref="P4" authorId="0" shapeId="0" xr:uid="{00000000-0006-0000-0600-00000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功能已经完成，等充值加入再考虑提示表现</t>
        </r>
      </text>
    </comment>
    <comment ref="R4" authorId="0" shapeId="0" xr:uid="{00000000-0006-0000-0600-000008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2|1001|X，X表示捕鱼最大掉落数量</t>
        </r>
      </text>
    </comment>
    <comment ref="AE4" authorId="1" shapeId="0" xr:uid="{00000000-0006-0000-0600-000009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AK4" authorId="0" shapeId="0" xr:uid="{00000000-0006-0000-0600-00000A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功能已经完成，等充值加入再考虑提示表现</t>
        </r>
      </text>
    </comment>
    <comment ref="AL5" authorId="0" shapeId="0" xr:uid="{00000000-0006-0000-0600-00000B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炮相关VIP查看
svn://192.168.8.190/fruit/tech/json/DataTable/炮Weapon.xlsx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jianlong wo</author>
  </authors>
  <commentList>
    <comment ref="A4" authorId="0" shapeId="0" xr:uid="{00000000-0006-0000-0700-000001000000}">
      <text>
        <r>
          <rPr>
            <sz val="9"/>
            <rFont val="宋体"/>
            <charset val="134"/>
          </rPr>
          <t>添加新的充值id后修改</t>
        </r>
        <r>
          <rPr>
            <b/>
            <sz val="9"/>
            <rFont val="宋体"/>
            <charset val="134"/>
          </rPr>
          <t>商品描述和充值档位名称RMBDes表</t>
        </r>
      </text>
    </comment>
    <comment ref="I4" authorId="1" shapeId="0" xr:uid="{00000000-0006-0000-0700-000002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喜从天降501、502如果一个房间配置了两个，502覆盖501</t>
        </r>
      </text>
    </comment>
    <comment ref="I7" authorId="0" shapeId="0" xr:uid="{00000000-0006-0000-0700-000003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喜从天降只能每个档位对应那一个房间</t>
        </r>
      </text>
    </comment>
    <comment ref="I8" authorId="0" shapeId="0" xr:uid="{00000000-0006-0000-0700-000004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喜从天降只能每个档位对应那一个房间</t>
        </r>
      </text>
    </comment>
    <comment ref="K9" authorId="1" shapeId="0" xr:uid="{00000000-0006-0000-0700-000005000000}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填写原价用来计算优惠百分比</t>
        </r>
      </text>
    </comment>
    <comment ref="AT20" authorId="0" shapeId="0" xr:uid="{00000000-0006-0000-0700-000006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实物价值是正常价值的2倍</t>
        </r>
      </text>
    </comment>
    <comment ref="P23" authorId="0" shapeId="0" xr:uid="{00000000-0006-0000-0700-000007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未考虑人民币额度，只考虑本次省下的钻石
节省钻石与rmb对应关系即可得出是否比商城双倍划算</t>
        </r>
      </text>
    </comment>
    <comment ref="Q23" authorId="0" shapeId="0" xr:uid="{00000000-0006-0000-0700-000008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玩家在的最大炮倍率对应的直升档位最近时，购买直升N炮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800-000001000000}">
      <text>
        <r>
          <rPr>
            <sz val="9"/>
            <rFont val="宋体"/>
            <charset val="134"/>
          </rPr>
          <t>添加新的充值id后修改</t>
        </r>
        <r>
          <rPr>
            <b/>
            <sz val="9"/>
            <rFont val="宋体"/>
            <charset val="134"/>
          </rPr>
          <t>商品描述和充值档位名称RMBDes表</t>
        </r>
      </text>
    </comment>
    <comment ref="AJ20" authorId="0" shapeId="0" xr:uid="{00000000-0006-0000-0800-000002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M2" authorId="0" shapeId="0" xr:uid="{00000000-0006-0000-0900-000001000000}">
      <text>
        <r>
          <rPr>
            <b/>
            <sz val="9"/>
            <rFont val="宋体"/>
            <charset val="134"/>
          </rPr>
          <t>1天按照4小时游戏时长计算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6" authorId="0" shapeId="0" xr:uid="{00000000-0006-0000-0A00-000001000000}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小额话费券标准价值10～100之间
炮倍不同小额话费的金额不同</t>
        </r>
      </text>
    </comment>
  </commentList>
</comments>
</file>

<file path=xl/sharedStrings.xml><?xml version="1.0" encoding="utf-8"?>
<sst xmlns="http://schemas.openxmlformats.org/spreadsheetml/2006/main" count="4622" uniqueCount="2005">
  <si>
    <t>cs</t>
  </si>
  <si>
    <t>s</t>
  </si>
  <si>
    <t>int</t>
  </si>
  <si>
    <t>float</t>
  </si>
  <si>
    <t>String</t>
  </si>
  <si>
    <t>string</t>
  </si>
  <si>
    <t>cannonLevel</t>
  </si>
  <si>
    <t>E0</t>
  </si>
  <si>
    <t>expGain</t>
  </si>
  <si>
    <t>unlockMethod</t>
  </si>
  <si>
    <t>billMultiple</t>
  </si>
  <si>
    <t>rmbType5Pro</t>
  </si>
  <si>
    <t>rmbType6</t>
  </si>
  <si>
    <t>lgDantouId</t>
  </si>
  <si>
    <t>eggNeedGold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</si>
  <si>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</si>
  <si>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</si>
  <si>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</si>
  <si>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</si>
  <si>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</si>
  <si>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</si>
  <si>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</si>
  <si>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</si>
  <si>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</si>
  <si>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</si>
  <si>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</si>
  <si>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</si>
  <si>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</si>
  <si>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</si>
  <si>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</si>
  <si>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炮解锁炮倍率
1，2,5...代表炮将要解锁的倍率</t>
  </si>
  <si>
    <t>每个炮倍
对应能量E
9800为0.98</t>
  </si>
  <si>
    <t>每炮积累宝箱经验
(1经验=1金币）</t>
  </si>
  <si>
    <r>
      <rPr>
        <sz val="8"/>
        <color theme="1"/>
        <rFont val="微软雅黑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</si>
  <si>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</si>
  <si>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</si>
  <si>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rgb="FFFF0000"/>
        <rFont val="微软雅黑"/>
        <charset val="134"/>
      </rPr>
      <t xml:space="preserve">最大炮倍率对应的直升N炮档位(6xx)
</t>
    </r>
    <r>
      <rPr>
        <sz val="8"/>
        <color rgb="FFFF0000"/>
        <rFont val="微软雅黑"/>
        <charset val="134"/>
      </rPr>
      <t>-1表示此类没有直升N炮充值
暂时废弃</t>
    </r>
  </si>
  <si>
    <r>
      <rPr>
        <b/>
        <i/>
        <sz val="10"/>
        <color theme="1"/>
        <rFont val="微软雅黑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charset val="134"/>
      </rPr>
      <t>暂时废弃</t>
    </r>
  </si>
  <si>
    <t>砸金蛋，捕鱼获得金币任务的金币需求</t>
  </si>
  <si>
    <r>
      <rPr>
        <sz val="8"/>
        <color rgb="FFFF0000"/>
        <rFont val="微软雅黑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charset val="134"/>
      </rPr>
      <t>暂时废弃</t>
    </r>
  </si>
  <si>
    <r>
      <rPr>
        <sz val="8"/>
        <color rgb="FFFF0000"/>
        <rFont val="微软雅黑"/>
        <charset val="134"/>
      </rPr>
      <t xml:space="preserve">解锁奖励
与解锁配置方式一样
</t>
    </r>
    <r>
      <rPr>
        <b/>
        <sz val="8"/>
        <color rgb="FFFF0000"/>
        <rFont val="微软雅黑"/>
        <charset val="134"/>
      </rPr>
      <t>暂时废弃</t>
    </r>
  </si>
  <si>
    <t xml:space="preserve">跳档位升级是否有该过度档
第1档和最后1档必须都要有
1是，0否
暂时废弃
</t>
  </si>
  <si>
    <t>第N档炮</t>
  </si>
  <si>
    <t>跳档解锁消耗（目前有开关）
格式：x1|y1|z1,x2|y2|z2|
type：消耗类型；：1货币，2道具
id：物品id，1钻石，2金币 ，其他的物品还没定义
value：具体数量
不填代表没有奖励
暂时废弃</t>
  </si>
  <si>
    <t>跳档解锁奖励
与解锁配置方式一样
暂时废弃</t>
  </si>
  <si>
    <r>
      <rPr>
        <sz val="8"/>
        <color theme="1"/>
        <rFont val="微软雅黑"/>
        <charset val="134"/>
      </rPr>
      <t xml:space="preserve">普通成长奖励
不填代表没有奖励
</t>
    </r>
    <r>
      <rPr>
        <sz val="8"/>
        <color rgb="FFFF0000"/>
        <rFont val="微软雅黑"/>
        <charset val="134"/>
      </rPr>
      <t>暂时废弃</t>
    </r>
  </si>
  <si>
    <r>
      <rPr>
        <sz val="8"/>
        <color theme="1"/>
        <rFont val="微软雅黑"/>
        <charset val="134"/>
      </rPr>
      <t xml:space="preserve">vip成长奖励
不填代表没有奖励
</t>
    </r>
    <r>
      <rPr>
        <sz val="8"/>
        <color rgb="FFFF0000"/>
        <rFont val="微软雅黑"/>
        <charset val="134"/>
      </rPr>
      <t>暂时废弃</t>
    </r>
  </si>
  <si>
    <r>
      <rPr>
        <sz val="8"/>
        <color theme="1"/>
        <rFont val="微软雅黑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charset val="134"/>
      </rPr>
      <t>暂时废弃</t>
    </r>
  </si>
  <si>
    <t>A计算方式能量
新手能量，各个阶段能量</t>
  </si>
  <si>
    <t>B计算方式能量
新手能量</t>
  </si>
  <si>
    <t>不破产礼包5个阶段能量</t>
  </si>
  <si>
    <r>
      <rPr>
        <sz val="8"/>
        <color theme="1"/>
        <rFont val="微软雅黑"/>
        <charset val="134"/>
      </rPr>
      <t xml:space="preserve">龙舟经典场
第2阶段掉落钻石
</t>
    </r>
    <r>
      <rPr>
        <sz val="8"/>
        <color rgb="FFFF0000"/>
        <rFont val="微软雅黑"/>
        <charset val="134"/>
      </rPr>
      <t>"掉落数量,面额,概率"</t>
    </r>
  </si>
  <si>
    <r>
      <rPr>
        <sz val="8"/>
        <color theme="1"/>
        <rFont val="微软雅黑"/>
        <charset val="134"/>
      </rPr>
      <t xml:space="preserve">龙舟经典场
第3阶段掉落福卡
</t>
    </r>
    <r>
      <rPr>
        <sz val="8"/>
        <color rgb="FFFF0000"/>
        <rFont val="微软雅黑"/>
        <charset val="134"/>
      </rPr>
      <t>"掉落数量,面额,概率"
暂时废弃</t>
    </r>
  </si>
  <si>
    <r>
      <rPr>
        <sz val="8"/>
        <color theme="1"/>
        <rFont val="微软雅黑"/>
        <charset val="134"/>
      </rPr>
      <t xml:space="preserve">核弹专场掉落弹头
第1、2、3阶段
[id，数量，概率],[id，数量，概率],[id，数量，概率]
</t>
    </r>
    <r>
      <rPr>
        <sz val="8"/>
        <color rgb="FFFF0000"/>
        <rFont val="微软雅黑"/>
        <charset val="134"/>
      </rPr>
      <t>废弃</t>
    </r>
  </si>
  <si>
    <t>最终回报比</t>
  </si>
  <si>
    <t>宝箱价值所占回报比</t>
  </si>
  <si>
    <t>1.5882,0.9294,1.5882,0.9294,1.6</t>
  </si>
  <si>
    <t>1,1,0.004</t>
  </si>
  <si>
    <t>[[0,0,0],[0,0,0],[0,0,0]]</t>
  </si>
  <si>
    <t>1.4762,0.9429,1.4762,0.9429,1.4857</t>
  </si>
  <si>
    <t>1,1,0.006</t>
  </si>
  <si>
    <t>1.4545,0.9455,1.4545,0.9455,1.4636</t>
  </si>
  <si>
    <t>1,1,0.008</t>
  </si>
  <si>
    <t>1.5,0.94,1.5,0.94,1.51</t>
  </si>
  <si>
    <t>1,1,0.01</t>
  </si>
  <si>
    <t>2,0.88,2,0.88,2.02</t>
  </si>
  <si>
    <t>1,1,0.02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</si>
  <si>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</si>
  <si>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</si>
  <si>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</si>
  <si>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</si>
  <si>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</si>
  <si>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</si>
  <si>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</si>
  <si>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</si>
  <si>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</si>
  <si>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</si>
  <si>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</si>
  <si>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</si>
  <si>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</si>
  <si>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</si>
  <si>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</si>
  <si>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</si>
  <si>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</si>
  <si>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</si>
  <si>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</si>
  <si>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</si>
  <si>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</si>
  <si>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</si>
  <si>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</si>
  <si>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</si>
  <si>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</si>
  <si>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发财金上限</t>
  </si>
  <si>
    <r>
      <rPr>
        <b/>
        <sz val="11"/>
        <color theme="1"/>
        <rFont val="微软雅黑"/>
        <charset val="134"/>
      </rPr>
      <t>发财金G</t>
    </r>
    <r>
      <rPr>
        <sz val="11"/>
        <color theme="1"/>
        <rFont val="微软雅黑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</si>
  <si>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</si>
  <si>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</si>
  <si>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</si>
  <si>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</si>
  <si>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</si>
  <si>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</si>
  <si>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</si>
  <si>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</si>
  <si>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</si>
  <si>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</si>
  <si>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Mission_Offer_Interval_limitfire</t>
  </si>
  <si>
    <t>300</t>
  </si>
  <si>
    <r>
      <rPr>
        <sz val="11"/>
        <color theme="1"/>
        <rFont val="微软雅黑"/>
        <charset val="134"/>
      </rPr>
      <t>按照时间间隔出现的</t>
    </r>
    <r>
      <rPr>
        <b/>
        <sz val="11"/>
        <color theme="1"/>
        <rFont val="微软雅黑"/>
        <charset val="134"/>
      </rPr>
      <t>悬赏任务</t>
    </r>
    <r>
      <rPr>
        <sz val="11"/>
        <color theme="1"/>
        <rFont val="微软雅黑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</si>
  <si>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</si>
  <si>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</si>
  <si>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charset val="134"/>
      </rPr>
      <t>按照时间间隔出现的</t>
    </r>
    <r>
      <rPr>
        <b/>
        <sz val="11"/>
        <color theme="1"/>
        <rFont val="微软雅黑"/>
        <charset val="134"/>
      </rPr>
      <t>悬赏任务</t>
    </r>
    <r>
      <rPr>
        <sz val="11"/>
        <color theme="1"/>
        <rFont val="微软雅黑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</si>
  <si>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</si>
  <si>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</si>
  <si>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charset val="134"/>
      </rPr>
      <t>按照房间开炮总次数出现的</t>
    </r>
    <r>
      <rPr>
        <b/>
        <sz val="11"/>
        <color theme="1"/>
        <rFont val="微软雅黑"/>
        <charset val="134"/>
      </rPr>
      <t>悬赏任务</t>
    </r>
    <r>
      <rPr>
        <sz val="11"/>
        <color theme="1"/>
        <rFont val="微软雅黑"/>
        <charset val="134"/>
      </rPr>
      <t>，需要的开炮总次数</t>
    </r>
  </si>
  <si>
    <t>weaponEnergy</t>
  </si>
  <si>
    <t>武器的初始能量=weaponEnergy/10000</t>
  </si>
  <si>
    <t>weaponEnergyjjc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</si>
  <si>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</si>
  <si>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</si>
  <si>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</si>
  <si>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</si>
  <si>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</si>
  <si>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</si>
  <si>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</si>
  <si>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</si>
  <si>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</si>
  <si>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</si>
  <si>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</si>
  <si>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</si>
  <si>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</si>
  <si>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</si>
  <si>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</si>
  <si>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</si>
  <si>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t>20</t>
  </si>
  <si>
    <r>
      <rPr>
        <sz val="11"/>
        <color theme="1"/>
        <rFont val="微软雅黑"/>
        <charset val="134"/>
      </rPr>
      <t>皮卡丘闪电保底值，</t>
    </r>
    <r>
      <rPr>
        <sz val="11"/>
        <color rgb="FFFF0000"/>
        <rFont val="微软雅黑"/>
        <charset val="134"/>
      </rPr>
      <t>算闪电能量时需要闪电鱼value减去该值</t>
    </r>
    <r>
      <rPr>
        <b/>
        <sz val="11"/>
        <color rgb="FFFF0000"/>
        <rFont val="微软雅黑"/>
        <charset val="134"/>
      </rPr>
      <t>(暂时去掉)</t>
    </r>
  </si>
  <si>
    <t>zhadanFishRangeC</t>
  </si>
  <si>
    <t>9000,11000</t>
  </si>
  <si>
    <r>
      <rPr>
        <sz val="11"/>
        <color theme="1"/>
        <rFont val="微软雅黑"/>
        <charset val="134"/>
      </rPr>
      <t>炸弹蟹、闪电鱼分值浮动范围9000，表示0.9</t>
    </r>
    <r>
      <rPr>
        <sz val="11"/>
        <color rgb="FFFF0000"/>
        <rFont val="微软雅黑"/>
        <charset val="134"/>
      </rPr>
      <t>(暂时是写死的,待调整时拆开)</t>
    </r>
  </si>
  <si>
    <t>aishaSkillBaodi</t>
  </si>
  <si>
    <t>10,15</t>
  </si>
  <si>
    <r>
      <rPr>
        <sz val="11"/>
        <color theme="1"/>
        <rFont val="微软雅黑"/>
        <charset val="134"/>
      </rPr>
      <t>艾莎技能保底值，</t>
    </r>
    <r>
      <rPr>
        <sz val="11"/>
        <color rgb="FFFF0000"/>
        <rFont val="微软雅黑"/>
        <charset val="134"/>
      </rPr>
      <t>算闪电能量时需要技能value减去该值</t>
    </r>
  </si>
  <si>
    <t>aishaSkillValue</t>
  </si>
  <si>
    <t>40,60</t>
  </si>
  <si>
    <t>艾莎的技能value</t>
  </si>
  <si>
    <r>
      <rPr>
        <b/>
        <sz val="11"/>
        <color rgb="FF7030A0"/>
        <rFont val="微软雅黑"/>
        <charset val="134"/>
      </rPr>
      <t>longjing</t>
    </r>
    <r>
      <rPr>
        <b/>
        <sz val="11"/>
        <color rgb="FF7030A0"/>
        <rFont val="微软雅黑"/>
        <charset val="134"/>
      </rPr>
      <t>Score</t>
    </r>
  </si>
  <si>
    <t>裂海玄龙鲸score</t>
  </si>
  <si>
    <t>longjingE1st</t>
  </si>
  <si>
    <t>100</t>
  </si>
  <si>
    <t>裂海玄龙鲸第一阶段最大能量</t>
  </si>
  <si>
    <t>longjingTime1st</t>
  </si>
  <si>
    <t>15</t>
  </si>
  <si>
    <t>裂海玄龙鲸第一阶段最大持续时间</t>
  </si>
  <si>
    <t>longjingBaodi</t>
  </si>
  <si>
    <t>25</t>
  </si>
  <si>
    <t>裂海玄龙鲸保底值</t>
  </si>
  <si>
    <t>BHjinglingScore</t>
  </si>
  <si>
    <t>冰海精灵boss分值</t>
  </si>
  <si>
    <t>BHjinglingIndex</t>
  </si>
  <si>
    <t>[[10,10,1,75],[10,10,2,150],[10,10,3,225]]</t>
  </si>
  <si>
    <t>冰海精灵阶段对应得[时间/秒，增加时间上限，倍数，分值]</t>
  </si>
  <si>
    <t>qiantingzhaoziValue</t>
  </si>
  <si>
    <t>80</t>
  </si>
  <si>
    <t>潜艇罩子的积分</t>
  </si>
  <si>
    <t>qiantingBoxScore</t>
  </si>
  <si>
    <t>潜艇宝箱的value，与分值score一样</t>
  </si>
  <si>
    <t>longzhouScore</t>
  </si>
  <si>
    <t>50,100,150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</si>
  <si>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</si>
  <si>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</si>
  <si>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</si>
  <si>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</si>
  <si>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</si>
  <si>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</si>
  <si>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</si>
  <si>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</si>
  <si>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</si>
  <si>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</si>
  <si>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</si>
  <si>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</si>
  <si>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</si>
  <si>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</si>
  <si>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龙龟每次翻倍时间/s，用来控制龙龟boss播放led的延时时间</t>
  </si>
  <si>
    <t>lzTrackLeave</t>
  </si>
  <si>
    <t>龙舟及福卡争夺赛相关track快速游出屏幕需要时间/秒</t>
  </si>
  <si>
    <t>initItems</t>
  </si>
  <si>
    <t>2|1001|2,2|1002|2,2|1004|1</t>
  </si>
  <si>
    <t>玩家初始数据，启航礼包：福卡、锁定、金币</t>
  </si>
  <si>
    <t>initItems_iostishen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</si>
  <si>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</si>
  <si>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</si>
  <si>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</si>
  <si>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</si>
  <si>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</si>
  <si>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</si>
  <si>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</si>
  <si>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</si>
  <si>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</si>
  <si>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charset val="134"/>
      </rPr>
      <t>全局系统邮件有效期/天（</t>
    </r>
    <r>
      <rPr>
        <sz val="11"/>
        <color rgb="FFFF0000"/>
        <rFont val="微软雅黑"/>
        <charset val="134"/>
      </rPr>
      <t>有</t>
    </r>
    <r>
      <rPr>
        <sz val="11"/>
        <color theme="1"/>
        <rFont val="微软雅黑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</si>
  <si>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</si>
  <si>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</si>
  <si>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</si>
  <si>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</si>
  <si>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</si>
  <si>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</si>
  <si>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</si>
  <si>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</si>
  <si>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</si>
  <si>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</si>
  <si>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</si>
  <si>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</si>
  <si>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</si>
  <si>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</si>
  <si>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</si>
  <si>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charset val="134"/>
      </rPr>
      <t>竞技场开启时间,</t>
    </r>
    <r>
      <rPr>
        <sz val="11"/>
        <color rgb="FFFF0000"/>
        <rFont val="微软雅黑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</si>
  <si>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</si>
  <si>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</si>
  <si>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charset val="134"/>
      </rPr>
      <t>竞技场报名截止时间,</t>
    </r>
    <r>
      <rPr>
        <sz val="11"/>
        <color rgb="FFFF0000"/>
        <rFont val="微软雅黑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</si>
  <si>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</si>
  <si>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</si>
  <si>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charset val="134"/>
      </rPr>
      <t>竞技场结束时间,</t>
    </r>
    <r>
      <rPr>
        <sz val="11"/>
        <color rgb="FFFF0000"/>
        <rFont val="微软雅黑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</si>
  <si>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</si>
  <si>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</si>
  <si>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charset val="134"/>
      </rPr>
      <t>竞技场日排行奖励发放时间,</t>
    </r>
    <r>
      <rPr>
        <sz val="11"/>
        <color rgb="FFFF0000"/>
        <rFont val="微软雅黑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</si>
  <si>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</si>
  <si>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</si>
  <si>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charset val="134"/>
      </rPr>
      <t>竞技场周冠军奖励发放时间，每周一早上9点,</t>
    </r>
    <r>
      <rPr>
        <sz val="11"/>
        <color rgb="FFFF0000"/>
        <rFont val="微软雅黑"/>
        <charset val="134"/>
      </rPr>
      <t>改时间要跟服务器说一下</t>
    </r>
  </si>
  <si>
    <t>FirstArenaDiamond</t>
  </si>
  <si>
    <t>[0,10,20,30,50,100,200,300,400,500,600]</t>
  </si>
  <si>
    <t>进入竞技场消耗钻石，次数对应的消耗，最后一个值表示后续都是这个消耗值</t>
  </si>
  <si>
    <t>ArenaDiamond_A</t>
  </si>
  <si>
    <t>(废弃)A再次进入竞技场的消耗钻石系数，暂定2，填表控制</t>
  </si>
  <si>
    <r>
      <rPr>
        <b/>
        <sz val="11"/>
        <color theme="1"/>
        <rFont val="微软雅黑"/>
        <charset val="134"/>
      </rPr>
      <t>竞技场进入钻石数量=MIN（A</t>
    </r>
    <r>
      <rPr>
        <b/>
        <vertAlign val="superscript"/>
        <sz val="11"/>
        <color theme="1"/>
        <rFont val="微软雅黑"/>
        <charset val="134"/>
      </rPr>
      <t>(n+B)</t>
    </r>
    <r>
      <rPr>
        <b/>
        <sz val="11"/>
        <color theme="1"/>
        <rFont val="微软雅黑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</si>
  <si>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</si>
  <si>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</si>
  <si>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</si>
  <si>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</si>
  <si>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</si>
  <si>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</si>
  <si>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</si>
  <si>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</si>
  <si>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</si>
  <si>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charset val="134"/>
      </rPr>
      <t>暂时没用到</t>
    </r>
  </si>
  <si>
    <t>Arena_TaskMark</t>
  </si>
  <si>
    <t>4500,5000,6000</t>
  </si>
  <si>
    <t>竞技场每天首次完成竞技任务需要的积分；x,y,z表示3个档位</t>
  </si>
  <si>
    <t>Arena_TaskReward</t>
  </si>
  <si>
    <r>
      <rPr>
        <sz val="11"/>
        <color theme="1"/>
        <rFont val="微软雅黑"/>
        <charset val="134"/>
      </rPr>
      <t>[['1|1|40'],['1|1|60'],['1|2|</t>
    </r>
    <r>
      <rPr>
        <b/>
        <sz val="11"/>
        <color rgb="FF7030A0"/>
        <rFont val="微软雅黑"/>
        <charset val="134"/>
      </rPr>
      <t>500000</t>
    </r>
    <r>
      <rPr>
        <sz val="11"/>
        <color theme="1"/>
        <rFont val="微软雅黑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</si>
  <si>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</si>
  <si>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</si>
  <si>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</si>
  <si>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</si>
  <si>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</si>
  <si>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</si>
  <si>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</si>
  <si>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</si>
  <si>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</si>
  <si>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</si>
  <si>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</si>
  <si>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</si>
  <si>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</si>
  <si>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</si>
  <si>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</si>
  <si>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</si>
  <si>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</si>
  <si>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</si>
  <si>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</si>
  <si>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</si>
  <si>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</si>
  <si>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</si>
  <si>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</si>
  <si>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</si>
  <si>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charset val="134"/>
      </rPr>
      <t>(时间单位/秒)</t>
    </r>
    <r>
      <rPr>
        <sz val="11"/>
        <color theme="1"/>
        <rFont val="微软雅黑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</si>
  <si>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</si>
  <si>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</si>
  <si>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</si>
  <si>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</si>
  <si>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</si>
  <si>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charset val="134"/>
      </rPr>
      <t>(时间单位/分钟)</t>
    </r>
    <r>
      <rPr>
        <sz val="11"/>
        <color theme="1"/>
        <rFont val="微软雅黑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</si>
  <si>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</si>
  <si>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charset val="134"/>
      </rPr>
      <t>(时间单位/秒)</t>
    </r>
    <r>
      <rPr>
        <sz val="11"/>
        <color theme="1"/>
        <rFont val="微软雅黑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</si>
  <si>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</si>
  <si>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charset val="134"/>
      </rPr>
      <t>(时间单位/秒)</t>
    </r>
    <r>
      <rPr>
        <sz val="11"/>
        <color theme="1"/>
        <rFont val="微软雅黑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</si>
  <si>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</si>
  <si>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</si>
  <si>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</si>
  <si>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charset val="134"/>
      </rPr>
      <t>轰炸机金币获得G</t>
    </r>
    <r>
      <rPr>
        <sz val="10.5"/>
        <color theme="1"/>
        <rFont val="微软雅黑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</si>
  <si>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</si>
  <si>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</si>
  <si>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charset val="134"/>
      </rPr>
      <t>hongzhaji_C,Ⅰ、Ⅱ、Ⅲ、Ⅳ</t>
    </r>
    <r>
      <rPr>
        <sz val="10.5"/>
        <color theme="1"/>
        <rFont val="微软雅黑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</si>
  <si>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</si>
  <si>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</si>
  <si>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</si>
  <si>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</si>
  <si>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</si>
  <si>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</si>
  <si>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</si>
  <si>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</si>
  <si>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</si>
  <si>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</si>
  <si>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</si>
  <si>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</si>
  <si>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</si>
  <si>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</si>
  <si>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</si>
  <si>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</si>
  <si>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t>废弃</t>
  </si>
  <si>
    <r>
      <rPr>
        <sz val="11"/>
        <color rgb="FFFF0000"/>
        <rFont val="微软雅黑"/>
        <charset val="134"/>
      </rPr>
      <t>（仅渔场不包含竞技场）</t>
    </r>
    <r>
      <rPr>
        <sz val="11"/>
        <color theme="1"/>
        <rFont val="微软雅黑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</si>
  <si>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</si>
  <si>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</si>
  <si>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charset val="134"/>
      </rPr>
      <t>（仅渔场不包含竞技场）</t>
    </r>
    <r>
      <rPr>
        <sz val="11"/>
        <color theme="1"/>
        <rFont val="微软雅黑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charset val="134"/>
      </rPr>
      <t>玩家1级以上金币小于等于</t>
    </r>
    <r>
      <rPr>
        <b/>
        <sz val="11"/>
        <color rgb="FFFF0000"/>
        <rFont val="微软雅黑"/>
        <charset val="134"/>
      </rPr>
      <t>400</t>
    </r>
    <r>
      <rPr>
        <sz val="11"/>
        <color rgb="FFFF0000"/>
        <rFont val="微软雅黑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</si>
  <si>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</si>
  <si>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</si>
  <si>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</si>
  <si>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</si>
  <si>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</si>
  <si>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charset val="134"/>
      </rPr>
      <t>（仅渔场不包含竞技场）</t>
    </r>
    <r>
      <rPr>
        <sz val="11"/>
        <color theme="1"/>
        <rFont val="微软雅黑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</si>
  <si>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</si>
  <si>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</si>
  <si>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</si>
  <si>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</si>
  <si>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</si>
  <si>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</si>
  <si>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</si>
  <si>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</si>
  <si>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</si>
  <si>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</si>
  <si>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</si>
  <si>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</si>
  <si>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</si>
  <si>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</si>
  <si>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</si>
  <si>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</si>
  <si>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</si>
  <si>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</si>
  <si>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</si>
  <si>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暂时废弃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</si>
  <si>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</si>
  <si>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</si>
  <si>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</si>
  <si>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</si>
  <si>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</si>
  <si>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</si>
  <si>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</si>
  <si>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</si>
  <si>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</si>
  <si>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</si>
  <si>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</si>
  <si>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</si>
  <si>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</si>
  <si>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</si>
  <si>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</si>
  <si>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</si>
  <si>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charset val="134"/>
      </rPr>
      <t>七、</t>
    </r>
    <r>
      <rPr>
        <b/>
        <sz val="11"/>
        <color rgb="FFFF0000"/>
        <rFont val="微软雅黑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</si>
  <si>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</si>
  <si>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</si>
  <si>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</si>
  <si>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</si>
  <si>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</si>
  <si>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</si>
  <si>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</si>
  <si>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</si>
  <si>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</si>
  <si>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</si>
  <si>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</si>
  <si>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</si>
  <si>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</si>
  <si>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</si>
  <si>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</si>
  <si>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</si>
  <si>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</si>
  <si>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</si>
  <si>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</si>
  <si>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</si>
  <si>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</si>
  <si>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</si>
  <si>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</si>
  <si>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</si>
  <si>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</si>
  <si>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</si>
  <si>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</si>
  <si>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</si>
  <si>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</si>
  <si>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</si>
  <si>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</si>
  <si>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</si>
  <si>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</si>
  <si>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</si>
  <si>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</si>
  <si>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</si>
  <si>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</si>
  <si>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</si>
  <si>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</si>
  <si>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</si>
  <si>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t>50</t>
  </si>
  <si>
    <r>
      <rPr>
        <sz val="11"/>
        <color theme="1"/>
        <rFont val="微软雅黑"/>
        <charset val="134"/>
      </rPr>
      <t>玩家在BOSS模块中的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</si>
  <si>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</si>
  <si>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charset val="134"/>
      </rPr>
      <t>玩家在BOSS模块中的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，出现分享的次数上限，计算的成功次数</t>
    </r>
  </si>
  <si>
    <t>shareBoss_pro0</t>
  </si>
  <si>
    <r>
      <rPr>
        <sz val="11"/>
        <color theme="1"/>
        <rFont val="微软雅黑"/>
        <charset val="134"/>
      </rPr>
      <t>玩家在BOSS模块中的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</si>
  <si>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</si>
  <si>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charset val="134"/>
      </rPr>
      <t>玩家在BOSS模块中的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</si>
  <si>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</si>
  <si>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</si>
  <si>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</si>
  <si>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</si>
  <si>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</si>
  <si>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</si>
  <si>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</si>
  <si>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charset val="134"/>
      </rPr>
      <t>击杀boss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</si>
  <si>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</si>
  <si>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charset val="134"/>
      </rPr>
      <t>击杀boss</t>
    </r>
    <r>
      <rPr>
        <b/>
        <sz val="11"/>
        <color rgb="FFFF0000"/>
        <rFont val="微软雅黑"/>
        <charset val="134"/>
      </rPr>
      <t>分享</t>
    </r>
    <r>
      <rPr>
        <sz val="11"/>
        <color theme="1"/>
        <rFont val="微软雅黑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</si>
  <si>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</si>
  <si>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charset val="134"/>
      </rPr>
      <t>破产后，</t>
    </r>
    <r>
      <rPr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</si>
  <si>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</si>
  <si>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</si>
  <si>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charset val="134"/>
      </rPr>
      <t>破产</t>
    </r>
    <r>
      <rPr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</si>
  <si>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</si>
  <si>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charset val="134"/>
      </rPr>
      <t>破产中</t>
    </r>
    <r>
      <rPr>
        <b/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获得的额外次数，其中N次是</t>
    </r>
    <r>
      <rPr>
        <b/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成功所得,N&lt;=次数上限</t>
    </r>
  </si>
  <si>
    <t>shareDraw_timesLimit</t>
  </si>
  <si>
    <r>
      <rPr>
        <sz val="11"/>
        <color theme="1"/>
        <rFont val="微软雅黑"/>
        <charset val="134"/>
      </rPr>
      <t>玩家在抽奖模块中的</t>
    </r>
    <r>
      <rPr>
        <b/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成功，出现</t>
    </r>
    <r>
      <rPr>
        <b/>
        <sz val="11"/>
        <color rgb="FFFF0000"/>
        <rFont val="微软雅黑"/>
        <charset val="134"/>
      </rPr>
      <t>看广告</t>
    </r>
    <r>
      <rPr>
        <sz val="11"/>
        <color theme="1"/>
        <rFont val="微软雅黑"/>
        <charset val="134"/>
      </rPr>
      <t>的次数上限</t>
    </r>
  </si>
  <si>
    <t>shareDraw_rewardTimesLimit</t>
  </si>
  <si>
    <r>
      <rPr>
        <sz val="11"/>
        <color rgb="FFFF0000"/>
        <rFont val="微软雅黑"/>
        <charset val="134"/>
      </rPr>
      <t>抽奖</t>
    </r>
    <r>
      <rPr>
        <b/>
        <sz val="11"/>
        <color rgb="FFFF0000"/>
        <rFont val="微软雅黑"/>
        <charset val="134"/>
      </rPr>
      <t>看广告</t>
    </r>
    <r>
      <rPr>
        <sz val="11"/>
        <color rgb="FFFF0000"/>
        <rFont val="微软雅黑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</si>
  <si>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</si>
  <si>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</si>
  <si>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</si>
  <si>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</si>
  <si>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t>话费鱼潮每天全服的福卡产出上限</t>
  </si>
  <si>
    <t>3000</t>
  </si>
  <si>
    <t>ownBillLimit</t>
  </si>
  <si>
    <t>150</t>
  </si>
  <si>
    <r>
      <rPr>
        <b/>
        <sz val="11"/>
        <color rgb="FFFF0000"/>
        <rFont val="微软雅黑"/>
        <charset val="134"/>
      </rPr>
      <t>（暂时废弃）</t>
    </r>
    <r>
      <rPr>
        <sz val="11"/>
        <color theme="1"/>
        <rFont val="微软雅黑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</si>
  <si>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</si>
  <si>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</si>
  <si>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charset val="134"/>
      </rPr>
      <t>（暂时废弃）</t>
    </r>
    <r>
      <rPr>
        <sz val="11"/>
        <color theme="1"/>
        <rFont val="微软雅黑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</si>
  <si>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</si>
  <si>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</si>
  <si>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</si>
  <si>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</si>
  <si>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</si>
  <si>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</si>
  <si>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</si>
  <si>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</si>
  <si>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</si>
  <si>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charset val="134"/>
      </rPr>
      <t>解锁炮倍率时小手提示出现时间/s,客户端用，</t>
    </r>
    <r>
      <rPr>
        <sz val="11"/>
        <color rgb="FFFF0000"/>
        <rFont val="微软雅黑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</si>
  <si>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</si>
  <si>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</si>
  <si>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charset val="134"/>
      </rPr>
      <t>解锁炮倍率时美人鱼提示出现时间/s,客户端用</t>
    </r>
    <r>
      <rPr>
        <sz val="11"/>
        <color rgb="FFFF0000"/>
        <rFont val="微软雅黑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</si>
  <si>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</si>
  <si>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</si>
  <si>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</si>
  <si>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6</t>
  </si>
  <si>
    <t>【免费金币】模块的最低等级限制（即到表中等级才解锁该功能）</t>
  </si>
  <si>
    <t>vowOpenlimit</t>
  </si>
  <si>
    <t>财神赐福开启等级（明日礼）</t>
  </si>
  <si>
    <t>fuliOpenlimit</t>
  </si>
  <si>
    <t>4</t>
  </si>
  <si>
    <t>福利显示的开启等级</t>
  </si>
  <si>
    <t>rankShowlimit</t>
  </si>
  <si>
    <t>排行榜引导的开启等级</t>
  </si>
  <si>
    <t>luckyGoldlimit</t>
  </si>
  <si>
    <t>幸运金币开启等级</t>
  </si>
  <si>
    <t>RMBcardGoldlessEx</t>
  </si>
  <si>
    <r>
      <rPr>
        <b/>
        <sz val="11"/>
        <color theme="1"/>
        <rFont val="微软雅黑"/>
        <charset val="134"/>
      </rPr>
      <t>卡牌大放送,小游戏卡牌获得金币</t>
    </r>
    <r>
      <rPr>
        <sz val="11"/>
        <color theme="1"/>
        <rFont val="微软雅黑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</si>
  <si>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</si>
  <si>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charset val="134"/>
      </rPr>
      <t>卡牌大放送,小游戏卡牌获得金币</t>
    </r>
    <r>
      <rPr>
        <sz val="11"/>
        <color theme="1"/>
        <rFont val="微软雅黑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</si>
  <si>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</si>
  <si>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charset val="134"/>
      </rPr>
      <t>卡牌大放送,寻宝鱼小游戏</t>
    </r>
    <r>
      <rPr>
        <sz val="11"/>
        <color theme="1"/>
        <rFont val="微软雅黑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</si>
  <si>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</si>
  <si>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</si>
  <si>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</si>
  <si>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</si>
  <si>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</si>
  <si>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若触发后玩家有3次未购买则今日不在触发。</t>
  </si>
  <si>
    <t>RMBBOSSAddPro</t>
  </si>
  <si>
    <r>
      <rPr>
        <sz val="11"/>
        <color theme="1"/>
        <rFont val="微软雅黑"/>
        <charset val="134"/>
      </rPr>
      <t>玩家在没有</t>
    </r>
    <r>
      <rPr>
        <b/>
        <sz val="11"/>
        <color theme="1"/>
        <rFont val="微软雅黑"/>
        <charset val="134"/>
      </rPr>
      <t>喜从天降</t>
    </r>
    <r>
      <rPr>
        <sz val="11"/>
        <color theme="1"/>
        <rFont val="微软雅黑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</si>
  <si>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</si>
  <si>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</si>
  <si>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</si>
  <si>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</si>
  <si>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</si>
  <si>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</si>
  <si>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</si>
  <si>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</si>
  <si>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</si>
  <si>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</si>
  <si>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</si>
  <si>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</si>
  <si>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</si>
  <si>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</si>
  <si>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</si>
  <si>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</si>
  <si>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</si>
  <si>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</si>
  <si>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</si>
  <si>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</si>
  <si>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</si>
  <si>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</si>
  <si>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</si>
  <si>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</si>
  <si>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</si>
  <si>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</si>
  <si>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charset val="134"/>
      </rPr>
      <t>红包掉落概率系数：&lt;</t>
    </r>
    <r>
      <rPr>
        <b/>
        <sz val="11"/>
        <color theme="1"/>
        <rFont val="微软雅黑"/>
        <charset val="134"/>
      </rPr>
      <t>600</t>
    </r>
    <r>
      <rPr>
        <sz val="11"/>
        <color theme="1"/>
        <rFont val="微软雅黑"/>
        <charset val="134"/>
      </rPr>
      <t>，P=默认p*（currentweapon/min（</t>
    </r>
    <r>
      <rPr>
        <b/>
        <sz val="11"/>
        <color theme="1"/>
        <rFont val="微软雅黑"/>
        <charset val="134"/>
      </rPr>
      <t>600</t>
    </r>
    <r>
      <rPr>
        <sz val="11"/>
        <color theme="1"/>
        <rFont val="微软雅黑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</si>
  <si>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</si>
  <si>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</si>
  <si>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</si>
  <si>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</si>
  <si>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</si>
  <si>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</si>
  <si>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</si>
  <si>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</si>
  <si>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</si>
  <si>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</si>
  <si>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</si>
  <si>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</si>
  <si>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</si>
  <si>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</si>
  <si>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</si>
  <si>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</si>
  <si>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</si>
  <si>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</si>
  <si>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</si>
  <si>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</si>
  <si>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</si>
  <si>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</si>
  <si>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</si>
  <si>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</si>
  <si>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</si>
  <si>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</si>
  <si>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</si>
  <si>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</si>
  <si>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</si>
  <si>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</si>
  <si>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</si>
  <si>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</si>
  <si>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</si>
  <si>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</si>
  <si>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</si>
  <si>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</si>
  <si>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</si>
  <si>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</si>
  <si>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</si>
  <si>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</si>
  <si>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</si>
  <si>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</si>
  <si>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</si>
  <si>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</si>
  <si>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</si>
  <si>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</si>
  <si>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</si>
  <si>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</si>
  <si>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</si>
  <si>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</si>
  <si>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</si>
  <si>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</si>
  <si>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</si>
  <si>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</si>
  <si>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</si>
  <si>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</si>
  <si>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</si>
  <si>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</si>
  <si>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</si>
  <si>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</si>
  <si>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1800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</si>
  <si>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</si>
  <si>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</si>
  <si>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</si>
  <si>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</si>
  <si>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</si>
  <si>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</si>
  <si>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</si>
  <si>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</si>
  <si>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</si>
  <si>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</si>
  <si>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</si>
  <si>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</si>
  <si>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</si>
  <si>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</si>
  <si>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</si>
  <si>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</si>
  <si>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</si>
  <si>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</si>
  <si>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</si>
  <si>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</si>
  <si>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</si>
  <si>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</si>
  <si>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</si>
  <si>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</si>
  <si>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</si>
  <si>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</si>
  <si>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</si>
  <si>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</si>
  <si>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</si>
  <si>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</si>
  <si>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</si>
  <si>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</si>
  <si>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</si>
  <si>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</si>
  <si>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</si>
  <si>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</si>
  <si>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</si>
  <si>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</si>
  <si>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</si>
  <si>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</si>
  <si>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</si>
  <si>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charset val="134"/>
      </rPr>
      <t>[[</t>
    </r>
    <r>
      <rPr>
        <b/>
        <sz val="11"/>
        <color rgb="FFFF0000"/>
        <rFont val="微软雅黑"/>
        <charset val="134"/>
      </rPr>
      <t>25</t>
    </r>
    <r>
      <rPr>
        <sz val="11"/>
        <color theme="1"/>
        <rFont val="微软雅黑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</si>
  <si>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charset val="134"/>
      </rPr>
      <t>5.1随机规则，</t>
    </r>
    <r>
      <rPr>
        <b/>
        <sz val="11"/>
        <color rgb="FFFF0000"/>
        <rFont val="微软雅黑"/>
        <charset val="134"/>
      </rPr>
      <t>50</t>
    </r>
    <r>
      <rPr>
        <sz val="11"/>
        <color theme="1"/>
        <rFont val="微软雅黑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</si>
  <si>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</si>
  <si>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</si>
  <si>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</si>
  <si>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charset val="134"/>
      </rPr>
      <t>[[</t>
    </r>
    <r>
      <rPr>
        <sz val="11"/>
        <color rgb="FFFF0000"/>
        <rFont val="微软雅黑"/>
        <charset val="134"/>
      </rPr>
      <t>7</t>
    </r>
    <r>
      <rPr>
        <b/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</si>
  <si>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</si>
  <si>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</si>
  <si>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</si>
  <si>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</si>
  <si>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charset val="134"/>
      </rPr>
      <t>[[</t>
    </r>
    <r>
      <rPr>
        <sz val="11"/>
        <color rgb="FFFF0000"/>
        <rFont val="微软雅黑"/>
        <charset val="134"/>
      </rPr>
      <t>7</t>
    </r>
    <r>
      <rPr>
        <b/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</si>
  <si>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</si>
  <si>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</si>
  <si>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</si>
  <si>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</si>
  <si>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</si>
  <si>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</si>
  <si>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</si>
  <si>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</si>
  <si>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205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</si>
  <si>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</si>
  <si>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</si>
  <si>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</si>
  <si>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</si>
  <si>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</si>
  <si>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</si>
  <si>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</si>
  <si>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</si>
  <si>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</si>
  <si>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</si>
  <si>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</si>
  <si>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</si>
  <si>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</si>
  <si>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</si>
  <si>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</si>
  <si>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</si>
  <si>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paobeiTipsTimes</t>
  </si>
  <si>
    <t>每天炮倍引导次数</t>
  </si>
  <si>
    <t>GaojiStart</t>
  </si>
  <si>
    <r>
      <rPr>
        <sz val="10"/>
        <color theme="1"/>
        <rFont val="微软雅黑"/>
        <charset val="134"/>
      </rPr>
      <t>[12000000,6000000,8000000,2000000,4000000,0</t>
    </r>
    <r>
      <rPr>
        <sz val="10"/>
        <color theme="1"/>
        <rFont val="微软雅黑"/>
        <charset val="134"/>
      </rPr>
      <t>]</t>
    </r>
  </si>
  <si>
    <t>高级场前期节奏阶段划分点,演出金币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</si>
  <si>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</si>
  <si>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</si>
  <si>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</si>
  <si>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</si>
  <si>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</si>
  <si>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</si>
  <si>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</si>
  <si>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t>1|2|30000,1|1|20</t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</si>
  <si>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</si>
  <si>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</si>
  <si>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</si>
  <si>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</si>
  <si>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</si>
  <si>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</si>
  <si>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</si>
  <si>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t>幸运金币超级翻倍钻石价格</t>
  </si>
  <si>
    <t>luckyGoldcjPrice</t>
  </si>
  <si>
    <t>180</t>
  </si>
  <si>
    <t>PTFreeCD</t>
  </si>
  <si>
    <t>45,120,1440</t>
  </si>
  <si>
    <t>幸运金币注册后第N次免费普通翻倍的冷却时间/分钟，最后一个时间720分钟为后续每隔720分钟刷新一次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</si>
  <si>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</si>
  <si>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</si>
  <si>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</si>
  <si>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</si>
  <si>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</si>
  <si>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</si>
  <si>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charset val="134"/>
      </rPr>
      <t>不破产礼包购买后龙舟钻石掉落上限，rmb*N%</t>
    </r>
    <r>
      <rPr>
        <sz val="6"/>
        <color theme="1"/>
        <rFont val="微软雅黑"/>
        <charset val="134"/>
      </rPr>
      <t>00</t>
    </r>
    <r>
      <rPr>
        <sz val="11"/>
        <color theme="1"/>
        <rFont val="微软雅黑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</si>
  <si>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</si>
  <si>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</si>
  <si>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</si>
  <si>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</si>
  <si>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</si>
  <si>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</si>
  <si>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</si>
  <si>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</si>
  <si>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</si>
  <si>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</si>
  <si>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</si>
  <si>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</si>
  <si>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</si>
  <si>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</si>
  <si>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</si>
  <si>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</si>
  <si>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</si>
  <si>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Rechange_goldlimit</t>
  </si>
  <si>
    <t>充值池最高累积上限</t>
  </si>
  <si>
    <t>c</t>
  </si>
  <si>
    <t>服务器开关</t>
  </si>
  <si>
    <t>itemId</t>
  </si>
  <si>
    <t>name</t>
  </si>
  <si>
    <t>nameLanguage</t>
  </si>
  <si>
    <t>nameChinese</t>
  </si>
  <si>
    <t>coinValue</t>
  </si>
  <si>
    <t>desLanguage</t>
  </si>
  <si>
    <t>functionType</t>
  </si>
  <si>
    <t>channel</t>
  </si>
  <si>
    <t>channelid</t>
  </si>
  <si>
    <t>parameterType</t>
  </si>
  <si>
    <t>displayButtons</t>
  </si>
  <si>
    <t>unlockGiveNum</t>
  </si>
  <si>
    <t>canGiveNumLimit</t>
  </si>
  <si>
    <t>giveMinVip</t>
  </si>
  <si>
    <t>defaultGiveNum</t>
  </si>
  <si>
    <t>buyPrice</t>
  </si>
  <si>
    <t>defaultBuyNum</t>
  </si>
  <si>
    <t>sellPrice</t>
  </si>
  <si>
    <t>defaultSellNum</t>
  </si>
  <si>
    <t>notOwned</t>
  </si>
  <si>
    <t>upLimit</t>
  </si>
  <si>
    <t>道具id
1xxx开头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</si>
  <si>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</si>
  <si>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</si>
  <si>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</si>
  <si>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</si>
  <si>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道具描述(多语言格式)</t>
  </si>
  <si>
    <t>道具效果
1.锁定;2.冰冻;3.狂暴;4.召唤
5.自动开火+限时;6.礼包；7贵族卡，8话费卡，9实物
10轰炸机,11红包.12活动道具（限时）</t>
  </si>
  <si>
    <t xml:space="preserve">实物所属渠道
1,大麦城
</t>
  </si>
  <si>
    <t>物品在渠道商城所属id</t>
  </si>
  <si>
    <t>参数类型，
针对道具效果7，1周卡，2月卡，3三年卡;
针对8,话费卡人民币面额/元;
针对10,爆炸半径R,像素
11互动红包基础金币值
针对道具效果4，0表示普通召唤，1表示主宰召唤</t>
  </si>
  <si>
    <t>显示的功能按钮
1赠送;2购买
3使用;4续费
5转换成话费券;6跳转（用使用）
7出售,8合成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</si>
  <si>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</si>
  <si>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</si>
  <si>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</si>
  <si>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</si>
  <si>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r>
      <rPr>
        <sz val="8"/>
        <color theme="1"/>
        <rFont val="微软雅黑"/>
        <charset val="134"/>
      </rPr>
      <t>购买道具消耗</t>
    </r>
    <r>
      <rPr>
        <sz val="8"/>
        <color rgb="FFFF0000"/>
        <rFont val="微软雅黑"/>
        <charset val="134"/>
      </rPr>
      <t>金币</t>
    </r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</si>
  <si>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</si>
  <si>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</si>
  <si>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</si>
  <si>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charset val="134"/>
      </rPr>
      <t>未拥有</t>
    </r>
    <r>
      <rPr>
        <sz val="8"/>
        <color theme="1"/>
        <rFont val="微软雅黑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</si>
  <si>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</si>
  <si>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</si>
  <si>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</si>
  <si>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</si>
  <si>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钻石</t>
  </si>
  <si>
    <t>ic_jb_01</t>
  </si>
  <si>
    <t>jinbi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</si>
  <si>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</si>
  <si>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</si>
  <si>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</si>
  <si>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</si>
  <si>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</si>
  <si>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</si>
  <si>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</si>
  <si>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</si>
  <si>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</si>
  <si>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</si>
  <si>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活跃度</t>
  </si>
  <si>
    <t>suoding</t>
  </si>
  <si>
    <t>小游戏卡牌</t>
  </si>
  <si>
    <t>zidongfire_des</t>
  </si>
  <si>
    <t>ic_jn_01</t>
  </si>
  <si>
    <t>锁定</t>
  </si>
  <si>
    <t>suoding_des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</si>
  <si>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</si>
  <si>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</si>
  <si>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</si>
  <si>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</si>
  <si>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</si>
  <si>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</si>
  <si>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</si>
  <si>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</si>
  <si>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</si>
  <si>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</si>
  <si>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</si>
  <si>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</si>
  <si>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</si>
  <si>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</si>
  <si>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</si>
  <si>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ic_hd_01</t>
  </si>
  <si>
    <t>chaojiwuqi1</t>
  </si>
  <si>
    <t>Ⅰ级核弹</t>
  </si>
  <si>
    <t>chaojiwuqi1_des</t>
  </si>
  <si>
    <t>1|2|1000000</t>
  </si>
  <si>
    <t>ic_hd_02</t>
  </si>
  <si>
    <t>chaojiwuqi2</t>
  </si>
  <si>
    <t>Ⅱ级核弹</t>
  </si>
  <si>
    <t>chaojiwuqi2_des</t>
  </si>
  <si>
    <t>1|2|2000000</t>
  </si>
  <si>
    <t>ic_hd_03</t>
  </si>
  <si>
    <t>chaojiwuqi3</t>
  </si>
  <si>
    <t>Ⅲ级核弹</t>
  </si>
  <si>
    <t>chaojiwuqi3_des</t>
  </si>
  <si>
    <t>1|2|5000000</t>
  </si>
  <si>
    <t>ic_hd_04</t>
  </si>
  <si>
    <t>chaojiwuqi4</t>
  </si>
  <si>
    <t>Ⅳ级核弹</t>
  </si>
  <si>
    <t>chaojiwuqi4_des</t>
  </si>
  <si>
    <t>1|2|10000000</t>
  </si>
  <si>
    <t>zidongfire</t>
  </si>
  <si>
    <t>自动开炮</t>
  </si>
  <si>
    <t>icon_guizuka_yueka_01</t>
  </si>
  <si>
    <t>yueka</t>
  </si>
  <si>
    <t>会员卡</t>
  </si>
  <si>
    <t>yueka_des</t>
  </si>
  <si>
    <t>ic_fk_01</t>
  </si>
  <si>
    <t>huafeiquan</t>
  </si>
  <si>
    <t>福卡</t>
  </si>
  <si>
    <t>huafeiquan_des</t>
  </si>
  <si>
    <t>ic_cj_02</t>
  </si>
  <si>
    <t>maidanquan</t>
  </si>
  <si>
    <t>买单券</t>
  </si>
  <si>
    <t>maidanquan_des</t>
  </si>
  <si>
    <t>6,7</t>
  </si>
  <si>
    <t>1|2|400000</t>
  </si>
  <si>
    <t>icon_1yuanzhichongka_01</t>
  </si>
  <si>
    <t>zhichongka1</t>
  </si>
  <si>
    <t>1元话费直充卡</t>
  </si>
  <si>
    <t>zhichongka_des</t>
  </si>
  <si>
    <t>3,7</t>
  </si>
  <si>
    <t>ic_hf_01</t>
  </si>
  <si>
    <t>zhichongka2</t>
  </si>
  <si>
    <t>2元话费直充卡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</si>
  <si>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</si>
  <si>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</si>
  <si>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</si>
  <si>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</si>
  <si>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</si>
  <si>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</si>
  <si>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</si>
  <si>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</si>
  <si>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</si>
  <si>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</si>
  <si>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</si>
  <si>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</si>
  <si>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</si>
  <si>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</si>
  <si>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</si>
  <si>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1|2|20000000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</si>
  <si>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</si>
  <si>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</si>
  <si>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</si>
  <si>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</si>
  <si>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</si>
  <si>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</si>
  <si>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</si>
  <si>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</si>
  <si>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int[]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</si>
  <si>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</si>
  <si>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</si>
  <si>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</si>
  <si>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</si>
  <si>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</si>
  <si>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</si>
  <si>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</si>
  <si>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</si>
  <si>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</si>
  <si>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</si>
  <si>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</si>
  <si>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</si>
  <si>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</si>
  <si>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</si>
  <si>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</si>
  <si>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</si>
  <si>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</si>
  <si>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</si>
  <si>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</si>
  <si>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</si>
  <si>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</si>
  <si>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</si>
  <si>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</si>
  <si>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</si>
  <si>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</si>
  <si>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</si>
  <si>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</si>
  <si>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</si>
  <si>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</si>
  <si>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</si>
  <si>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dtSpineAnimation</t>
  </si>
  <si>
    <t>soffsit</t>
  </si>
  <si>
    <t>billNum</t>
  </si>
  <si>
    <t>peculiarity</t>
  </si>
  <si>
    <t>peculiarityBox</t>
  </si>
  <si>
    <t>peculiarityZh</t>
  </si>
  <si>
    <t>通过全局表查看任务出现时机</t>
  </si>
  <si>
    <t>房间id
1新手,2初级
3中级,4高级
5竞技场,6核弹专场</t>
  </si>
  <si>
    <t>是否作为快速开始选择房间
1表示是，
0表示否</t>
  </si>
  <si>
    <t>房间可以使用的最小炮倍率</t>
  </si>
  <si>
    <t>房间可以使用的最大炮倍率</t>
  </si>
  <si>
    <t>进入房间最小金币数量</t>
  </si>
  <si>
    <t>进入房间最大金币数量
-1表示无穷大</t>
  </si>
  <si>
    <t>进入房间最小vip等级</t>
  </si>
  <si>
    <t>进入房间默认炮倍
后续保存玩家使用炮倍</t>
  </si>
  <si>
    <t>每日首次解锁
该房间奖励金币</t>
  </si>
  <si>
    <t>悬赏任务出现时机：
1按照全局表房间时间间隔出现
2按照全局表房间总开火次数出现
3按照自己消耗参赛子弹个数</t>
  </si>
  <si>
    <t>小游戏卡牌类型：
-1表示该房间不掉小游戏卡牌
1寻宝鱼
2国王的悬赏</t>
  </si>
  <si>
    <t>悬赏任务从以下中随机一个</t>
  </si>
  <si>
    <t>前期节奏，每个房间
开火次数上限
超过上限后该房间前期节奏结束</t>
  </si>
  <si>
    <t xml:space="preserve">该房间在前期节奏期间
演出金币小于某个值后必中
0表示无此限制
</t>
  </si>
  <si>
    <t>前期节奏期间
上一个房间是x时，返回该房间则新手能量为B计算方式</t>
  </si>
  <si>
    <t>新手、初级、中级房不破产礼包对应的1-4阶段金币池子，阶段5以玩家持有的金币数量达到进入下一房间要求为准
炮解锁表</t>
  </si>
  <si>
    <t xml:space="preserve">不破产阶段5也是
跳转房间需要持有的金币数量
以玩家持有的金币数量达到进入下一房间要求为准
</t>
  </si>
  <si>
    <t>每个房间对应的人民币掉落范围，前后都是闭区间
暂时废弃</t>
  </si>
  <si>
    <t>掉落的情况
暂时废弃</t>
  </si>
  <si>
    <t>话费券单位
实际除以10以人民币为单位掉落
暂时废弃</t>
  </si>
  <si>
    <t>玩家解锁当前房间时
话费券上限额外增加值
单位0.01</t>
  </si>
  <si>
    <t>loading的场景配图名字</t>
  </si>
  <si>
    <t>loading的场景对应的特色玩家描述
icon、描述、框
框颜色</t>
  </si>
  <si>
    <t xml:space="preserve">对应的场景名称：
场景切换顺序
</t>
  </si>
  <si>
    <r>
      <rPr>
        <sz val="9"/>
        <color theme="1"/>
        <rFont val="微软雅黑"/>
        <charset val="134"/>
      </rPr>
      <t>对应的场景名称：
场景切换顺序，</t>
    </r>
    <r>
      <rPr>
        <sz val="9"/>
        <color rgb="FFFF0000"/>
        <rFont val="微软雅黑"/>
        <charset val="134"/>
      </rPr>
      <t>竞技场没有场景切换，金币场和弹头场有
bg_aisha,bg_binghai,bg_caishen,bg_longjing</t>
    </r>
  </si>
  <si>
    <t>场景切换时间间隔/分钟
3,5表示3～5之间随机一个时间，可能是3.5分钟</t>
  </si>
  <si>
    <t>对应的音效：</t>
  </si>
  <si>
    <r>
      <rPr>
        <sz val="9"/>
        <color theme="1"/>
        <rFont val="微软雅黑"/>
        <charset val="134"/>
      </rPr>
      <t xml:space="preserve">大厅动画
形象spine动画
</t>
    </r>
    <r>
      <rPr>
        <sz val="9"/>
        <color rgb="FFFF0000"/>
        <rFont val="微软雅黑"/>
        <charset val="134"/>
      </rPr>
      <t>(对应的每个房间入口显示表现)</t>
    </r>
  </si>
  <si>
    <t>渔场入口
spine对应的皮肤</t>
  </si>
  <si>
    <t>大厅
spine对应的动作</t>
  </si>
  <si>
    <t>大厅动画偏移
x,y</t>
  </si>
  <si>
    <t>话费赛奖励数量，大厅显示用
-1表示无话费赛</t>
  </si>
  <si>
    <t xml:space="preserve">房间下方特色玩法
1.龙舟赛
2.福卡来袭
3.小游戏卡牌
4.艾莎
5.财神
6.玄龙鲸
7.金蟾
8.冰海精灵
9.雷神锤
10.暴富鸭
11.蟹将军
</t>
  </si>
  <si>
    <t xml:space="preserve">房间下方特色玩法的外框,注意与特色玩法的位置对应
1.最高级
2.中级
3.普通
</t>
  </si>
  <si>
    <t xml:space="preserve">房间下方特色玩法的描述（多语言）
c：初级龙舟赛
z：中级龙舟赛
g：高级龙舟赛
2.福卡来袭
3.小游戏卡牌
4.艾莎
5.财神
6.玄龙鲸
7.金蟾
8.冰海精灵
9.雷神锤
10.暴富鸭
11.蟹将军
</t>
  </si>
  <si>
    <t>对应loadingTS</t>
  </si>
  <si>
    <t>5,6</t>
  </si>
  <si>
    <t>0.3,0.5</t>
  </si>
  <si>
    <t>3,4,5</t>
  </si>
  <si>
    <t>tx_ld_llxk</t>
  </si>
  <si>
    <t>[[ic_dcj_6,tx_ld_xlj_01,ui_dcj_k_3],[ic_dcj_7,tx_ld_cs_01,ui_dcj_k_1],[ic_dcj_4,tx_ld_as_01,ui_dcj_k_3],[ic_dcj_9,tx_ld_lsc_01,ui_dcj_k_3]]</t>
  </si>
  <si>
    <t>bg_longjing</t>
  </si>
  <si>
    <t>3,5</t>
  </si>
  <si>
    <t>yinxiao_rukou1</t>
  </si>
  <si>
    <t>longlingxuanku</t>
  </si>
  <si>
    <t>animation</t>
  </si>
  <si>
    <t>35,15</t>
  </si>
  <si>
    <t>7,1,2,6</t>
  </si>
  <si>
    <t>1,3,3,3</t>
  </si>
  <si>
    <t>7,g,2,6</t>
  </si>
  <si>
    <t>冰海精灵</t>
  </si>
  <si>
    <t>ic_dcj_8</t>
  </si>
  <si>
    <t>tx_ld_bhjl_01</t>
  </si>
  <si>
    <t>ui_dcj_k_1</t>
  </si>
  <si>
    <t>雷神锤</t>
  </si>
  <si>
    <t>ic_dcj_9</t>
  </si>
  <si>
    <t>tx_ld_lsc_01</t>
  </si>
  <si>
    <t>ui_dcj_k_3</t>
  </si>
  <si>
    <t>暴富鸭</t>
  </si>
  <si>
    <t>ic_dcj_10</t>
  </si>
  <si>
    <t>tx_ld_bfy_01</t>
  </si>
  <si>
    <t>蟹将军</t>
  </si>
  <si>
    <t>ic_dcj_11</t>
  </si>
  <si>
    <t>tx_ld_xjj_01</t>
  </si>
  <si>
    <t>艾莎</t>
  </si>
  <si>
    <t>ic_dcj_4</t>
  </si>
  <si>
    <t>tx_ld_as_01</t>
  </si>
  <si>
    <t>龙舟</t>
  </si>
  <si>
    <t>ic_dcj_1</t>
  </si>
  <si>
    <t>tx_ld_cjlzfks_01</t>
  </si>
  <si>
    <t>福卡来袭</t>
  </si>
  <si>
    <t>ic_dcj_2_1</t>
  </si>
  <si>
    <t>tx_ld_fklx_01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</si>
  <si>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</si>
  <si>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</si>
  <si>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</si>
  <si>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</si>
  <si>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</si>
  <si>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</si>
  <si>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</si>
  <si>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</si>
  <si>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</si>
  <si>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tx_ld_zjlzfks_01</t>
  </si>
  <si>
    <t>ic_dcj_2_2</t>
  </si>
  <si>
    <t>玄龙鲸</t>
  </si>
  <si>
    <t>ic_dcj_6</t>
  </si>
  <si>
    <t>tx_ld_xlj_01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</si>
  <si>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</si>
  <si>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</si>
  <si>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</si>
  <si>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</si>
  <si>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</si>
  <si>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</si>
  <si>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</si>
  <si>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</si>
  <si>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</si>
  <si>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核弹形象</t>
  </si>
  <si>
    <t>ic_dcj_13</t>
  </si>
  <si>
    <t>tx_ld_hjyhzz_01</t>
  </si>
  <si>
    <t>通用炮形象</t>
  </si>
  <si>
    <t>ic_dcj_12</t>
  </si>
  <si>
    <t>tx_ld_pb_01</t>
  </si>
  <si>
    <t>tx_ld_gjlzfks_01</t>
  </si>
  <si>
    <r>
      <rPr>
        <sz val="10"/>
        <color theme="1"/>
        <rFont val="微软雅黑"/>
        <charset val="134"/>
      </rPr>
      <t>c</t>
    </r>
    <r>
      <rPr>
        <sz val="10"/>
        <color theme="1"/>
        <rFont val="微软雅黑"/>
        <charset val="134"/>
      </rPr>
      <t>s</t>
    </r>
  </si>
  <si>
    <t>闪电价值</t>
  </si>
  <si>
    <t>设定：每分钟出N个钻石</t>
  </si>
  <si>
    <t>小游戏价值占比</t>
  </si>
  <si>
    <t>祝福增加时间对应价值占鱼的score比例</t>
  </si>
  <si>
    <t>免费开火</t>
  </si>
  <si>
    <t>能量</t>
  </si>
  <si>
    <t>金币价值</t>
  </si>
  <si>
    <t>捕鱼掉落福卡(只在经典场和弹头场掉）</t>
  </si>
  <si>
    <t>捕鱼净消耗金币</t>
  </si>
  <si>
    <r>
      <rPr>
        <sz val="11"/>
        <color theme="1"/>
        <rFont val="微软雅黑"/>
        <charset val="134"/>
      </rPr>
      <t>玩家净消耗5000得福卡x1，模型为：</t>
    </r>
    <r>
      <rPr>
        <sz val="8"/>
        <color theme="1"/>
        <rFont val="微软雅黑"/>
        <charset val="134"/>
      </rPr>
      <t>1倍炮、1福卡、1分鱼</t>
    </r>
  </si>
  <si>
    <r>
      <rPr>
        <sz val="11"/>
        <color theme="1"/>
        <rFont val="微软雅黑"/>
        <charset val="134"/>
      </rPr>
      <t>鱼被捕获情况下掉落福卡概率=炮倍*value*</t>
    </r>
    <r>
      <rPr>
        <b/>
        <sz val="11"/>
        <color theme="1"/>
        <rFont val="微软雅黑"/>
        <charset val="134"/>
      </rPr>
      <t>基础捕鱼掉落福卡概率</t>
    </r>
    <r>
      <rPr>
        <sz val="11"/>
        <color theme="1"/>
        <rFont val="微软雅黑"/>
        <charset val="134"/>
      </rPr>
      <t>/掉落总额</t>
    </r>
  </si>
  <si>
    <t>闪电价值穿透系数</t>
  </si>
  <si>
    <t>炮开火频率/s</t>
  </si>
  <si>
    <t>小游戏积分</t>
  </si>
  <si>
    <t>新手房间</t>
  </si>
  <si>
    <t>当前炮倍</t>
  </si>
  <si>
    <t>概率max</t>
  </si>
  <si>
    <t>获得福卡</t>
  </si>
  <si>
    <t>基础捕获鱼掉落福卡概率</t>
  </si>
  <si>
    <t>fishId</t>
  </si>
  <si>
    <t>fishType</t>
  </si>
  <si>
    <r>
      <rPr>
        <sz val="10"/>
        <color theme="1"/>
        <rFont val="微软雅黑"/>
        <charset val="134"/>
      </rPr>
      <t>fishType</t>
    </r>
    <r>
      <rPr>
        <sz val="10"/>
        <color theme="1"/>
        <rFont val="微软雅黑"/>
        <charset val="134"/>
      </rPr>
      <t>Child</t>
    </r>
  </si>
  <si>
    <t>score</t>
  </si>
  <si>
    <t>scoreShow</t>
  </si>
  <si>
    <t>scoreStage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</si>
  <si>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</si>
  <si>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</si>
  <si>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</si>
  <si>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</si>
  <si>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</si>
  <si>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</si>
  <si>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</si>
  <si>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stPerQuan</t>
  </si>
  <si>
    <t>stDropQuanNum</t>
  </si>
  <si>
    <t>stDropQuanUnit</t>
  </si>
  <si>
    <t>buyuFuka</t>
  </si>
  <si>
    <t>dropGroup</t>
  </si>
  <si>
    <t>dropDantouP</t>
  </si>
  <si>
    <t>perDraw</t>
  </si>
  <si>
    <t>perCard</t>
  </si>
  <si>
    <t>perAddT</t>
  </si>
  <si>
    <t>addTime</t>
  </si>
  <si>
    <t>addTimeP</t>
  </si>
  <si>
    <t>rmbPoolE</t>
  </si>
  <si>
    <t>isMustHit</t>
  </si>
  <si>
    <t>goldDropType</t>
  </si>
  <si>
    <t>animationType</t>
  </si>
  <si>
    <t>isSpine</t>
  </si>
  <si>
    <t>die_shake</t>
  </si>
  <si>
    <t>die_bg</t>
  </si>
  <si>
    <t>noflip</t>
  </si>
  <si>
    <t>scale</t>
  </si>
  <si>
    <t>scale_app</t>
  </si>
  <si>
    <t>scale_dm</t>
  </si>
  <si>
    <t>lockScale</t>
  </si>
  <si>
    <t>frozenType</t>
  </si>
  <si>
    <t>bossTx</t>
  </si>
  <si>
    <t>bossScale</t>
  </si>
  <si>
    <t>dieNumSize</t>
  </si>
  <si>
    <t>zIndex</t>
  </si>
  <si>
    <t>flashFz</t>
  </si>
  <si>
    <t>flashBrill</t>
  </si>
  <si>
    <t>targetScale</t>
  </si>
  <si>
    <t>dieMove</t>
  </si>
  <si>
    <t>collider</t>
  </si>
  <si>
    <t>collider_app</t>
  </si>
  <si>
    <t>book_Num</t>
  </si>
  <si>
    <t>book_kuang</t>
  </si>
  <si>
    <t>flashE</t>
  </si>
  <si>
    <t>闪电单目标阈值</t>
  </si>
  <si>
    <t>valueIncludeCard</t>
  </si>
  <si>
    <t>一分钟开火次数</t>
  </si>
  <si>
    <t>改为小游戏积分后记得调整国王的悬赏和寻宝鱼积分档位</t>
  </si>
  <si>
    <t>得1次福卡需要时间</t>
  </si>
  <si>
    <t>1000倍炮掉落情况(标准值）</t>
  </si>
  <si>
    <t>炮倍总额</t>
  </si>
  <si>
    <t>面额</t>
  </si>
  <si>
    <t>鱼id</t>
  </si>
  <si>
    <r>
      <rPr>
        <sz val="9"/>
        <color theme="1"/>
        <rFont val="微软雅黑"/>
        <charset val="134"/>
      </rPr>
      <t xml:space="preserve">鱼图片资源名称
</t>
    </r>
    <r>
      <rPr>
        <sz val="9"/>
        <color rgb="FFFF0000"/>
        <rFont val="微软雅黑"/>
        <charset val="134"/>
      </rPr>
      <t>未填写的表示鱼和小精灵没对应的
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</si>
  <si>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</si>
  <si>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charset val="134"/>
      </rPr>
      <t xml:space="preserve">目前只有特殊鱼boss需要区分
</t>
    </r>
    <r>
      <rPr>
        <sz val="9"/>
        <color rgb="FFFF0000"/>
        <rFont val="微软雅黑"/>
        <charset val="134"/>
      </rPr>
      <t>1卡牌鱼,2电鳗,3炸弹
4冰海精灵，5玄龙鲸，6财神（印度版本是金蟾形象），7艾莎，8奖池</t>
    </r>
    <r>
      <rPr>
        <sz val="9"/>
        <color theme="1"/>
        <rFont val="微软雅黑"/>
        <charset val="134"/>
      </rPr>
      <t xml:space="preserve">
其他没有的暂时用-1</t>
    </r>
  </si>
  <si>
    <t>平均
分值</t>
  </si>
  <si>
    <t>图鉴展示分值</t>
  </si>
  <si>
    <r>
      <rPr>
        <b/>
        <sz val="9"/>
        <color rgb="FF7030A0"/>
        <rFont val="微软雅黑"/>
        <charset val="134"/>
      </rPr>
      <t xml:space="preserve">黄金鱼分阶段展示分值
</t>
    </r>
    <r>
      <rPr>
        <sz val="8"/>
        <color rgb="FF7030A0"/>
        <rFont val="微软雅黑"/>
        <charset val="134"/>
      </rPr>
      <t>[[分值1,权重1],[分值2,权重2],[分值3,权重3],]</t>
    </r>
  </si>
  <si>
    <t>客户端显示
掉落抽奖券百分比
5表示5%</t>
  </si>
  <si>
    <t>额外抽奖券百分比(服务器保留数据)
1表示1%</t>
  </si>
  <si>
    <t>被捕获时获得福卡数量
（金额）</t>
  </si>
  <si>
    <t xml:space="preserve">鱼被捕获情况下银锤子掉落概率
</t>
  </si>
  <si>
    <r>
      <rPr>
        <sz val="9"/>
        <color theme="1"/>
        <rFont val="微软雅黑"/>
        <charset val="134"/>
      </rPr>
      <t xml:space="preserve">被捕获获得的钻石
</t>
    </r>
    <r>
      <rPr>
        <b/>
        <sz val="9"/>
        <color rgb="FFFF0000"/>
        <rFont val="微软雅黑"/>
        <charset val="134"/>
      </rPr>
      <t>暂时废弃</t>
    </r>
    <r>
      <rPr>
        <sz val="9"/>
        <color theme="1"/>
        <rFont val="微软雅黑"/>
        <charset val="134"/>
      </rPr>
      <t xml:space="preserve">
</t>
    </r>
  </si>
  <si>
    <r>
      <rPr>
        <sz val="9"/>
        <color theme="1"/>
        <rFont val="微软雅黑"/>
        <charset val="134"/>
      </rPr>
      <t xml:space="preserve">鱼被捕获情况下
钻石掉落概率
</t>
    </r>
    <r>
      <rPr>
        <sz val="9"/>
        <color rgb="FFFF0000"/>
        <rFont val="微软雅黑"/>
        <charset val="134"/>
      </rPr>
      <t>武器能量0.95</t>
    </r>
    <r>
      <rPr>
        <sz val="9"/>
        <color theme="1"/>
        <rFont val="微软雅黑"/>
        <charset val="134"/>
      </rPr>
      <t xml:space="preserve">(算概率会用到)
</t>
    </r>
    <r>
      <rPr>
        <b/>
        <sz val="9"/>
        <color rgb="FFFF0000"/>
        <rFont val="微软雅黑"/>
        <charset val="134"/>
      </rPr>
      <t>暂时废弃</t>
    </r>
  </si>
  <si>
    <t>鱼被捕获情况下
掉落的小游戏卡牌概率</t>
  </si>
  <si>
    <t>捕鱼掉落福卡
标准值(VIP对应的per，需要在此基础上乘以系数)</t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</si>
  <si>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</si>
  <si>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</si>
  <si>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</si>
  <si>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掉落组:对应掉落表的dropGroup</t>
  </si>
  <si>
    <t>弹头场掉落弹头的概率P</t>
  </si>
  <si>
    <r>
      <rPr>
        <sz val="9"/>
        <color theme="1"/>
        <rFont val="微软雅黑"/>
        <charset val="134"/>
      </rPr>
      <t xml:space="preserve">抽奖券占比
</t>
    </r>
    <r>
      <rPr>
        <b/>
        <sz val="9"/>
        <color theme="0"/>
        <rFont val="微软雅黑"/>
        <charset val="134"/>
      </rPr>
      <t xml:space="preserve">必掉奖券
</t>
    </r>
    <r>
      <rPr>
        <sz val="8"/>
        <color theme="0"/>
        <rFont val="微软雅黑"/>
        <charset val="134"/>
      </rPr>
      <t xml:space="preserve">(0表示该鱼不掉，目前只有黄金鱼掉落奖券)
</t>
    </r>
    <r>
      <rPr>
        <b/>
        <sz val="8"/>
        <color theme="0"/>
        <rFont val="微软雅黑"/>
        <charset val="134"/>
      </rPr>
      <t>最小千分之一</t>
    </r>
  </si>
  <si>
    <r>
      <rPr>
        <sz val="9"/>
        <color theme="1"/>
        <rFont val="微软雅黑"/>
        <charset val="134"/>
      </rPr>
      <t>小游戏卡牌占比
对应</t>
    </r>
    <r>
      <rPr>
        <b/>
        <sz val="9"/>
        <color theme="1"/>
        <rFont val="微软雅黑"/>
        <charset val="134"/>
      </rPr>
      <t xml:space="preserve">概率掉落
</t>
    </r>
    <r>
      <rPr>
        <b/>
        <sz val="9"/>
        <color theme="0"/>
        <rFont val="微软雅黑"/>
        <charset val="134"/>
      </rPr>
      <t>dropGameCard
最小千分之一</t>
    </r>
  </si>
  <si>
    <r>
      <rPr>
        <sz val="9"/>
        <color theme="1"/>
        <rFont val="微软雅黑"/>
        <charset val="134"/>
      </rPr>
      <t xml:space="preserve">免费开火增加时间占比
</t>
    </r>
    <r>
      <rPr>
        <sz val="9"/>
        <color theme="0"/>
        <rFont val="微软雅黑"/>
        <charset val="134"/>
      </rPr>
      <t>最小千分之一</t>
    </r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</si>
  <si>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</si>
  <si>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</si>
  <si>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charset val="134"/>
      </rPr>
      <t>最小千分之一</t>
    </r>
  </si>
  <si>
    <t>是否是充值池子设定的必中鱼
0否，1是</t>
  </si>
  <si>
    <r>
      <rPr>
        <sz val="8"/>
        <color theme="1"/>
        <rFont val="微软雅黑"/>
        <charset val="134"/>
      </rPr>
      <t>金币落位动画类型：</t>
    </r>
    <r>
      <rPr>
        <sz val="9"/>
        <color theme="1"/>
        <rFont val="微软雅黑"/>
        <charset val="134"/>
      </rPr>
      <t xml:space="preserve">
1,1*1;2,1*2;3,1*3;4,2*2;5,2*3;6,2*4;7,2*5;8,2*6;9,2*7;10,2*8;11,3排454;12,3排565</t>
    </r>
  </si>
  <si>
    <t>金币动画类型，
-1表示没有
1转盘;2太棒了;3连锁闪电;
4深水炸弹;5翡翠蟹;6金钱鳄
7巨钳龙虾;8美人鱼;9送财龙龟;
10独角鲸;11真身龙虾王;12人鱼声波;13通用转盘</t>
  </si>
  <si>
    <t>针对小精灵的是否spine动画
0否，1是</t>
  </si>
  <si>
    <t>死亡时的震屏效果(同房间都震屏)
手机震动(只自己震)
0表示无
1表示低级
2表示中级
3表示高级</t>
  </si>
  <si>
    <r>
      <rPr>
        <sz val="9"/>
        <color theme="1"/>
        <rFont val="微软雅黑"/>
        <charset val="134"/>
      </rPr>
      <t>死亡动画1
对应anim_die_bg_</t>
    </r>
    <r>
      <rPr>
        <sz val="9"/>
        <color rgb="FFFF0000"/>
        <rFont val="微软雅黑"/>
        <charset val="134"/>
      </rPr>
      <t>X
名字填写"X"编号</t>
    </r>
  </si>
  <si>
    <t>是否不上下翻转
0翻转
1不翻转</t>
  </si>
  <si>
    <t>通用版鱼缩放百分比</t>
  </si>
  <si>
    <t>app图片缩放百分比</t>
  </si>
  <si>
    <t>电鳗链接点特效用到的受击比例</t>
  </si>
  <si>
    <t>锁定光圈的比例(按照锁定自己的比例缩放)</t>
  </si>
  <si>
    <t>冰冻
冰块类型,缩放比例
不填表示无冰块
1小冰块
2大冰块</t>
  </si>
  <si>
    <r>
      <rPr>
        <sz val="9"/>
        <color theme="1"/>
        <rFont val="微软雅黑"/>
        <charset val="134"/>
      </rPr>
      <t>boss身上特效
1紫色
2橙色(</t>
    </r>
    <r>
      <rPr>
        <sz val="9"/>
        <color rgb="FFFF0000"/>
        <rFont val="微软雅黑"/>
        <charset val="134"/>
      </rPr>
      <t>暂时去掉)</t>
    </r>
    <r>
      <rPr>
        <sz val="9"/>
        <color theme="1"/>
        <rFont val="微软雅黑"/>
        <charset val="134"/>
      </rPr>
      <t xml:space="preserve">
3莲花特效
一个鱼配置了“2,3”表示2在下面，3在上面
</t>
    </r>
  </si>
  <si>
    <t>boss身上的特效缩放比例（按照特自己的比例缩放）
0表示没有
配置格式对应bossTx</t>
  </si>
  <si>
    <t>死亡数字缩小%</t>
  </si>
  <si>
    <r>
      <rPr>
        <sz val="10"/>
        <color theme="1"/>
        <rFont val="微软雅黑"/>
        <charset val="134"/>
      </rPr>
      <t xml:space="preserve">鱼的层级
</t>
    </r>
    <r>
      <rPr>
        <sz val="8"/>
        <color rgb="FFFF0000"/>
        <rFont val="微软雅黑"/>
        <charset val="134"/>
      </rPr>
      <t>死亡前层级为表中数值，死亡后层级为表死亡前鱼的层级都要高</t>
    </r>
  </si>
  <si>
    <t>鱼的被击闪动频率
被击效果不再是覆盖而是顺序叠加</t>
  </si>
  <si>
    <t>闪屏亮度百分比</t>
  </si>
  <si>
    <t>目标鱼选中效果大小比例(按照目标选中效果自己的比例缩放)</t>
  </si>
  <si>
    <t>鱼死亡位移
a,b:位移像素和位移速度(秒)，鱼死亡放大倍数</t>
  </si>
  <si>
    <t>对应scale
鱼在标准大小(1倍)下的碰撞区
前2个offset,
后2个是size</t>
  </si>
  <si>
    <r>
      <rPr>
        <sz val="9"/>
        <color theme="1"/>
        <rFont val="微软雅黑"/>
        <charset val="134"/>
      </rPr>
      <t xml:space="preserve">碰撞区_app
前2个offset,
后2个是size
</t>
    </r>
    <r>
      <rPr>
        <sz val="9"/>
        <color rgb="FFFF0000"/>
        <rFont val="微软雅黑"/>
        <charset val="134"/>
      </rPr>
      <t>app</t>
    </r>
    <r>
      <rPr>
        <b/>
        <sz val="9"/>
        <color rgb="FFFF0000"/>
        <rFont val="微软雅黑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</si>
  <si>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</si>
  <si>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</si>
  <si>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 xml:space="preserve">闪电武器能量
</t>
  </si>
  <si>
    <t xml:space="preserve">闪电穿透几条鱼
</t>
  </si>
  <si>
    <r>
      <rPr>
        <sz val="8"/>
        <color theme="1"/>
        <rFont val="微软雅黑"/>
        <charset val="134"/>
      </rPr>
      <t>小精灵是否存在</t>
    </r>
    <r>
      <rPr>
        <sz val="9"/>
        <color theme="1"/>
        <rFont val="微软雅黑"/>
        <charset val="134"/>
      </rPr>
      <t xml:space="preserve">
</t>
    </r>
    <r>
      <rPr>
        <sz val="8"/>
        <color rgb="FFFF0000"/>
        <rFont val="微软雅黑"/>
        <charset val="134"/>
      </rPr>
      <t>空表示当前版本不存在该小精灵</t>
    </r>
  </si>
  <si>
    <t>鱼的价值
不掉小游戏和boss免费开火</t>
  </si>
  <si>
    <t>鱼的价值
掉小游戏时的</t>
  </si>
  <si>
    <t>辅助，钻石掉落的实际概率</t>
  </si>
  <si>
    <t>平均每次开火出现1钻石的概率</t>
  </si>
  <si>
    <r>
      <rPr>
        <sz val="11"/>
        <color theme="1"/>
        <rFont val="微软雅黑"/>
        <charset val="134"/>
      </rPr>
      <t>鱼的价值
只考虑</t>
    </r>
    <r>
      <rPr>
        <sz val="9"/>
        <color rgb="FFFF0000"/>
        <rFont val="微软雅黑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</si>
  <si>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</si>
  <si>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</si>
  <si>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</si>
  <si>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</si>
  <si>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</si>
  <si>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</si>
  <si>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</si>
  <si>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</si>
  <si>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</si>
  <si>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</si>
  <si>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</si>
  <si>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</si>
  <si>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</si>
  <si>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r>
      <rPr>
        <sz val="9"/>
        <color theme="1"/>
        <rFont val="微软雅黑"/>
        <charset val="134"/>
      </rPr>
      <t xml:space="preserve">标准值
</t>
    </r>
    <r>
      <rPr>
        <b/>
        <sz val="9"/>
        <color theme="1"/>
        <rFont val="微软雅黑"/>
        <charset val="134"/>
      </rPr>
      <t>占鱼score比例</t>
    </r>
  </si>
  <si>
    <t>标准value</t>
  </si>
  <si>
    <t>标准值
掉落福卡基础概率对应：
捕获鱼情况下1倍炮掉落1福卡的概率</t>
  </si>
  <si>
    <t>标准值
本次捕获鱼掉落福卡概率（概率溢出时）</t>
  </si>
  <si>
    <r>
      <rPr>
        <sz val="9"/>
        <color theme="1"/>
        <rFont val="微软雅黑"/>
        <charset val="134"/>
      </rPr>
      <t>实际值</t>
    </r>
    <r>
      <rPr>
        <b/>
        <sz val="9"/>
        <color rgb="FFC00000"/>
        <rFont val="微软雅黑"/>
        <charset val="134"/>
      </rPr>
      <t>(配置)</t>
    </r>
    <r>
      <rPr>
        <sz val="9"/>
        <color theme="1"/>
        <rFont val="微软雅黑"/>
        <charset val="134"/>
      </rPr>
      <t xml:space="preserve">
</t>
    </r>
    <r>
      <rPr>
        <b/>
        <sz val="9"/>
        <color theme="1"/>
        <rFont val="微软雅黑"/>
        <charset val="134"/>
      </rPr>
      <t>占鱼分值比例:</t>
    </r>
    <r>
      <rPr>
        <sz val="9"/>
        <color theme="1"/>
        <rFont val="微软雅黑"/>
        <charset val="134"/>
      </rPr>
      <t xml:space="preserve">
(如果本次计算概率大于60%，则重新计算）</t>
    </r>
  </si>
  <si>
    <t>实际值(配置)
掉落福卡基础概率对应：
捕获鱼情况下1倍炮掉落1福卡的概率</t>
  </si>
  <si>
    <t>实际值
本次捕获鱼掉落福卡概率（概率不会溢出时）</t>
  </si>
  <si>
    <t>实际值
掉落需要的开火次数</t>
  </si>
  <si>
    <t>该鱼当前炮倍率对应的掉落总额</t>
  </si>
  <si>
    <t>该鱼当前炮倍掉落面额（控制客户端表现的）</t>
  </si>
  <si>
    <t>掉落总额</t>
  </si>
  <si>
    <t>掉落面额（控制客户端表现的）</t>
  </si>
  <si>
    <t>概率</t>
  </si>
  <si>
    <t>[[1,1],[1,1],[1,1],[1,1],[1,1],[1,1],[1,1],[1,1],[1,1],[1,1],[2,2],[4,4],[6,6],[8,8],[10,10],[20,20],[40,40],[60,60],[80,80],[100,100]]</t>
  </si>
  <si>
    <t>[[1,5],[2,2],[3,1]]</t>
  </si>
  <si>
    <t>[0,0,0]</t>
  </si>
  <si>
    <t>80,0.1,1</t>
  </si>
  <si>
    <t>1,3,35,10</t>
  </si>
  <si>
    <t>3.9,-0.48,36,36</t>
  </si>
  <si>
    <t>是</t>
  </si>
  <si>
    <t>被捕获的概率*鱼出现钻石的概率=平均每次开火出现1个钻石的概率</t>
  </si>
  <si>
    <t>0.05,0.15</t>
  </si>
  <si>
    <t>炮倍</t>
  </si>
  <si>
    <t>打鱼时掉落概率</t>
  </si>
  <si>
    <t>hudieyu</t>
  </si>
  <si>
    <t>-2,0,15,27</t>
  </si>
  <si>
    <t>-0.89,0,36,36</t>
  </si>
  <si>
    <t>设定：每分钟出N个红包</t>
  </si>
  <si>
    <t>鱼value</t>
  </si>
  <si>
    <t>fangyu</t>
  </si>
  <si>
    <t>3,0,22,8</t>
  </si>
  <si>
    <t>1.95,0.48,36,36</t>
  </si>
  <si>
    <t>平均每次开火出现1红包的概率</t>
  </si>
  <si>
    <t>6,-1,45,24</t>
  </si>
  <si>
    <t>1.78,-1.33,45,35</t>
  </si>
  <si>
    <t>7,19,61,24</t>
  </si>
  <si>
    <t>2.43,1.95,40,40</t>
  </si>
  <si>
    <t>heibaimo</t>
  </si>
  <si>
    <t>4,2,44,11</t>
  </si>
  <si>
    <t>4.89,-0.89,50,38</t>
  </si>
  <si>
    <t>huangbaoshi</t>
  </si>
  <si>
    <t>3,3,42,25</t>
  </si>
  <si>
    <t>0,0,36,48</t>
  </si>
  <si>
    <t>muguayu</t>
  </si>
  <si>
    <t>-1,16,43,21</t>
  </si>
  <si>
    <t>-2.92,2.43,36,36</t>
  </si>
  <si>
    <t>8</t>
  </si>
  <si>
    <t>baifanyu1</t>
  </si>
  <si>
    <t>0,0,1</t>
  </si>
  <si>
    <t>-1,4,60,22</t>
  </si>
  <si>
    <t>5.84,-0.48,40,36</t>
  </si>
  <si>
    <t>fengweiyu</t>
  </si>
  <si>
    <t>-1,4,48,30</t>
  </si>
  <si>
    <t>-9.93,0,63,30</t>
  </si>
  <si>
    <t>9,21,50,64</t>
  </si>
  <si>
    <t>0.48,0.97,47,36</t>
  </si>
  <si>
    <t>11</t>
  </si>
  <si>
    <t>lvqiyu</t>
  </si>
  <si>
    <t>7,9,37,58</t>
  </si>
  <si>
    <t>1.46,0.48,62,36</t>
  </si>
  <si>
    <t>-4,26,64,70</t>
  </si>
  <si>
    <t>4.23,0.94,69,36</t>
  </si>
  <si>
    <t>13</t>
  </si>
  <si>
    <t>11,21,86,48</t>
  </si>
  <si>
    <t>4.23,-2.36,61,36</t>
  </si>
  <si>
    <t>14</t>
  </si>
  <si>
    <t>xingbanyu</t>
  </si>
  <si>
    <t>13,21,98,40</t>
  </si>
  <si>
    <t>-0.47,4.7,58,64</t>
  </si>
  <si>
    <t>landiaodiao</t>
  </si>
  <si>
    <t>0,17,72,40</t>
  </si>
  <si>
    <t>-4.4,1.46,52,90</t>
  </si>
  <si>
    <t>16</t>
  </si>
  <si>
    <t>6,30,100,44</t>
  </si>
  <si>
    <t>-1.89,-0.95,50,52</t>
  </si>
  <si>
    <t>17</t>
  </si>
  <si>
    <t>shiziyu</t>
  </si>
  <si>
    <t>2,9,67,74</t>
  </si>
  <si>
    <t>-5.23,0.44,72,54</t>
  </si>
  <si>
    <t>18</t>
  </si>
  <si>
    <t>damaha</t>
  </si>
  <si>
    <t>-2,13,97,57</t>
  </si>
  <si>
    <t>-1.02,5.58,80,80</t>
  </si>
  <si>
    <t>19</t>
  </si>
  <si>
    <t>1,1</t>
  </si>
  <si>
    <t>120,0.1,1</t>
  </si>
  <si>
    <t>14,-4,147,88</t>
  </si>
  <si>
    <t>2.83,0,119,36</t>
  </si>
  <si>
    <t>88,1,92,153</t>
  </si>
  <si>
    <t>17.97,-0.54,60,84</t>
  </si>
  <si>
    <t>21</t>
  </si>
  <si>
    <t>jialuolou</t>
  </si>
  <si>
    <t>2,0.7</t>
  </si>
  <si>
    <t>17,13,242,73</t>
  </si>
  <si>
    <t>-9.74,3.12,152,37</t>
  </si>
  <si>
    <t>22</t>
  </si>
  <si>
    <t>黄金鱼分值设计</t>
  </si>
  <si>
    <t>qiyu</t>
  </si>
  <si>
    <t>-8,27,176,121</t>
  </si>
  <si>
    <t>8.15,-0.41,158,37</t>
  </si>
  <si>
    <t>23</t>
  </si>
  <si>
    <t>第1阶段</t>
  </si>
  <si>
    <t>第2阶段</t>
  </si>
  <si>
    <t>第3阶段</t>
  </si>
  <si>
    <t>45,25,239,92</t>
  </si>
  <si>
    <t>-6.09,-4.57,220,50</t>
  </si>
  <si>
    <t>24</t>
  </si>
  <si>
    <t>score1</t>
  </si>
  <si>
    <t>概率权重</t>
  </si>
  <si>
    <t>score2</t>
  </si>
  <si>
    <t>score3</t>
  </si>
  <si>
    <t>平均值</t>
  </si>
  <si>
    <t>jinsanjiao</t>
  </si>
  <si>
    <t>53,1,80,67</t>
  </si>
  <si>
    <t>1.72,4.48,45,72</t>
  </si>
  <si>
    <t>jinwuzei</t>
  </si>
  <si>
    <t>24,1,80,59</t>
  </si>
  <si>
    <t>0.49,3.91,70,72</t>
  </si>
  <si>
    <t>8,20,105,85</t>
  </si>
  <si>
    <t>-3.56,-1.77,66,60</t>
  </si>
  <si>
    <t>1,1.3</t>
  </si>
  <si>
    <t>36,7,88,189</t>
  </si>
  <si>
    <t>0.49,6.84,80,75</t>
  </si>
  <si>
    <t>yaoyu</t>
  </si>
  <si>
    <t>82,7,86,96</t>
  </si>
  <si>
    <t>9.88,-2.83,150,50</t>
  </si>
  <si>
    <t>1,1.4</t>
  </si>
  <si>
    <t>2,8,141,115</t>
  </si>
  <si>
    <t>6.97,-1.03,60,106</t>
  </si>
  <si>
    <t>hujing</t>
  </si>
  <si>
    <t>2,0.85</t>
  </si>
  <si>
    <t>37,17,228,68</t>
  </si>
  <si>
    <t>-16.5,1.89,230,44</t>
  </si>
  <si>
    <t>chuitousha</t>
  </si>
  <si>
    <t>33,7,284,51</t>
  </si>
  <si>
    <t>2.45,1.47,204,51</t>
  </si>
  <si>
    <t>2,1</t>
  </si>
  <si>
    <t>84,0,334,86</t>
  </si>
  <si>
    <t>-4.89,-12.72,205,46</t>
  </si>
  <si>
    <t>100,0.1,1</t>
  </si>
  <si>
    <t>79,7,114,162</t>
  </si>
  <si>
    <t>-22.87,5.44,273,107</t>
  </si>
  <si>
    <t>-11.43,9.8,487,153</t>
  </si>
  <si>
    <t>2,1.3</t>
  </si>
  <si>
    <t>60,0.1,1</t>
  </si>
  <si>
    <t>-5,-12,331,304</t>
  </si>
  <si>
    <t>-13.61,27.21,247,223</t>
  </si>
  <si>
    <t>kedaya</t>
  </si>
  <si>
    <t>18,-1,288,86</t>
  </si>
  <si>
    <t>1.63,5.5,395,102</t>
  </si>
  <si>
    <t>2,1.1</t>
  </si>
  <si>
    <t>3,2,345,157</t>
  </si>
  <si>
    <t>aisha</t>
  </si>
  <si>
    <t>-4,0,387,42</t>
  </si>
  <si>
    <t>-4.9,-0.54,301,50</t>
  </si>
  <si>
    <t>jinchan</t>
  </si>
  <si>
    <t>1,1.15</t>
  </si>
  <si>
    <t>5,8,157,169</t>
  </si>
  <si>
    <t>5.44,1.09,150,150</t>
  </si>
  <si>
    <t>longjing</t>
  </si>
  <si>
    <t>35,-8,327,125</t>
  </si>
  <si>
    <t>13.07,13.61,320,70</t>
  </si>
  <si>
    <t>leishenchui</t>
  </si>
  <si>
    <t>0,0.1,1</t>
  </si>
  <si>
    <t>32,-9,107,115</t>
  </si>
  <si>
    <t>2.57,1.68,90,30</t>
  </si>
  <si>
    <t>0,41,95,87</t>
  </si>
  <si>
    <t>-0.97,-14.16,39,39</t>
  </si>
  <si>
    <t>4,22,229,163</t>
  </si>
  <si>
    <t>0.54,10.89,129,115</t>
  </si>
  <si>
    <t>-8,-4,91,110</t>
  </si>
  <si>
    <t>-0.54,3.81,247,65</t>
  </si>
  <si>
    <t>200,0.1,1</t>
  </si>
  <si>
    <t>-6.3,2.18,38,49</t>
  </si>
  <si>
    <t>否</t>
  </si>
  <si>
    <t>986,65,169,245|820,54,167,171|572,58,333,161|292,34,232,154|33,54,287,199|-301,56,385,220|-636,5,288,142|-815,33,186,181|-965,-12,193,89</t>
  </si>
  <si>
    <t>-5.53,-15.67,372,122</t>
  </si>
  <si>
    <t>0,3,82,107</t>
  </si>
  <si>
    <t>-3.98,-1.98,41,38</t>
  </si>
  <si>
    <t>-3.56,-1.77,126,120</t>
  </si>
  <si>
    <t>捕获boss后翻N倍奖励的玩法</t>
  </si>
  <si>
    <t>基础值</t>
  </si>
  <si>
    <t>gold</t>
  </si>
  <si>
    <t>pro</t>
  </si>
  <si>
    <t>期望值</t>
  </si>
  <si>
    <t>档位</t>
  </si>
  <si>
    <t>捕获获得金币</t>
  </si>
  <si>
    <t>该档位对应的概率</t>
  </si>
  <si>
    <t>倍率</t>
  </si>
  <si>
    <t>权重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</si>
  <si>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</si>
  <si>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</si>
  <si>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</si>
  <si>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</si>
  <si>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</si>
  <si>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</si>
  <si>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</si>
  <si>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</si>
  <si>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oneTimeReward</t>
  </si>
  <si>
    <t>goldFreeGift</t>
  </si>
  <si>
    <t>diamondFreeGift</t>
  </si>
  <si>
    <t>goldAddedTo</t>
  </si>
  <si>
    <t>compenGoldTimes</t>
  </si>
  <si>
    <t>compenGoldNum</t>
  </si>
  <si>
    <t>buyRage</t>
  </si>
  <si>
    <t>unlockRageLv</t>
  </si>
  <si>
    <t>extraGoldRecharge</t>
  </si>
  <si>
    <t>mailAdd</t>
  </si>
  <si>
    <t>itemLimit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</si>
  <si>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</si>
  <si>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</si>
  <si>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</si>
  <si>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</si>
  <si>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</si>
  <si>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</si>
  <si>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</si>
  <si>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</si>
  <si>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</si>
  <si>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</si>
  <si>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</si>
  <si>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</si>
  <si>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</si>
  <si>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</si>
  <si>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</si>
  <si>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</si>
  <si>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</si>
  <si>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t>商城免费领取金币</t>
  </si>
  <si>
    <t>商城免费领取钻石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</si>
  <si>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</si>
  <si>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</si>
  <si>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</si>
  <si>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</si>
  <si>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</si>
  <si>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</si>
  <si>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</si>
  <si>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升级到某档VIP，可领取的一次性奖励（格式：x|y|z，x为类型，y为道具编号，z为数量）</t>
  </si>
  <si>
    <t>商城金币页签免费礼包奖励内容
从范围内随机，包含填写的最小和最大值</t>
  </si>
  <si>
    <t>商城钻石页签免费礼包奖励内容</t>
  </si>
  <si>
    <t>每日首次登陆将金币补足至300万</t>
  </si>
  <si>
    <t>每日领取N次发财金</t>
  </si>
  <si>
    <t>每次领取发财金+xxx金币</t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</si>
  <si>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</si>
  <si>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</si>
  <si>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</si>
  <si>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</si>
  <si>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</si>
  <si>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竞技场积分加成%</t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</si>
  <si>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</si>
  <si>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</si>
  <si>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</si>
  <si>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</si>
  <si>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</si>
  <si>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</si>
  <si>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</si>
  <si>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</si>
  <si>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</si>
  <si>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</si>
  <si>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</si>
  <si>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</si>
  <si>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charset val="134"/>
      </rPr>
      <t xml:space="preserve">临界时E
</t>
    </r>
    <r>
      <rPr>
        <b/>
        <sz val="11"/>
        <color rgb="FF00B0F0"/>
        <rFont val="微软雅黑"/>
        <charset val="134"/>
      </rPr>
      <t>仅</t>
    </r>
    <r>
      <rPr>
        <b/>
        <sz val="10"/>
        <color rgb="FF00B0F0"/>
        <rFont val="微软雅黑"/>
        <charset val="134"/>
      </rPr>
      <t>渔场用</t>
    </r>
  </si>
  <si>
    <r>
      <rPr>
        <b/>
        <sz val="11"/>
        <color rgb="FFFF0000"/>
        <rFont val="微软雅黑"/>
        <charset val="134"/>
      </rPr>
      <t>E</t>
    </r>
    <r>
      <rPr>
        <sz val="11"/>
        <color theme="1"/>
        <rFont val="宋体"/>
        <charset val="134"/>
        <scheme val="minor"/>
      </rPr>
      <t xml:space="preserve">默认
</t>
    </r>
    <r>
      <rPr>
        <b/>
        <sz val="10"/>
        <color rgb="FF00B0F0"/>
        <rFont val="宋体"/>
        <charset val="134"/>
        <scheme val="minor"/>
      </rPr>
      <t>渔场通用</t>
    </r>
  </si>
  <si>
    <t>玩家金币&gt;N时某些鱼捕获概率降低</t>
  </si>
  <si>
    <r>
      <rPr>
        <b/>
        <sz val="10"/>
        <color rgb="FFFF0000"/>
        <rFont val="微软雅黑"/>
        <charset val="134"/>
      </rPr>
      <t xml:space="preserve">鱼类型和对应的能量%
</t>
    </r>
    <r>
      <rPr>
        <b/>
        <sz val="10"/>
        <color rgb="FF00B0F0"/>
        <rFont val="微软雅黑"/>
        <charset val="134"/>
      </rPr>
      <t>仅渔场用</t>
    </r>
  </si>
  <si>
    <t>最小</t>
  </si>
  <si>
    <t>最大</t>
  </si>
  <si>
    <t>倒计时/小时</t>
  </si>
  <si>
    <t>每天领取</t>
  </si>
  <si>
    <t>2|1001|1,2|1002|1,2|1004|1,2|1601|5</t>
  </si>
  <si>
    <t>[[4,0.95],[5,0.95],[6,0.85]]</t>
  </si>
  <si>
    <t>基础炮</t>
  </si>
  <si>
    <t>0,3,8</t>
  </si>
  <si>
    <t>0,3</t>
  </si>
  <si>
    <t>1|2|100000,1|1|5,2|1001|2</t>
  </si>
  <si>
    <t>金刚王座</t>
  </si>
  <si>
    <t>99,0,4,5,12</t>
  </si>
  <si>
    <t>0,4,8</t>
  </si>
  <si>
    <t>1|2|200000,1|1|10,2|1001|3</t>
  </si>
  <si>
    <t>2|1001|1,2|1002|1,2|1004|1,2|1601|6</t>
  </si>
  <si>
    <t>急速旋涡</t>
  </si>
  <si>
    <t>99,0,4,8</t>
  </si>
  <si>
    <t>0,4,5</t>
  </si>
  <si>
    <t>1|2|500000,1|1|20,2|1001|5</t>
  </si>
  <si>
    <t>1|2|500000</t>
  </si>
  <si>
    <t>4,5</t>
  </si>
  <si>
    <t>1|2|300000</t>
  </si>
  <si>
    <t>未来科技</t>
  </si>
  <si>
    <t>99,0,4</t>
  </si>
  <si>
    <t>1|2|1000000,1|1|30,2|1001|10</t>
  </si>
  <si>
    <t>2|1001|2,2|1002|2,2|1004|2,2|1601|8</t>
  </si>
  <si>
    <t>1|2|7500000</t>
  </si>
  <si>
    <t>热能熔炉</t>
  </si>
  <si>
    <t>99,0,4,5,8,12</t>
  </si>
  <si>
    <t>1|2|2000000,1|1|50,2|1003|15</t>
  </si>
  <si>
    <t>1|2|1500000</t>
  </si>
  <si>
    <t>生命守护</t>
  </si>
  <si>
    <r>
      <rPr>
        <sz val="11"/>
        <color theme="1"/>
        <rFont val="微软雅黑"/>
        <charset val="134"/>
      </rPr>
      <t>99,0,4,9</t>
    </r>
    <r>
      <rPr>
        <sz val="11"/>
        <color rgb="FFFF0000"/>
        <rFont val="微软雅黑"/>
        <charset val="134"/>
      </rPr>
      <t>,8</t>
    </r>
  </si>
  <si>
    <t>0,4,9,8</t>
  </si>
  <si>
    <t>1|2|5000000,1|1|100,2|1003|20</t>
  </si>
  <si>
    <t>2|1001|2,2|1002|2,2|1004|2,2|1601|10</t>
  </si>
  <si>
    <t>1|2|3000000</t>
  </si>
  <si>
    <t>磁悬风暴</t>
  </si>
  <si>
    <t>99,0,2,4,5,9,7,12</t>
  </si>
  <si>
    <t>0,4,5,9,7</t>
  </si>
  <si>
    <t>1|2|10000000,1|1|150,2|1003|30</t>
  </si>
  <si>
    <t>2|1001|3,2|1002|3,2|1004|3,2|1601|10</t>
  </si>
  <si>
    <t>2,5</t>
  </si>
  <si>
    <t>6,10</t>
  </si>
  <si>
    <t>恶魔城堡</t>
  </si>
  <si>
    <t>99,0,2,9,7,8</t>
  </si>
  <si>
    <t>0,9,8,7</t>
  </si>
  <si>
    <t>1|2|20000000,1|1|200,2|1003|50</t>
  </si>
  <si>
    <t>2|1001|3,2|1002|3,2|1004|3,2|1601|12</t>
  </si>
  <si>
    <t>11,15</t>
  </si>
  <si>
    <t>赤色火焰</t>
  </si>
  <si>
    <t>99,0,2,4,9,7,8</t>
  </si>
  <si>
    <t>0,4,9,8,7</t>
  </si>
  <si>
    <t>1|2|50000000,1|1|300,2|1003|70</t>
  </si>
  <si>
    <t>2|1001|3,2|1002|3,2|1004|3,2|1601|15</t>
  </si>
  <si>
    <t>1|2|15000000</t>
  </si>
  <si>
    <t>16,20</t>
  </si>
  <si>
    <t>末日裁决</t>
  </si>
  <si>
    <t>99,0,4,9,7,8,12</t>
  </si>
  <si>
    <t>1|2|100000000,1|1|500,2|1003|100</t>
  </si>
  <si>
    <t>2|1001|3,2|1002|3,2|1004|3,2|1601|20</t>
  </si>
  <si>
    <t>rechargeType</t>
  </si>
  <si>
    <t>activeType</t>
  </si>
  <si>
    <t>saveZuan</t>
  </si>
  <si>
    <t>money</t>
  </si>
  <si>
    <t>Reward</t>
  </si>
  <si>
    <t>special</t>
  </si>
  <si>
    <t>automaticPao</t>
  </si>
  <si>
    <t>keepTime</t>
  </si>
  <si>
    <t>showpay</t>
  </si>
  <si>
    <t>showIndex</t>
  </si>
  <si>
    <t>specialitem</t>
  </si>
  <si>
    <t>奖励内容</t>
  </si>
  <si>
    <t>充值类型
3xx,首充,
4xx,卡牌大放送
5xx,喜从天降
6xx,直升N炮
7xx,每日超值礼包
8xx超值道具
9xx不破产礼包
10xx成长基金</t>
  </si>
  <si>
    <t>商品类型
1.首充A，5.首充B
2.卡牌大放送
3.喜从天降
4.直升n炮
6.超值道具
7.不破产礼包
8.成长基金</t>
  </si>
  <si>
    <t>攻击力（能量）增加提示图片</t>
  </si>
  <si>
    <t>6xx表示节省钻石(直升炮比平时节省)
8xx表示返利百分比</t>
  </si>
  <si>
    <r>
      <rPr>
        <sz val="8"/>
        <color theme="1"/>
        <rFont val="微软雅黑"/>
        <charset val="134"/>
      </rPr>
      <t xml:space="preserve">充值需要的金钱（元）
</t>
    </r>
    <r>
      <rPr>
        <sz val="8"/>
        <color rgb="FFFF0000"/>
        <rFont val="微软雅黑"/>
        <charset val="134"/>
      </rPr>
      <t>微信小游戏的充值档位</t>
    </r>
  </si>
  <si>
    <t>一次性奖励类型|物品id|数量
格式：x1|y1|z1,x2|y2|z2|
x：奖励类型；：1货币，2道具
y：物品id，1钻石，2金币 ，其他的物品还没定义
z：具体数量
不填代表没有奖励</t>
  </si>
  <si>
    <t>特殊商品
302为被替换后的商品（商品替换后）
303为随机抽取数量范围，前后均包含（x，n）</t>
  </si>
  <si>
    <t>表示直升的炮倍率
-1表示没有</t>
  </si>
  <si>
    <t>触发的房间id(没限制则不填写)
1新手,2初级
3中级,4高级
5竞技场6核弹专场</t>
  </si>
  <si>
    <t>持续时间
-1表示无持续时间/s</t>
  </si>
  <si>
    <t>商品显示原价
（如不需要显示原价则不填）</t>
  </si>
  <si>
    <t>同类型商品衔接显示顺序</t>
  </si>
  <si>
    <t>客户端特殊显示道具
（随机数量的物品占位）</t>
  </si>
  <si>
    <r>
      <rPr>
        <sz val="11"/>
        <color theme="1"/>
        <rFont val="微软雅黑"/>
        <charset val="134"/>
      </rPr>
      <t xml:space="preserve">奖励物品
</t>
    </r>
    <r>
      <rPr>
        <sz val="20"/>
        <color theme="1"/>
        <rFont val="微软雅黑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</si>
  <si>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</si>
  <si>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</si>
  <si>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</si>
  <si>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2</t>
    </r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</si>
  <si>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3</t>
    </r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</si>
  <si>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4</t>
    </r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</si>
  <si>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5</t>
    </r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</si>
  <si>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6</t>
    </r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</si>
  <si>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7</t>
    </r>
  </si>
  <si>
    <t>人民币
价值2</t>
  </si>
  <si>
    <t>N倍</t>
  </si>
  <si>
    <t>含特殊奖品，改动内容需与前后端沟通</t>
  </si>
  <si>
    <t>超级武器1</t>
  </si>
  <si>
    <t>2,3</t>
  </si>
  <si>
    <t>4,5,6</t>
  </si>
  <si>
    <t>未考虑人民币额度</t>
  </si>
  <si>
    <t>比商城省钻石</t>
  </si>
  <si>
    <t>直升N炮</t>
  </si>
  <si>
    <t>节省钻石Max</t>
  </si>
  <si>
    <t>节省钻石Min</t>
  </si>
  <si>
    <t>rmb</t>
  </si>
  <si>
    <t>钻石:rmb</t>
  </si>
  <si>
    <t>商城双倍钻石</t>
  </si>
  <si>
    <t>实际</t>
  </si>
  <si>
    <t>显示</t>
  </si>
  <si>
    <t>确保节省钻石Min(最不划算)时,直升炮也要比商城双倍划算</t>
  </si>
  <si>
    <t>rewardFirst</t>
  </si>
  <si>
    <t>rewardSecond1</t>
  </si>
  <si>
    <t>rewardSecond2</t>
  </si>
  <si>
    <t>cdPerSecond</t>
  </si>
  <si>
    <t>rewardThird1</t>
  </si>
  <si>
    <t>rewardThird2</t>
  </si>
  <si>
    <t>cdPerThird</t>
  </si>
  <si>
    <t>rewardExtra</t>
  </si>
  <si>
    <r>
      <rPr>
        <sz val="8"/>
        <color theme="1"/>
        <rFont val="微软雅黑"/>
        <charset val="134"/>
      </rPr>
      <t>充值类型
3xx,首充,</t>
    </r>
    <r>
      <rPr>
        <b/>
        <sz val="8"/>
        <color rgb="FFFF0000"/>
        <rFont val="微软雅黑"/>
        <charset val="134"/>
      </rPr>
      <t>301暂时废弃</t>
    </r>
    <r>
      <rPr>
        <sz val="8"/>
        <color theme="1"/>
        <rFont val="微软雅黑"/>
        <charset val="134"/>
      </rPr>
      <t xml:space="preserve">
4xx,卡牌大放送
5xx,喜从天降
6xx,直升N炮
7xx每日超值礼包</t>
    </r>
  </si>
  <si>
    <t>商品类型
1.首充A，5.首充B
2.卡牌大放送
3.喜从天降
4.直升n炮
6每日超值礼包</t>
  </si>
  <si>
    <t>奖励物品1类型|物品id1|数量（第1次）
格式：x1|y1|z1,x2|y2|z2|
x：消耗类型；：1货币，2道具
y：物品id，1钻石，2金币 ，其他的物品还没定义
z：具体数量
不填代表没有奖励</t>
  </si>
  <si>
    <t>第2次购买
倒计时内</t>
  </si>
  <si>
    <t>第2次购买
倒计时结束后</t>
  </si>
  <si>
    <t>倒计时秒,倒计时前a%显示，倒计时后b%显示</t>
  </si>
  <si>
    <t>第3次购买
倒计时内</t>
  </si>
  <si>
    <t>第3次购买
倒计时结束后</t>
  </si>
  <si>
    <t>额外奖励</t>
  </si>
  <si>
    <t>奖励
物品
1</t>
  </si>
  <si>
    <t>物品
数量</t>
  </si>
  <si>
    <t>奖励
物品
2</t>
  </si>
  <si>
    <t>奖励
物品
3</t>
  </si>
  <si>
    <t>奖励
物品
4</t>
  </si>
  <si>
    <t>奖励
物品
5</t>
  </si>
  <si>
    <t>商城购买
金币</t>
  </si>
  <si>
    <t>900,10,5</t>
  </si>
  <si>
    <t>600,20,10</t>
  </si>
  <si>
    <t>第1次</t>
  </si>
  <si>
    <t>第2次10%</t>
  </si>
  <si>
    <t>第2次5%</t>
  </si>
  <si>
    <t>第3次20%</t>
  </si>
  <si>
    <t>第3次10%</t>
  </si>
  <si>
    <t>再得一份</t>
  </si>
  <si>
    <t>超级武器4</t>
  </si>
  <si>
    <t>超级武器2</t>
  </si>
  <si>
    <t>level</t>
  </si>
  <si>
    <t>exp</t>
  </si>
  <si>
    <t>reward1</t>
  </si>
  <si>
    <t>reward2</t>
  </si>
  <si>
    <t>reward3</t>
  </si>
  <si>
    <t>growUp</t>
  </si>
  <si>
    <t>buyGrowup</t>
  </si>
  <si>
    <t>开炮次数/s</t>
  </si>
  <si>
    <t>超级武器3</t>
  </si>
  <si>
    <t>系统馈赠的福卡金币价值按照500金币=1福卡</t>
  </si>
  <si>
    <t>用户等级</t>
  </si>
  <si>
    <r>
      <rPr>
        <sz val="8"/>
        <color theme="1"/>
        <rFont val="微软雅黑"/>
        <charset val="134"/>
      </rPr>
      <t xml:space="preserve">当前级升级到下一等级所需经验值
</t>
    </r>
    <r>
      <rPr>
        <b/>
        <sz val="8"/>
        <color rgb="FF7030A0"/>
        <rFont val="微软雅黑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</si>
  <si>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</si>
  <si>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升级奖励</t>
  </si>
  <si>
    <t>福利
成长奖励</t>
  </si>
  <si>
    <t>福利
基金奖励</t>
  </si>
  <si>
    <t>当前等级规划的
停留时间/分钟</t>
  </si>
  <si>
    <t>游戏总时长/分钟
未考虑演出阶段</t>
  </si>
  <si>
    <t>能量E</t>
  </si>
  <si>
    <t>获得经验
/分钟</t>
  </si>
  <si>
    <t>当前等级
经验</t>
  </si>
  <si>
    <t>物品名称</t>
  </si>
  <si>
    <t>物品类型</t>
  </si>
  <si>
    <t>数量</t>
  </si>
  <si>
    <r>
      <rPr>
        <b/>
        <sz val="11"/>
        <color theme="1"/>
        <rFont val="微软雅黑"/>
        <charset val="134"/>
      </rPr>
      <t>成长基金
成长奖励</t>
    </r>
    <r>
      <rPr>
        <sz val="11"/>
        <color theme="1"/>
        <rFont val="微软雅黑"/>
        <charset val="134"/>
      </rPr>
      <t xml:space="preserve">
物品名称</t>
    </r>
  </si>
  <si>
    <t>成长基金
基金奖励
物品名称</t>
  </si>
  <si>
    <t>8.21等级停留时间重新验算</t>
  </si>
  <si>
    <t/>
  </si>
  <si>
    <t>按照演出金币计算玩家节奏</t>
  </si>
  <si>
    <t>1话费对应的金币价值鱼玩家持有话费券关系</t>
  </si>
  <si>
    <t>billRange</t>
  </si>
  <si>
    <r>
      <rPr>
        <sz val="8"/>
        <color theme="1"/>
        <rFont val="微软雅黑"/>
        <charset val="134"/>
      </rPr>
      <t>玩家持有话费券数量</t>
    </r>
    <r>
      <rPr>
        <sz val="8"/>
        <color rgb="FFFF0000"/>
        <rFont val="微软雅黑"/>
        <charset val="134"/>
      </rPr>
      <t>(兑换商城显示数量)</t>
    </r>
    <r>
      <rPr>
        <sz val="8"/>
        <color theme="1"/>
        <rFont val="微软雅黑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</si>
  <si>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</si>
  <si>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</si>
  <si>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</si>
  <si>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</si>
  <si>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</si>
  <si>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</si>
  <si>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id</t>
  </si>
  <si>
    <t>rangeMin</t>
  </si>
  <si>
    <t>弹头id</t>
  </si>
  <si>
    <t>弹头金币价值</t>
  </si>
  <si>
    <t>掉落弹头的范围最小值前闭后开
最大值为下一档的最小值
最高档的最大值为无穷大</t>
  </si>
  <si>
    <t>7.14奖品区间也需要重新调整</t>
  </si>
  <si>
    <t>最新备注</t>
  </si>
  <si>
    <t>暂时没做验算，初级赐福物品搭配一些没有实际金币价值的物品</t>
  </si>
  <si>
    <t>抽奖等获得的福卡按照500金币=1福卡</t>
  </si>
  <si>
    <t>fileLocation</t>
  </si>
  <si>
    <t>roomjump</t>
  </si>
  <si>
    <t>downLimit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</si>
  <si>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</si>
  <si>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</si>
  <si>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</si>
  <si>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</si>
  <si>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</si>
  <si>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</si>
  <si>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</si>
  <si>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</si>
  <si>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</si>
  <si>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</si>
  <si>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</si>
  <si>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</si>
  <si>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</si>
  <si>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</si>
  <si>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</si>
  <si>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</si>
  <si>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</si>
  <si>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</si>
  <si>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</si>
  <si>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</si>
  <si>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</si>
  <si>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</si>
  <si>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</si>
  <si>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</si>
  <si>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</si>
  <si>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</si>
  <si>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</si>
  <si>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</si>
  <si>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</si>
  <si>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</si>
  <si>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</si>
  <si>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</si>
  <si>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</si>
  <si>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</si>
  <si>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</si>
  <si>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</si>
  <si>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</si>
  <si>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</si>
  <si>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</si>
  <si>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</si>
  <si>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</si>
  <si>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</si>
  <si>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</si>
  <si>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</si>
  <si>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</si>
  <si>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</si>
  <si>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</si>
  <si>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</si>
  <si>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</si>
  <si>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</si>
  <si>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</si>
  <si>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</si>
  <si>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</si>
  <si>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</si>
  <si>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</si>
  <si>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</si>
  <si>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</si>
  <si>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</si>
  <si>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</si>
  <si>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</si>
  <si>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</si>
  <si>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</si>
  <si>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</si>
  <si>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</si>
  <si>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</si>
  <si>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</si>
  <si>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</si>
  <si>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</si>
  <si>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</si>
  <si>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</si>
  <si>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</si>
  <si>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</si>
  <si>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</si>
  <si>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</si>
  <si>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</si>
  <si>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</si>
  <si>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</si>
  <si>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</si>
  <si>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</si>
  <si>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</si>
  <si>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</si>
  <si>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</si>
  <si>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</si>
  <si>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</si>
  <si>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</si>
  <si>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</si>
  <si>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</si>
  <si>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</si>
  <si>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</si>
  <si>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</si>
  <si>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</si>
  <si>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</si>
  <si>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档位
1,普通抽奖；2白银抽奖；
3黄金抽奖；4铂金抽奖；
5钻石抽奖；6水晶抽奖；
7.玉石抽奖；8.至尊抽奖;</t>
  </si>
  <si>
    <t>解锁档位需要进入的房间，及跳转
1新手,2初级
3中级,4高级
5竞技场,6弹头场
（空为都有，不需要跳转房间）（多个房间时，优先跳低倍房间）（客户端和服务端相反描述，客户端在前，服务端在后，两个数组）</t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</si>
  <si>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</si>
  <si>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</si>
  <si>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</si>
  <si>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</si>
  <si>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</si>
  <si>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</si>
  <si>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</si>
  <si>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</si>
  <si>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</si>
  <si>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</si>
  <si>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</si>
  <si>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</si>
  <si>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</t>
  </si>
  <si>
    <t>2
看广告能额外奖励
对应的金币价值</t>
  </si>
  <si>
    <t xml:space="preserve">2物品触发看广告的概率
</t>
  </si>
  <si>
    <t>否进入led播放：
0不进入
1进入B类led
2进入B+类led
3进入内置led播放；
注意，格式为x，y
x为外置led，y为内置led</t>
  </si>
  <si>
    <t>3
看广告能额外奖励
对应的金币价值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</si>
  <si>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</si>
  <si>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</si>
  <si>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</si>
  <si>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</si>
  <si>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</si>
  <si>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</si>
  <si>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</si>
  <si>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</si>
  <si>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</si>
  <si>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</si>
  <si>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</si>
  <si>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</si>
  <si>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</si>
  <si>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</si>
  <si>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</si>
  <si>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</si>
  <si>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</si>
  <si>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</si>
  <si>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</si>
  <si>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</si>
  <si>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charset val="134"/>
      </rPr>
      <t>本次看广告
能额外奖励时</t>
    </r>
    <r>
      <rPr>
        <sz val="10"/>
        <color theme="1"/>
        <rFont val="微软雅黑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</si>
  <si>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</si>
  <si>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charset val="134"/>
      </rPr>
      <t>标准金币价值</t>
    </r>
    <r>
      <rPr>
        <sz val="8"/>
        <color theme="1"/>
        <rFont val="微软雅黑"/>
        <charset val="134"/>
      </rPr>
      <t xml:space="preserve">
（本次看广告
不能额外奖励时
金币价值）</t>
    </r>
  </si>
  <si>
    <r>
      <rPr>
        <sz val="10"/>
        <color theme="1"/>
        <rFont val="微软雅黑"/>
        <charset val="134"/>
      </rPr>
      <t xml:space="preserve">是否重要
</t>
    </r>
    <r>
      <rPr>
        <sz val="10"/>
        <color rgb="FFFF0000"/>
        <rFont val="微软雅黑"/>
        <charset val="134"/>
      </rPr>
      <t>0不重要
1重要</t>
    </r>
  </si>
  <si>
    <t>获得额外
奖励的概率</t>
  </si>
  <si>
    <t>人民币价值</t>
  </si>
  <si>
    <t>价值
钻石价值</t>
  </si>
  <si>
    <t>价值加成</t>
  </si>
  <si>
    <t>[[],[2,3,4,6]]</t>
  </si>
  <si>
    <t>choujiang_lv1</t>
  </si>
  <si>
    <t>0,0</t>
  </si>
  <si>
    <t>人民币</t>
  </si>
  <si>
    <t>choujiang_lv2</t>
  </si>
  <si>
    <t>choujiang_lv3</t>
  </si>
  <si>
    <t>choujiang_lv4</t>
  </si>
  <si>
    <t>choujiang_lv5</t>
  </si>
  <si>
    <t>choujiang_lv6</t>
  </si>
  <si>
    <t>[[4,6],[4,6]]</t>
  </si>
  <si>
    <t>choujiang_lv7</t>
  </si>
  <si>
    <t>[[6],[6]]</t>
  </si>
  <si>
    <t>choujiang_lv8</t>
  </si>
  <si>
    <t>5元话费卡</t>
  </si>
  <si>
    <t>2元话费卡</t>
  </si>
  <si>
    <t>高压锅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</si>
  <si>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</si>
  <si>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</si>
  <si>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</si>
  <si>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</si>
  <si>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</si>
  <si>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</si>
  <si>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</si>
  <si>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</si>
  <si>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</si>
  <si>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</si>
  <si>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</si>
  <si>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</si>
  <si>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</si>
  <si>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</si>
  <si>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</si>
  <si>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</si>
  <si>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</si>
  <si>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</si>
  <si>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</si>
  <si>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</si>
  <si>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</si>
  <si>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</si>
  <si>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</si>
  <si>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</si>
  <si>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</si>
  <si>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</si>
  <si>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</si>
  <si>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</si>
  <si>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</si>
  <si>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charset val="134"/>
      </rPr>
      <t>掉落权重/概率
如果dropType是1类型是</t>
    </r>
    <r>
      <rPr>
        <sz val="8"/>
        <color rgb="FFFF0000"/>
        <rFont val="微软雅黑"/>
        <charset val="134"/>
      </rPr>
      <t>概率，划分每个物品的区间</t>
    </r>
    <r>
      <rPr>
        <sz val="8"/>
        <color theme="1"/>
        <rFont val="微软雅黑"/>
        <charset val="134"/>
      </rPr>
      <t xml:space="preserve">
如果dropType是2类型则对应真实的概率</t>
    </r>
  </si>
  <si>
    <r>
      <rPr>
        <sz val="11"/>
        <color theme="1"/>
        <rFont val="微软雅黑"/>
        <charset val="134"/>
      </rPr>
      <t xml:space="preserve">互斥概率验算
</t>
    </r>
    <r>
      <rPr>
        <sz val="9"/>
        <color theme="1"/>
        <rFont val="微软雅黑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</si>
  <si>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</si>
  <si>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</si>
  <si>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</si>
  <si>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</si>
  <si>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</si>
  <si>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</si>
  <si>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</si>
  <si>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</si>
  <si>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</si>
  <si>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</si>
  <si>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</si>
  <si>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</si>
  <si>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</si>
  <si>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</si>
  <si>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</si>
  <si>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</si>
  <si>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</si>
  <si>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</si>
  <si>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</si>
  <si>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</si>
  <si>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</si>
  <si>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</si>
  <si>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</si>
  <si>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</si>
  <si>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</si>
  <si>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</si>
  <si>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</si>
  <si>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</si>
  <si>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2|1204|30000</t>
  </si>
  <si>
    <t>活跃度抽奖宝箱</t>
  </si>
  <si>
    <t>1|2|288888</t>
  </si>
  <si>
    <t>1|1|28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</si>
  <si>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</si>
  <si>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</si>
  <si>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</si>
  <si>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</si>
  <si>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</si>
  <si>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</si>
  <si>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</si>
  <si>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</si>
  <si>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</si>
  <si>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</si>
  <si>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</si>
  <si>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</si>
  <si>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</si>
  <si>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</si>
  <si>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</si>
  <si>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</si>
  <si>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</si>
  <si>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</si>
  <si>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</si>
  <si>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</si>
  <si>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</si>
  <si>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</si>
  <si>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</si>
  <si>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</si>
  <si>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</si>
  <si>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</si>
  <si>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</si>
  <si>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</si>
  <si>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</si>
  <si>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</si>
  <si>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</si>
  <si>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</si>
  <si>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</si>
  <si>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</si>
  <si>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</si>
  <si>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</si>
  <si>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</si>
  <si>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2|1001|3</t>
  </si>
  <si>
    <t>2|1004|3</t>
  </si>
  <si>
    <t>2|1001|5</t>
  </si>
  <si>
    <t>2|1002|4</t>
  </si>
  <si>
    <t>2|1204|20</t>
  </si>
  <si>
    <t>2|1204|10</t>
  </si>
  <si>
    <t>存钱罐抽取掉落</t>
  </si>
  <si>
    <t>兑出按照1000福卡=15万金币，狂暴等道具按照金币价值来</t>
  </si>
  <si>
    <t>1000福卡=1元</t>
  </si>
  <si>
    <t>exchangeType</t>
  </si>
  <si>
    <t>qudaoID</t>
  </si>
  <si>
    <t>item</t>
  </si>
  <si>
    <t>shopType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</si>
  <si>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</si>
  <si>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</si>
  <si>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</si>
  <si>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</si>
  <si>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</si>
  <si>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</si>
  <si>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</si>
  <si>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</si>
  <si>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 xml:space="preserve">渠道编号
头条编号：toutiao
默认奖励：default 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</si>
  <si>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</si>
  <si>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</si>
  <si>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</si>
  <si>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</si>
  <si>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</si>
  <si>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</si>
  <si>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</si>
  <si>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</si>
  <si>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</si>
  <si>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</si>
  <si>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toutiao</t>
  </si>
  <si>
    <t>default</t>
  </si>
  <si>
    <t>cardType</t>
  </si>
  <si>
    <t>length</t>
  </si>
  <si>
    <t>chargeReward</t>
  </si>
  <si>
    <t>everydayReward</t>
  </si>
  <si>
    <t>automaticUse</t>
  </si>
  <si>
    <t>每次充值一次性给予</t>
  </si>
  <si>
    <t>贵族卡每日奖励内容</t>
  </si>
  <si>
    <t>贵宾卡种类
1：周卡
2：月卡
3：三年卡</t>
  </si>
  <si>
    <t xml:space="preserve">贵族卡对应的道具id
</t>
  </si>
  <si>
    <t>持续时间（天）</t>
  </si>
  <si>
    <t>充值一次性给予的奖励格式：x1|y1|z1,x2|y2|z2|
x：消耗类型；：1货币，2道具
y：物品id，1钻石，2金币 ，其他的物品还没定义
z：具体数量
不填代表没有奖励</t>
  </si>
  <si>
    <t>每天奖励类型|物品id|数量
格式：x1|y1|z1,x2|y2|z2|
x：奖励类型；：1货币，2道具
y：物品id，1钻石，2金币 ，其他的物品还没定义
z：具体数量
不填代表没有奖励</t>
  </si>
  <si>
    <t>是否自动使用
0不自动使用
1自动使用</t>
  </si>
  <si>
    <t>奖励物品</t>
  </si>
  <si>
    <t>人民币
价值1</t>
  </si>
  <si>
    <r>
      <rPr>
        <sz val="11"/>
        <color theme="1"/>
        <rFont val="微软雅黑"/>
        <charset val="134"/>
      </rPr>
      <t xml:space="preserve">奖励物品
</t>
    </r>
    <r>
      <rPr>
        <sz val="22"/>
        <color theme="1"/>
        <rFont val="微软雅黑"/>
        <charset val="134"/>
      </rPr>
      <t>1</t>
    </r>
  </si>
  <si>
    <t>区分第一个30天和第二个30天</t>
  </si>
  <si>
    <t>times</t>
  </si>
  <si>
    <t>type</t>
  </si>
  <si>
    <t>novice</t>
  </si>
  <si>
    <t>vip</t>
  </si>
  <si>
    <t>第n次</t>
  </si>
  <si>
    <t>所属周期
1表示第1个周期
2表示第2个周期
最后一个周期做循环</t>
  </si>
  <si>
    <r>
      <rPr>
        <sz val="8"/>
        <color theme="1"/>
        <rFont val="微软雅黑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charset val="134"/>
      </rPr>
      <t>1~9</t>
    </r>
  </si>
  <si>
    <t xml:space="preserve">不同VIP等级在每天翻的倍数
数组格式：[x,y]中，x表示VIP等级，y表示翻的倍数
</t>
  </si>
  <si>
    <t>贵重物品标识
旧版</t>
  </si>
  <si>
    <t>翻倍平均值</t>
  </si>
  <si>
    <t>新手翻倍
期望值</t>
  </si>
  <si>
    <t>[[2,2],[5,3],[7,4],[10,5]]</t>
  </si>
  <si>
    <t>金币总量</t>
  </si>
  <si>
    <t>4,8</t>
  </si>
  <si>
    <t>钻石总量</t>
  </si>
  <si>
    <t>锁定总量</t>
  </si>
  <si>
    <t>3,6</t>
  </si>
  <si>
    <t>狂暴总量</t>
  </si>
  <si>
    <t>2,6</t>
  </si>
  <si>
    <r>
      <rPr>
        <sz val="8"/>
        <color theme="1"/>
        <rFont val="微软雅黑"/>
        <charset val="134"/>
      </rPr>
      <t xml:space="preserve">道具图片
资源名称
</t>
    </r>
    <r>
      <rPr>
        <sz val="11"/>
        <color rgb="FFFF0000"/>
        <rFont val="微软雅黑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</si>
  <si>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</si>
  <si>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</si>
  <si>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</si>
  <si>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</si>
  <si>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</si>
  <si>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</si>
  <si>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</si>
  <si>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</si>
  <si>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</si>
  <si>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</si>
  <si>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</si>
  <si>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</si>
  <si>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charset val="134"/>
      </rPr>
      <t xml:space="preserve">房间最大排名
</t>
    </r>
    <r>
      <rPr>
        <sz val="9"/>
        <color rgb="FFFF0000"/>
        <rFont val="微软雅黑"/>
        <charset val="134"/>
      </rPr>
      <t>-1表示额外奖励</t>
    </r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</si>
  <si>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</si>
  <si>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</si>
  <si>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</si>
  <si>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</si>
  <si>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</si>
  <si>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</si>
  <si>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2|1204|2000</t>
  </si>
  <si>
    <t>Billfangshi30</t>
  </si>
  <si>
    <t>填写在第1档奖励对应的行</t>
  </si>
  <si>
    <t>1|2|200000</t>
  </si>
  <si>
    <t>1|2|50000</t>
  </si>
  <si>
    <t>1|2|20000</t>
  </si>
  <si>
    <t>2|1007|1</t>
  </si>
  <si>
    <t>2|1204|5000</t>
  </si>
  <si>
    <t>Billfangshi300</t>
  </si>
  <si>
    <t>1|2|40000</t>
  </si>
  <si>
    <t>4,6</t>
  </si>
  <si>
    <t>2|1008|1</t>
  </si>
  <si>
    <t>2|1204|10000</t>
  </si>
  <si>
    <t>1|2|700000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</si>
  <si>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</si>
  <si>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</si>
  <si>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</si>
  <si>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</si>
  <si>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</si>
  <si>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</si>
  <si>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</si>
  <si>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</si>
  <si>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</si>
  <si>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</si>
  <si>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</si>
  <si>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</si>
  <si>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</si>
  <si>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</si>
  <si>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</si>
  <si>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charset val="134"/>
      </rPr>
      <t xml:space="preserve">占领期间奖励频率/毫秒
</t>
    </r>
    <r>
      <rPr>
        <b/>
        <sz val="8"/>
        <color rgb="FFFF0000"/>
        <rFont val="微软雅黑"/>
        <charset val="134"/>
      </rPr>
      <t>废弃</t>
    </r>
  </si>
  <si>
    <t>占领期间单次奖励积分数量
废弃</t>
  </si>
  <si>
    <r>
      <rPr>
        <sz val="8"/>
        <color rgb="FFFF0000"/>
        <rFont val="微软雅黑"/>
        <charset val="134"/>
      </rPr>
      <t xml:space="preserve">护航奖励
话费赛积分
</t>
    </r>
    <r>
      <rPr>
        <b/>
        <sz val="8"/>
        <color rgb="FFFF0000"/>
        <rFont val="微软雅黑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</si>
  <si>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</si>
  <si>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</si>
  <si>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</si>
  <si>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</si>
  <si>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</si>
  <si>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</si>
  <si>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</si>
  <si>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</si>
  <si>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</si>
  <si>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charset val="134"/>
      </rPr>
      <t>人民币价值</t>
    </r>
    <r>
      <rPr>
        <sz val="10"/>
        <color rgb="FFFF0000"/>
        <rFont val="微软雅黑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</si>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</sst>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00"/>
    <numFmt numFmtId="177" formatCode="0.0"/>
    <numFmt numFmtId="178" formatCode="0.00_);[Red]\(0.00\)"/>
    <numFmt numFmtId="179" formatCode="0.000%"/>
    <numFmt numFmtId="180" formatCode="0.0000%"/>
    <numFmt numFmtId="181" formatCode="0.000000000"/>
    <numFmt numFmtId="182" formatCode="0.0000_);[Red]\(0.0000\)"/>
    <numFmt numFmtId="183" formatCode="0.0_);[Red]\(0.0\)"/>
    <numFmt numFmtId="184" formatCode="0.00000%"/>
    <numFmt numFmtId="185" formatCode="0_);[Red]\(0\)"/>
    <numFmt numFmtId="186" formatCode="0.0%"/>
    <numFmt numFmtId="187" formatCode="0.000_);[Red]\(0.000\)"/>
    <numFmt numFmtId="188" formatCode="0.000000000_ "/>
  </numFmts>
  <fonts count="5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sz val="9"/>
      <color theme="1"/>
      <name val="微软雅黑"/>
      <charset val="134"/>
    </font>
    <font>
      <b/>
      <sz val="10"/>
      <color theme="0"/>
      <name val="微软雅黑"/>
      <charset val="134"/>
    </font>
    <font>
      <sz val="11"/>
      <color rgb="FFFF0000"/>
      <name val="微软雅黑"/>
      <charset val="134"/>
    </font>
    <font>
      <sz val="9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0.5"/>
      <color rgb="FF000000"/>
      <name val="微软雅黑"/>
      <charset val="134"/>
    </font>
    <font>
      <b/>
      <sz val="11"/>
      <color rgb="FF7030A0"/>
      <name val="微软雅黑"/>
      <charset val="134"/>
    </font>
    <font>
      <b/>
      <sz val="10"/>
      <color rgb="FF7030A0"/>
      <name val="微软雅黑"/>
      <charset val="134"/>
    </font>
    <font>
      <sz val="10"/>
      <color rgb="FF7030A0"/>
      <name val="微软雅黑"/>
      <charset val="134"/>
    </font>
    <font>
      <u/>
      <sz val="11"/>
      <color theme="1"/>
      <name val="微软雅黑"/>
      <charset val="134"/>
    </font>
    <font>
      <sz val="18"/>
      <color theme="1"/>
      <name val="微软雅黑"/>
      <charset val="134"/>
    </font>
    <font>
      <b/>
      <sz val="9"/>
      <color rgb="FFFF0000"/>
      <name val="微软雅黑"/>
      <charset val="134"/>
    </font>
    <font>
      <sz val="11"/>
      <color rgb="FF7030A0"/>
      <name val="微软雅黑"/>
      <charset val="134"/>
    </font>
    <font>
      <b/>
      <i/>
      <sz val="10.5"/>
      <color rgb="FF000000"/>
      <name val="微软雅黑"/>
      <charset val="134"/>
    </font>
    <font>
      <sz val="10"/>
      <color theme="0"/>
      <name val="微软雅黑"/>
      <charset val="134"/>
    </font>
    <font>
      <b/>
      <sz val="11"/>
      <color rgb="FF00B0F0"/>
      <name val="微软雅黑"/>
      <charset val="134"/>
    </font>
    <font>
      <b/>
      <sz val="9"/>
      <color theme="1"/>
      <name val="微软雅黑"/>
      <charset val="134"/>
    </font>
    <font>
      <b/>
      <sz val="11"/>
      <color theme="0"/>
      <name val="微软雅黑"/>
      <charset val="134"/>
    </font>
    <font>
      <b/>
      <sz val="9"/>
      <color rgb="FF7030A0"/>
      <name val="微软雅黑"/>
      <charset val="134"/>
    </font>
    <font>
      <sz val="11"/>
      <color theme="0"/>
      <name val="微软雅黑"/>
      <charset val="134"/>
    </font>
    <font>
      <b/>
      <sz val="11"/>
      <color rgb="FF7030A0"/>
      <name val="宋体"/>
      <charset val="134"/>
      <scheme val="minor"/>
    </font>
    <font>
      <sz val="8"/>
      <color rgb="FF7030A0"/>
      <name val="微软雅黑"/>
      <charset val="134"/>
    </font>
    <font>
      <sz val="10.5"/>
      <color theme="1"/>
      <name val="Calibri"/>
      <family val="2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sz val="10.5"/>
      <color rgb="FF333333"/>
      <name val="微软雅黑"/>
      <charset val="134"/>
    </font>
    <font>
      <b/>
      <i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color theme="0"/>
      <name val="微软雅黑"/>
      <charset val="134"/>
    </font>
    <font>
      <sz val="22"/>
      <color theme="1"/>
      <name val="微软雅黑"/>
      <charset val="134"/>
    </font>
    <font>
      <b/>
      <sz val="8"/>
      <color rgb="FF7030A0"/>
      <name val="微软雅黑"/>
      <charset val="134"/>
    </font>
    <font>
      <sz val="20"/>
      <color theme="1"/>
      <name val="微软雅黑"/>
      <charset val="134"/>
    </font>
    <font>
      <b/>
      <sz val="10"/>
      <color rgb="FF00B0F0"/>
      <name val="微软雅黑"/>
      <charset val="134"/>
    </font>
    <font>
      <b/>
      <sz val="10"/>
      <color rgb="FF00B0F0"/>
      <name val="宋体"/>
      <charset val="134"/>
      <scheme val="minor"/>
    </font>
    <font>
      <b/>
      <sz val="9"/>
      <color theme="0"/>
      <name val="微软雅黑"/>
      <charset val="134"/>
    </font>
    <font>
      <sz val="8"/>
      <color theme="0"/>
      <name val="微软雅黑"/>
      <charset val="134"/>
    </font>
    <font>
      <sz val="9"/>
      <color theme="0"/>
      <name val="微软雅黑"/>
      <charset val="134"/>
    </font>
    <font>
      <b/>
      <sz val="9"/>
      <color rgb="FFC00000"/>
      <name val="微软雅黑"/>
      <charset val="134"/>
    </font>
    <font>
      <b/>
      <vertAlign val="superscript"/>
      <sz val="11"/>
      <color theme="1"/>
      <name val="微软雅黑"/>
      <charset val="134"/>
    </font>
    <font>
      <b/>
      <sz val="10.5"/>
      <color theme="1"/>
      <name val="Calibri"/>
      <family val="2"/>
    </font>
    <font>
      <sz val="6"/>
      <color theme="1"/>
      <name val="微软雅黑"/>
      <charset val="134"/>
    </font>
    <font>
      <b/>
      <i/>
      <sz val="10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6" tint="0.398419141209143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84191412091433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8907437360759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84191412091433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0" tint="-0.14893032624286631"/>
        <bgColor indexed="64"/>
      </patternFill>
    </fill>
    <fill>
      <patternFill patternType="solid">
        <fgColor theme="9" tint="0.3989989928891872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851069673757133"/>
        <bgColor indexed="64"/>
      </patternFill>
    </fill>
    <fill>
      <patternFill patternType="solid">
        <fgColor theme="9" tint="0.3984191412091433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872432630390331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39869380779442731"/>
        <bgColor indexed="64"/>
      </patternFill>
    </fill>
    <fill>
      <patternFill patternType="solid">
        <fgColor theme="0" tint="-0.14874721518601031"/>
        <bgColor indexed="64"/>
      </patternFill>
    </fill>
    <fill>
      <patternFill patternType="solid">
        <fgColor theme="9" tint="0.39854121524704733"/>
        <bgColor indexed="64"/>
      </patternFill>
    </fill>
    <fill>
      <patternFill patternType="solid">
        <fgColor theme="0" tint="-0.14868617816705831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9" fontId="38" fillId="0" borderId="0" applyFont="0" applyFill="0" applyBorder="0" applyAlignment="0" applyProtection="0">
      <alignment vertical="center"/>
    </xf>
  </cellStyleXfs>
  <cellXfs count="5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6" fillId="9" borderId="14" xfId="0" applyFont="1" applyFill="1" applyBorder="1" applyAlignment="1">
      <alignment horizontal="left" vertical="center" wrapText="1"/>
    </xf>
    <xf numFmtId="0" fontId="9" fillId="0" borderId="0" xfId="0" applyFont="1"/>
    <xf numFmtId="10" fontId="1" fillId="0" borderId="0" xfId="1" applyNumberFormat="1" applyFont="1" applyAlignment="1"/>
    <xf numFmtId="0" fontId="2" fillId="7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4" borderId="0" xfId="0" applyFill="1"/>
    <xf numFmtId="0" fontId="8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16" borderId="0" xfId="0" applyFont="1" applyFill="1" applyAlignment="1">
      <alignment horizontal="left"/>
    </xf>
    <xf numFmtId="0" fontId="17" fillId="16" borderId="0" xfId="0" applyFont="1" applyFill="1" applyAlignment="1">
      <alignment horizontal="left"/>
    </xf>
    <xf numFmtId="0" fontId="1" fillId="17" borderId="17" xfId="0" applyFont="1" applyFill="1" applyBorder="1" applyAlignment="1">
      <alignment horizontal="center" vertical="center" wrapText="1"/>
    </xf>
    <xf numFmtId="0" fontId="1" fillId="17" borderId="18" xfId="0" applyFont="1" applyFill="1" applyBorder="1" applyAlignment="1">
      <alignment horizontal="left" vertical="center" wrapText="1"/>
    </xf>
    <xf numFmtId="0" fontId="1" fillId="17" borderId="18" xfId="0" applyFont="1" applyFill="1" applyBorder="1" applyAlignment="1">
      <alignment horizontal="left" vertical="center"/>
    </xf>
    <xf numFmtId="0" fontId="1" fillId="17" borderId="19" xfId="0" applyFont="1" applyFill="1" applyBorder="1" applyAlignment="1">
      <alignment horizontal="left" vertical="center"/>
    </xf>
    <xf numFmtId="0" fontId="1" fillId="18" borderId="20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left" vertical="center" wrapText="1"/>
    </xf>
    <xf numFmtId="0" fontId="1" fillId="18" borderId="18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186" fontId="6" fillId="0" borderId="0" xfId="1" applyNumberFormat="1" applyFont="1" applyFill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1" fillId="17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17" borderId="23" xfId="0" applyFont="1" applyFill="1" applyBorder="1" applyAlignment="1">
      <alignment horizontal="left" vertical="center"/>
    </xf>
    <xf numFmtId="0" fontId="1" fillId="17" borderId="24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1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top" wrapText="1"/>
    </xf>
    <xf numFmtId="0" fontId="19" fillId="17" borderId="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182" fontId="1" fillId="0" borderId="0" xfId="0" applyNumberFormat="1" applyFont="1" applyAlignment="1">
      <alignment horizontal="left" vertical="center"/>
    </xf>
    <xf numFmtId="0" fontId="19" fillId="7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81" fontId="1" fillId="0" borderId="0" xfId="0" applyNumberFormat="1" applyFont="1" applyAlignment="1">
      <alignment horizontal="left" vertical="center"/>
    </xf>
    <xf numFmtId="188" fontId="1" fillId="0" borderId="0" xfId="0" applyNumberFormat="1" applyFont="1" applyAlignment="1">
      <alignment horizontal="left" vertical="center"/>
    </xf>
    <xf numFmtId="186" fontId="1" fillId="0" borderId="0" xfId="1" applyNumberFormat="1" applyFont="1" applyAlignment="1">
      <alignment horizontal="left" vertical="center"/>
    </xf>
    <xf numFmtId="0" fontId="1" fillId="20" borderId="0" xfId="0" applyFont="1" applyFill="1" applyAlignment="1">
      <alignment horizontal="left"/>
    </xf>
    <xf numFmtId="0" fontId="1" fillId="21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23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left" wrapText="1"/>
    </xf>
    <xf numFmtId="0" fontId="6" fillId="2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left" vertical="center" wrapText="1"/>
    </xf>
    <xf numFmtId="0" fontId="1" fillId="22" borderId="0" xfId="0" applyFont="1" applyFill="1" applyAlignment="1">
      <alignment horizontal="left"/>
    </xf>
    <xf numFmtId="0" fontId="6" fillId="22" borderId="1" xfId="0" applyFont="1" applyFill="1" applyBorder="1" applyAlignment="1">
      <alignment horizontal="left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wrapText="1"/>
    </xf>
    <xf numFmtId="0" fontId="2" fillId="17" borderId="1" xfId="0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24" borderId="0" xfId="0" applyFont="1" applyFill="1" applyAlignment="1">
      <alignment horizontal="center" vertical="center" wrapText="1"/>
    </xf>
    <xf numFmtId="0" fontId="3" fillId="25" borderId="0" xfId="0" applyFont="1" applyFill="1" applyAlignment="1">
      <alignment horizontal="left" vertical="center" wrapText="1"/>
    </xf>
    <xf numFmtId="0" fontId="2" fillId="24" borderId="0" xfId="0" applyFont="1" applyFill="1" applyAlignment="1">
      <alignment horizontal="left" vertical="center" wrapText="1"/>
    </xf>
    <xf numFmtId="0" fontId="2" fillId="24" borderId="29" xfId="0" applyFont="1" applyFill="1" applyBorder="1" applyAlignment="1">
      <alignment horizontal="left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0" fontId="2" fillId="4" borderId="22" xfId="1" applyNumberFormat="1" applyFont="1" applyFill="1" applyBorder="1" applyAlignment="1">
      <alignment horizontal="left" vertical="center"/>
    </xf>
    <xf numFmtId="10" fontId="2" fillId="4" borderId="0" xfId="1" applyNumberFormat="1" applyFont="1" applyFill="1" applyBorder="1" applyAlignment="1">
      <alignment horizontal="left" vertical="center"/>
    </xf>
    <xf numFmtId="179" fontId="2" fillId="4" borderId="0" xfId="1" applyNumberFormat="1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1" fillId="0" borderId="0" xfId="0" applyFont="1"/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6" borderId="1" xfId="0" applyFont="1" applyFill="1" applyBorder="1" applyAlignment="1">
      <alignment horizontal="left" vertical="top" wrapText="1"/>
    </xf>
    <xf numFmtId="0" fontId="3" fillId="18" borderId="1" xfId="0" applyFont="1" applyFill="1" applyBorder="1" applyAlignment="1">
      <alignment horizontal="left" vertical="top" wrapText="1"/>
    </xf>
    <xf numFmtId="0" fontId="22" fillId="0" borderId="0" xfId="0" applyFont="1"/>
    <xf numFmtId="0" fontId="8" fillId="0" borderId="0" xfId="0" applyFont="1" applyAlignment="1">
      <alignment horizontal="left"/>
    </xf>
    <xf numFmtId="0" fontId="2" fillId="27" borderId="30" xfId="0" applyFont="1" applyFill="1" applyBorder="1" applyAlignment="1">
      <alignment horizontal="left" vertical="center"/>
    </xf>
    <xf numFmtId="0" fontId="2" fillId="27" borderId="31" xfId="0" applyFont="1" applyFill="1" applyBorder="1" applyAlignment="1">
      <alignment horizontal="left" vertical="center"/>
    </xf>
    <xf numFmtId="0" fontId="2" fillId="27" borderId="32" xfId="0" applyFont="1" applyFill="1" applyBorder="1" applyAlignment="1">
      <alignment horizontal="left" vertical="center"/>
    </xf>
    <xf numFmtId="0" fontId="2" fillId="28" borderId="30" xfId="0" applyFont="1" applyFill="1" applyBorder="1" applyAlignment="1">
      <alignment horizontal="left" vertical="center"/>
    </xf>
    <xf numFmtId="0" fontId="2" fillId="28" borderId="31" xfId="0" applyFont="1" applyFill="1" applyBorder="1" applyAlignment="1">
      <alignment horizontal="left" vertical="center"/>
    </xf>
    <xf numFmtId="0" fontId="2" fillId="28" borderId="32" xfId="0" applyFont="1" applyFill="1" applyBorder="1" applyAlignment="1">
      <alignment horizontal="left" vertical="center"/>
    </xf>
    <xf numFmtId="0" fontId="23" fillId="29" borderId="30" xfId="0" applyFont="1" applyFill="1" applyBorder="1" applyAlignment="1">
      <alignment horizontal="left" vertical="center"/>
    </xf>
    <xf numFmtId="0" fontId="23" fillId="29" borderId="31" xfId="0" applyFont="1" applyFill="1" applyBorder="1" applyAlignment="1">
      <alignment horizontal="left" vertical="center"/>
    </xf>
    <xf numFmtId="0" fontId="23" fillId="29" borderId="32" xfId="0" applyFont="1" applyFill="1" applyBorder="1" applyAlignment="1">
      <alignment horizontal="left" vertical="center"/>
    </xf>
    <xf numFmtId="0" fontId="6" fillId="26" borderId="33" xfId="0" applyFont="1" applyFill="1" applyBorder="1" applyAlignment="1">
      <alignment horizontal="left" vertical="center"/>
    </xf>
    <xf numFmtId="0" fontId="6" fillId="26" borderId="34" xfId="0" applyFont="1" applyFill="1" applyBorder="1" applyAlignment="1">
      <alignment horizontal="left" vertical="center"/>
    </xf>
    <xf numFmtId="0" fontId="6" fillId="26" borderId="35" xfId="0" applyFont="1" applyFill="1" applyBorder="1" applyAlignment="1">
      <alignment horizontal="left" vertical="center"/>
    </xf>
    <xf numFmtId="0" fontId="6" fillId="26" borderId="36" xfId="0" applyFont="1" applyFill="1" applyBorder="1" applyAlignment="1">
      <alignment horizontal="left" vertical="center"/>
    </xf>
    <xf numFmtId="0" fontId="6" fillId="26" borderId="37" xfId="0" applyFont="1" applyFill="1" applyBorder="1" applyAlignment="1">
      <alignment horizontal="left" vertical="center"/>
    </xf>
    <xf numFmtId="0" fontId="6" fillId="26" borderId="38" xfId="0" applyFont="1" applyFill="1" applyBorder="1" applyAlignment="1">
      <alignment horizontal="left" vertical="center"/>
    </xf>
    <xf numFmtId="0" fontId="6" fillId="26" borderId="39" xfId="0" applyFont="1" applyFill="1" applyBorder="1" applyAlignment="1">
      <alignment horizontal="left" vertical="center"/>
    </xf>
    <xf numFmtId="0" fontId="6" fillId="26" borderId="40" xfId="0" applyFont="1" applyFill="1" applyBorder="1" applyAlignment="1">
      <alignment horizontal="left" vertical="center"/>
    </xf>
    <xf numFmtId="0" fontId="6" fillId="26" borderId="41" xfId="0" applyFont="1" applyFill="1" applyBorder="1" applyAlignment="1">
      <alignment horizontal="left" vertical="center"/>
    </xf>
    <xf numFmtId="0" fontId="1" fillId="26" borderId="30" xfId="0" applyFont="1" applyFill="1" applyBorder="1" applyAlignment="1">
      <alignment horizontal="left" vertical="center" wrapText="1"/>
    </xf>
    <xf numFmtId="0" fontId="1" fillId="26" borderId="31" xfId="0" applyFont="1" applyFill="1" applyBorder="1" applyAlignment="1">
      <alignment horizontal="left" vertical="center"/>
    </xf>
    <xf numFmtId="0" fontId="6" fillId="26" borderId="42" xfId="0" applyFont="1" applyFill="1" applyBorder="1" applyAlignment="1">
      <alignment horizontal="left" vertical="center"/>
    </xf>
    <xf numFmtId="0" fontId="6" fillId="18" borderId="33" xfId="0" applyFont="1" applyFill="1" applyBorder="1" applyAlignment="1">
      <alignment horizontal="left" vertical="center"/>
    </xf>
    <xf numFmtId="0" fontId="6" fillId="18" borderId="34" xfId="0" applyFont="1" applyFill="1" applyBorder="1" applyAlignment="1">
      <alignment horizontal="left" vertical="center"/>
    </xf>
    <xf numFmtId="0" fontId="6" fillId="26" borderId="43" xfId="0" applyFont="1" applyFill="1" applyBorder="1" applyAlignment="1">
      <alignment horizontal="left" vertical="center"/>
    </xf>
    <xf numFmtId="0" fontId="6" fillId="18" borderId="36" xfId="0" applyFont="1" applyFill="1" applyBorder="1" applyAlignment="1">
      <alignment horizontal="left" vertical="center"/>
    </xf>
    <xf numFmtId="0" fontId="6" fillId="18" borderId="37" xfId="0" applyFont="1" applyFill="1" applyBorder="1" applyAlignment="1">
      <alignment horizontal="left" vertical="center"/>
    </xf>
    <xf numFmtId="0" fontId="6" fillId="26" borderId="44" xfId="0" applyFont="1" applyFill="1" applyBorder="1" applyAlignment="1">
      <alignment horizontal="left" vertical="center"/>
    </xf>
    <xf numFmtId="0" fontId="6" fillId="18" borderId="39" xfId="0" applyFont="1" applyFill="1" applyBorder="1" applyAlignment="1">
      <alignment horizontal="left" vertical="center"/>
    </xf>
    <xf numFmtId="0" fontId="6" fillId="18" borderId="40" xfId="0" applyFont="1" applyFill="1" applyBorder="1" applyAlignment="1">
      <alignment horizontal="left" vertical="center"/>
    </xf>
    <xf numFmtId="0" fontId="1" fillId="18" borderId="30" xfId="0" applyFont="1" applyFill="1" applyBorder="1" applyAlignment="1">
      <alignment horizontal="left" vertical="center" wrapText="1"/>
    </xf>
    <xf numFmtId="0" fontId="1" fillId="18" borderId="31" xfId="0" applyFont="1" applyFill="1" applyBorder="1" applyAlignment="1">
      <alignment horizontal="left" vertical="center"/>
    </xf>
    <xf numFmtId="0" fontId="6" fillId="18" borderId="35" xfId="0" applyFont="1" applyFill="1" applyBorder="1" applyAlignment="1">
      <alignment horizontal="left" vertical="center"/>
    </xf>
    <xf numFmtId="0" fontId="6" fillId="18" borderId="0" xfId="0" applyFont="1" applyFill="1" applyAlignment="1">
      <alignment horizontal="left" vertical="center"/>
    </xf>
    <xf numFmtId="0" fontId="6" fillId="18" borderId="38" xfId="0" applyFont="1" applyFill="1" applyBorder="1" applyAlignment="1">
      <alignment horizontal="left" vertical="center"/>
    </xf>
    <xf numFmtId="0" fontId="6" fillId="18" borderId="41" xfId="0" applyFont="1" applyFill="1" applyBorder="1" applyAlignment="1">
      <alignment horizontal="left" vertical="center"/>
    </xf>
    <xf numFmtId="0" fontId="1" fillId="18" borderId="32" xfId="0" applyFont="1" applyFill="1" applyBorder="1" applyAlignment="1">
      <alignment horizontal="left" vertical="center"/>
    </xf>
    <xf numFmtId="0" fontId="1" fillId="18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12" borderId="1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2" fillId="4" borderId="1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0" fontId="6" fillId="12" borderId="13" xfId="0" applyFont="1" applyFill="1" applyBorder="1" applyAlignment="1">
      <alignment horizontal="left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17" borderId="15" xfId="0" applyFont="1" applyFill="1" applyBorder="1" applyAlignment="1">
      <alignment horizontal="left" vertical="center"/>
    </xf>
    <xf numFmtId="0" fontId="6" fillId="17" borderId="13" xfId="0" applyFont="1" applyFill="1" applyBorder="1" applyAlignment="1">
      <alignment horizontal="left" vertical="center" wrapText="1"/>
    </xf>
    <xf numFmtId="0" fontId="6" fillId="18" borderId="15" xfId="0" applyFont="1" applyFill="1" applyBorder="1" applyAlignment="1">
      <alignment horizontal="left" vertical="center" wrapText="1"/>
    </xf>
    <xf numFmtId="0" fontId="6" fillId="18" borderId="15" xfId="0" applyFont="1" applyFill="1" applyBorder="1" applyAlignment="1">
      <alignment horizontal="left" vertical="center"/>
    </xf>
    <xf numFmtId="0" fontId="6" fillId="18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0" borderId="4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 vertical="center" wrapText="1"/>
    </xf>
    <xf numFmtId="0" fontId="1" fillId="3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31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left" vertical="center"/>
    </xf>
    <xf numFmtId="0" fontId="8" fillId="30" borderId="4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/>
    </xf>
    <xf numFmtId="0" fontId="2" fillId="32" borderId="1" xfId="0" applyFont="1" applyFill="1" applyBorder="1" applyAlignment="1">
      <alignment horizontal="left"/>
    </xf>
    <xf numFmtId="0" fontId="3" fillId="3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2" fontId="8" fillId="0" borderId="0" xfId="0" applyNumberFormat="1" applyFont="1" applyAlignment="1">
      <alignment horizontal="left" vertical="center"/>
    </xf>
    <xf numFmtId="185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wrapText="1"/>
    </xf>
    <xf numFmtId="0" fontId="1" fillId="12" borderId="0" xfId="0" applyFont="1" applyFill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3" fillId="29" borderId="0" xfId="0" applyFont="1" applyFill="1" applyAlignment="1">
      <alignment horizontal="center"/>
    </xf>
    <xf numFmtId="0" fontId="2" fillId="0" borderId="13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78" fontId="1" fillId="0" borderId="0" xfId="0" applyNumberFormat="1" applyFont="1"/>
    <xf numFmtId="49" fontId="1" fillId="0" borderId="0" xfId="0" applyNumberFormat="1" applyFont="1"/>
    <xf numFmtId="0" fontId="1" fillId="0" borderId="46" xfId="0" applyFont="1" applyBorder="1" applyAlignment="1">
      <alignment horizontal="left"/>
    </xf>
    <xf numFmtId="0" fontId="1" fillId="0" borderId="47" xfId="0" applyFont="1" applyBorder="1"/>
    <xf numFmtId="0" fontId="1" fillId="0" borderId="46" xfId="0" applyFont="1" applyBorder="1"/>
    <xf numFmtId="0" fontId="6" fillId="2" borderId="1" xfId="0" applyFont="1" applyFill="1" applyBorder="1" applyAlignment="1">
      <alignment horizontal="left" vertical="center"/>
    </xf>
    <xf numFmtId="0" fontId="11" fillId="0" borderId="0" xfId="0" applyFont="1"/>
    <xf numFmtId="0" fontId="1" fillId="26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" fillId="33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horizontal="left"/>
    </xf>
    <xf numFmtId="176" fontId="1" fillId="0" borderId="0" xfId="0" applyNumberFormat="1" applyFont="1" applyAlignment="1">
      <alignment horizontal="left"/>
    </xf>
    <xf numFmtId="0" fontId="1" fillId="19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3" borderId="1" xfId="0" applyFont="1" applyFill="1" applyBorder="1" applyAlignment="1">
      <alignment horizontal="left"/>
    </xf>
    <xf numFmtId="0" fontId="2" fillId="33" borderId="48" xfId="0" applyFont="1" applyFill="1" applyBorder="1" applyAlignment="1">
      <alignment horizontal="left"/>
    </xf>
    <xf numFmtId="0" fontId="2" fillId="33" borderId="1" xfId="0" applyFont="1" applyFill="1" applyBorder="1" applyAlignment="1">
      <alignment horizontal="left"/>
    </xf>
    <xf numFmtId="0" fontId="6" fillId="33" borderId="1" xfId="0" applyFont="1" applyFill="1" applyBorder="1" applyAlignment="1">
      <alignment horizontal="left" vertical="center" wrapText="1"/>
    </xf>
    <xf numFmtId="0" fontId="1" fillId="0" borderId="0" xfId="1" applyNumberFormat="1" applyFont="1" applyFill="1" applyAlignment="1">
      <alignment horizontal="left"/>
    </xf>
    <xf numFmtId="10" fontId="1" fillId="4" borderId="46" xfId="1" applyNumberFormat="1" applyFont="1" applyFill="1" applyBorder="1" applyAlignment="1">
      <alignment horizontal="left"/>
    </xf>
    <xf numFmtId="185" fontId="1" fillId="4" borderId="0" xfId="1" applyNumberFormat="1" applyFont="1" applyFill="1" applyBorder="1" applyAlignment="1">
      <alignment horizontal="left"/>
    </xf>
    <xf numFmtId="10" fontId="1" fillId="0" borderId="46" xfId="1" applyNumberFormat="1" applyFont="1" applyFill="1" applyBorder="1" applyAlignment="1">
      <alignment horizontal="left"/>
    </xf>
    <xf numFmtId="185" fontId="1" fillId="4" borderId="49" xfId="1" applyNumberFormat="1" applyFont="1" applyFill="1" applyBorder="1" applyAlignment="1">
      <alignment horizontal="left"/>
    </xf>
    <xf numFmtId="0" fontId="16" fillId="33" borderId="1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2" fillId="33" borderId="1" xfId="0" applyFont="1" applyFill="1" applyBorder="1"/>
    <xf numFmtId="0" fontId="2" fillId="2" borderId="16" xfId="0" applyFont="1" applyFill="1" applyBorder="1" applyAlignment="1">
      <alignment horizontal="left" wrapText="1"/>
    </xf>
    <xf numFmtId="0" fontId="27" fillId="33" borderId="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185" fontId="1" fillId="0" borderId="47" xfId="1" applyNumberFormat="1" applyFont="1" applyFill="1" applyBorder="1" applyAlignment="1">
      <alignment horizontal="left"/>
    </xf>
    <xf numFmtId="185" fontId="1" fillId="0" borderId="0" xfId="1" applyNumberFormat="1" applyFont="1" applyFill="1" applyBorder="1" applyAlignment="1">
      <alignment horizontal="left"/>
    </xf>
    <xf numFmtId="0" fontId="11" fillId="0" borderId="0" xfId="1" applyNumberFormat="1" applyFont="1" applyFill="1" applyAlignment="1">
      <alignment horizontal="left"/>
    </xf>
    <xf numFmtId="185" fontId="1" fillId="0" borderId="50" xfId="1" applyNumberFormat="1" applyFont="1" applyFill="1" applyBorder="1" applyAlignment="1">
      <alignment horizontal="left"/>
    </xf>
    <xf numFmtId="0" fontId="4" fillId="33" borderId="51" xfId="0" applyFont="1" applyFill="1" applyBorder="1" applyAlignment="1">
      <alignment horizontal="left"/>
    </xf>
    <xf numFmtId="0" fontId="4" fillId="33" borderId="52" xfId="0" applyFont="1" applyFill="1" applyBorder="1" applyAlignment="1">
      <alignment horizontal="left"/>
    </xf>
    <xf numFmtId="0" fontId="4" fillId="33" borderId="53" xfId="0" applyFont="1" applyFill="1" applyBorder="1" applyAlignment="1">
      <alignment horizontal="left"/>
    </xf>
    <xf numFmtId="0" fontId="2" fillId="34" borderId="1" xfId="0" applyFont="1" applyFill="1" applyBorder="1" applyAlignment="1">
      <alignment horizontal="left"/>
    </xf>
    <xf numFmtId="0" fontId="2" fillId="33" borderId="54" xfId="0" applyFont="1" applyFill="1" applyBorder="1" applyAlignment="1">
      <alignment horizontal="left"/>
    </xf>
    <xf numFmtId="0" fontId="2" fillId="33" borderId="48" xfId="0" applyFont="1" applyFill="1" applyBorder="1" applyAlignment="1">
      <alignment horizontal="left" wrapText="1"/>
    </xf>
    <xf numFmtId="0" fontId="2" fillId="33" borderId="1" xfId="0" applyFont="1" applyFill="1" applyBorder="1" applyAlignment="1">
      <alignment horizontal="left" wrapText="1"/>
    </xf>
    <xf numFmtId="0" fontId="2" fillId="33" borderId="54" xfId="0" applyFont="1" applyFill="1" applyBorder="1" applyAlignment="1">
      <alignment horizontal="left" wrapText="1"/>
    </xf>
    <xf numFmtId="0" fontId="4" fillId="34" borderId="1" xfId="0" applyFont="1" applyFill="1" applyBorder="1" applyAlignment="1">
      <alignment horizontal="left"/>
    </xf>
    <xf numFmtId="0" fontId="6" fillId="33" borderId="55" xfId="0" applyFont="1" applyFill="1" applyBorder="1" applyAlignment="1">
      <alignment horizontal="left" vertical="center" wrapText="1"/>
    </xf>
    <xf numFmtId="0" fontId="6" fillId="33" borderId="56" xfId="0" applyFont="1" applyFill="1" applyBorder="1" applyAlignment="1">
      <alignment horizontal="left" vertical="center" wrapText="1"/>
    </xf>
    <xf numFmtId="0" fontId="6" fillId="33" borderId="57" xfId="0" applyFont="1" applyFill="1" applyBorder="1" applyAlignment="1">
      <alignment horizontal="left" vertical="center" wrapText="1"/>
    </xf>
    <xf numFmtId="0" fontId="6" fillId="34" borderId="1" xfId="0" applyFont="1" applyFill="1" applyBorder="1" applyAlignment="1">
      <alignment horizontal="left" vertical="center" wrapText="1"/>
    </xf>
    <xf numFmtId="9" fontId="1" fillId="0" borderId="0" xfId="1" applyFont="1" applyFill="1" applyAlignment="1">
      <alignment horizontal="left"/>
    </xf>
    <xf numFmtId="0" fontId="2" fillId="35" borderId="1" xfId="0" applyFont="1" applyFill="1" applyBorder="1" applyAlignment="1">
      <alignment horizontal="left"/>
    </xf>
    <xf numFmtId="178" fontId="2" fillId="2" borderId="1" xfId="0" applyNumberFormat="1" applyFont="1" applyFill="1" applyBorder="1" applyAlignment="1">
      <alignment horizontal="left"/>
    </xf>
    <xf numFmtId="0" fontId="4" fillId="35" borderId="1" xfId="0" applyFont="1" applyFill="1" applyBorder="1" applyAlignment="1">
      <alignment horizontal="left"/>
    </xf>
    <xf numFmtId="0" fontId="6" fillId="35" borderId="1" xfId="0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85" fontId="1" fillId="0" borderId="0" xfId="1" applyNumberFormat="1" applyFont="1" applyFill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9" fontId="1" fillId="0" borderId="0" xfId="0" applyNumberFormat="1" applyFont="1" applyAlignment="1">
      <alignment horizontal="left"/>
    </xf>
    <xf numFmtId="49" fontId="6" fillId="2" borderId="1" xfId="0" applyNumberFormat="1" applyFont="1" applyFill="1" applyBorder="1" applyAlignment="1">
      <alignment horizontal="left" vertical="center" wrapText="1"/>
    </xf>
    <xf numFmtId="49" fontId="1" fillId="17" borderId="0" xfId="0" applyNumberFormat="1" applyFont="1" applyFill="1" applyAlignment="1">
      <alignment horizontal="left"/>
    </xf>
    <xf numFmtId="49" fontId="1" fillId="17" borderId="0" xfId="0" applyNumberFormat="1" applyFont="1" applyFill="1"/>
    <xf numFmtId="49" fontId="1" fillId="0" borderId="0" xfId="0" applyNumberFormat="1" applyFont="1" applyAlignment="1">
      <alignment horizontal="left"/>
    </xf>
    <xf numFmtId="49" fontId="1" fillId="4" borderId="0" xfId="0" applyNumberFormat="1" applyFont="1" applyFill="1"/>
    <xf numFmtId="177" fontId="1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left"/>
    </xf>
    <xf numFmtId="0" fontId="6" fillId="0" borderId="0" xfId="0" applyFont="1"/>
    <xf numFmtId="0" fontId="20" fillId="2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0" xfId="0" applyFont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17" borderId="12" xfId="0" applyFont="1" applyFill="1" applyBorder="1" applyAlignment="1">
      <alignment horizontal="left"/>
    </xf>
    <xf numFmtId="0" fontId="6" fillId="17" borderId="5" xfId="0" applyFont="1" applyFill="1" applyBorder="1" applyAlignment="1">
      <alignment horizontal="left"/>
    </xf>
    <xf numFmtId="0" fontId="1" fillId="19" borderId="13" xfId="0" applyFont="1" applyFill="1" applyBorder="1" applyAlignment="1">
      <alignment horizontal="left"/>
    </xf>
    <xf numFmtId="0" fontId="3" fillId="0" borderId="0" xfId="0" applyFont="1"/>
    <xf numFmtId="0" fontId="6" fillId="4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17" borderId="13" xfId="0" applyFont="1" applyFill="1" applyBorder="1" applyAlignment="1">
      <alignment horizontal="left"/>
    </xf>
    <xf numFmtId="0" fontId="6" fillId="17" borderId="11" xfId="0" applyFont="1" applyFill="1" applyBorder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46" xfId="0" applyFont="1" applyBorder="1" applyAlignment="1">
      <alignment horizontal="left" vertical="center" wrapText="1"/>
    </xf>
    <xf numFmtId="0" fontId="1" fillId="36" borderId="0" xfId="0" applyFont="1" applyFill="1" applyAlignment="1">
      <alignment horizontal="left" vertical="center" wrapText="1"/>
    </xf>
    <xf numFmtId="9" fontId="1" fillId="33" borderId="0" xfId="0" applyNumberFormat="1" applyFont="1" applyFill="1" applyAlignment="1">
      <alignment horizontal="left"/>
    </xf>
    <xf numFmtId="0" fontId="1" fillId="15" borderId="0" xfId="0" applyFont="1" applyFill="1" applyAlignment="1">
      <alignment horizontal="left" vertical="center" wrapText="1"/>
    </xf>
    <xf numFmtId="0" fontId="1" fillId="37" borderId="0" xfId="0" applyFont="1" applyFill="1" applyAlignment="1">
      <alignment horizontal="left" vertical="center" wrapText="1"/>
    </xf>
    <xf numFmtId="9" fontId="25" fillId="0" borderId="0" xfId="0" applyNumberFormat="1" applyFont="1" applyAlignment="1">
      <alignment horizontal="left" vertical="center" wrapText="1"/>
    </xf>
    <xf numFmtId="179" fontId="1" fillId="0" borderId="0" xfId="1" applyNumberFormat="1" applyFont="1" applyFill="1" applyBorder="1" applyAlignment="1">
      <alignment horizontal="left"/>
    </xf>
    <xf numFmtId="9" fontId="25" fillId="0" borderId="47" xfId="0" applyNumberFormat="1" applyFont="1" applyBorder="1" applyAlignment="1">
      <alignment horizontal="left" vertical="center" wrapText="1"/>
    </xf>
    <xf numFmtId="179" fontId="1" fillId="0" borderId="0" xfId="1" applyNumberFormat="1" applyFont="1" applyFill="1" applyBorder="1" applyAlignment="1"/>
    <xf numFmtId="179" fontId="1" fillId="0" borderId="47" xfId="1" applyNumberFormat="1" applyFont="1" applyFill="1" applyBorder="1" applyAlignment="1"/>
    <xf numFmtId="0" fontId="4" fillId="38" borderId="58" xfId="0" applyFont="1" applyFill="1" applyBorder="1" applyAlignment="1">
      <alignment horizontal="left"/>
    </xf>
    <xf numFmtId="0" fontId="6" fillId="38" borderId="59" xfId="0" applyFont="1" applyFill="1" applyBorder="1" applyAlignment="1">
      <alignment horizontal="left" wrapText="1"/>
    </xf>
    <xf numFmtId="0" fontId="2" fillId="38" borderId="6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8" borderId="60" xfId="0" applyFont="1" applyFill="1" applyBorder="1" applyAlignment="1">
      <alignment horizontal="left" wrapText="1"/>
    </xf>
    <xf numFmtId="0" fontId="2" fillId="38" borderId="1" xfId="0" applyFont="1" applyFill="1" applyBorder="1" applyAlignment="1">
      <alignment horizontal="left" wrapText="1"/>
    </xf>
    <xf numFmtId="0" fontId="6" fillId="38" borderId="60" xfId="0" applyFont="1" applyFill="1" applyBorder="1" applyAlignment="1">
      <alignment horizontal="left" vertical="center" wrapText="1"/>
    </xf>
    <xf numFmtId="0" fontId="6" fillId="38" borderId="1" xfId="0" applyFont="1" applyFill="1" applyBorder="1" applyAlignment="1">
      <alignment horizontal="left" vertical="center" wrapText="1"/>
    </xf>
    <xf numFmtId="179" fontId="1" fillId="4" borderId="46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179" fontId="1" fillId="0" borderId="46" xfId="1" applyNumberFormat="1" applyFont="1" applyFill="1" applyBorder="1" applyAlignment="1">
      <alignment horizontal="left"/>
    </xf>
    <xf numFmtId="179" fontId="1" fillId="0" borderId="61" xfId="1" applyNumberFormat="1" applyFont="1" applyFill="1" applyBorder="1" applyAlignment="1">
      <alignment horizontal="left"/>
    </xf>
    <xf numFmtId="0" fontId="1" fillId="0" borderId="49" xfId="1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9" fontId="2" fillId="4" borderId="29" xfId="0" applyNumberFormat="1" applyFont="1" applyFill="1" applyBorder="1" applyAlignment="1">
      <alignment horizontal="left" wrapText="1"/>
    </xf>
    <xf numFmtId="0" fontId="6" fillId="38" borderId="5" xfId="0" applyFont="1" applyFill="1" applyBorder="1" applyAlignment="1">
      <alignment horizontal="left" vertical="center" wrapText="1"/>
    </xf>
    <xf numFmtId="0" fontId="6" fillId="13" borderId="66" xfId="0" applyFont="1" applyFill="1" applyBorder="1" applyAlignment="1">
      <alignment horizontal="left" vertical="center" wrapText="1"/>
    </xf>
    <xf numFmtId="0" fontId="6" fillId="13" borderId="67" xfId="0" applyFont="1" applyFill="1" applyBorder="1" applyAlignment="1">
      <alignment horizontal="left" vertical="center" wrapText="1"/>
    </xf>
    <xf numFmtId="180" fontId="2" fillId="0" borderId="0" xfId="1" applyNumberFormat="1" applyFont="1" applyFill="1" applyBorder="1" applyAlignment="1">
      <alignment horizontal="left"/>
    </xf>
    <xf numFmtId="179" fontId="2" fillId="0" borderId="0" xfId="1" applyNumberFormat="1" applyFont="1" applyFill="1" applyBorder="1" applyAlignment="1">
      <alignment horizontal="left"/>
    </xf>
    <xf numFmtId="184" fontId="2" fillId="0" borderId="0" xfId="1" applyNumberFormat="1" applyFont="1" applyFill="1" applyBorder="1" applyAlignment="1">
      <alignment horizontal="left"/>
    </xf>
    <xf numFmtId="180" fontId="2" fillId="0" borderId="49" xfId="1" applyNumberFormat="1" applyFont="1" applyFill="1" applyBorder="1" applyAlignment="1">
      <alignment horizontal="left"/>
    </xf>
    <xf numFmtId="184" fontId="2" fillId="0" borderId="49" xfId="1" applyNumberFormat="1" applyFont="1" applyFill="1" applyBorder="1" applyAlignment="1">
      <alignment horizontal="left"/>
    </xf>
    <xf numFmtId="0" fontId="25" fillId="0" borderId="59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17" borderId="68" xfId="0" applyFont="1" applyFill="1" applyBorder="1" applyAlignment="1">
      <alignment horizontal="left"/>
    </xf>
    <xf numFmtId="0" fontId="2" fillId="17" borderId="69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0" fontId="2" fillId="17" borderId="29" xfId="1" applyNumberFormat="1" applyFont="1" applyFill="1" applyBorder="1" applyAlignment="1">
      <alignment horizontal="left"/>
    </xf>
    <xf numFmtId="0" fontId="1" fillId="17" borderId="70" xfId="0" applyFont="1" applyFill="1" applyBorder="1"/>
    <xf numFmtId="0" fontId="3" fillId="17" borderId="1" xfId="0" applyFont="1" applyFill="1" applyBorder="1" applyAlignment="1">
      <alignment horizontal="left"/>
    </xf>
    <xf numFmtId="177" fontId="13" fillId="17" borderId="29" xfId="0" applyNumberFormat="1" applyFont="1" applyFill="1" applyBorder="1" applyAlignment="1">
      <alignment horizontal="left"/>
    </xf>
    <xf numFmtId="0" fontId="25" fillId="13" borderId="67" xfId="0" applyFont="1" applyFill="1" applyBorder="1" applyAlignment="1">
      <alignment horizontal="left" vertical="center" wrapText="1"/>
    </xf>
    <xf numFmtId="0" fontId="6" fillId="13" borderId="7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73" xfId="0" applyFont="1" applyFill="1" applyBorder="1" applyAlignment="1">
      <alignment horizontal="left" vertical="center" wrapText="1"/>
    </xf>
    <xf numFmtId="187" fontId="2" fillId="0" borderId="0" xfId="1" applyNumberFormat="1" applyFont="1" applyFill="1" applyBorder="1" applyAlignment="1">
      <alignment horizontal="left"/>
    </xf>
    <xf numFmtId="0" fontId="1" fillId="4" borderId="0" xfId="1" applyNumberFormat="1" applyFont="1" applyFill="1" applyBorder="1" applyAlignment="1">
      <alignment horizontal="left"/>
    </xf>
    <xf numFmtId="0" fontId="1" fillId="0" borderId="47" xfId="1" applyNumberFormat="1" applyFont="1" applyFill="1" applyBorder="1" applyAlignment="1">
      <alignment horizontal="left"/>
    </xf>
    <xf numFmtId="187" fontId="2" fillId="0" borderId="49" xfId="1" applyNumberFormat="1" applyFont="1" applyFill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6" fillId="0" borderId="74" xfId="0" applyFont="1" applyBorder="1" applyAlignment="1">
      <alignment horizontal="left" vertical="center" wrapText="1"/>
    </xf>
    <xf numFmtId="0" fontId="2" fillId="0" borderId="0" xfId="0" applyFont="1"/>
    <xf numFmtId="184" fontId="1" fillId="0" borderId="0" xfId="1" applyNumberFormat="1" applyFont="1" applyFill="1" applyAlignment="1"/>
    <xf numFmtId="180" fontId="6" fillId="0" borderId="0" xfId="1" applyNumberFormat="1" applyFont="1" applyFill="1" applyBorder="1" applyAlignment="1">
      <alignment horizontal="left"/>
    </xf>
    <xf numFmtId="180" fontId="6" fillId="4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 wrapText="1"/>
    </xf>
    <xf numFmtId="186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185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85" fontId="15" fillId="0" borderId="0" xfId="0" applyNumberFormat="1" applyFont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83" fontId="1" fillId="0" borderId="0" xfId="0" applyNumberFormat="1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1" fillId="17" borderId="12" xfId="0" applyFont="1" applyFill="1" applyBorder="1" applyAlignment="1">
      <alignment horizontal="left" vertical="center"/>
    </xf>
    <xf numFmtId="185" fontId="1" fillId="17" borderId="13" xfId="0" applyNumberFormat="1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left" vertical="center"/>
    </xf>
    <xf numFmtId="49" fontId="12" fillId="17" borderId="10" xfId="0" applyNumberFormat="1" applyFont="1" applyFill="1" applyBorder="1" applyAlignment="1">
      <alignment horizontal="left" vertical="center"/>
    </xf>
    <xf numFmtId="0" fontId="1" fillId="17" borderId="10" xfId="0" applyFont="1" applyFill="1" applyBorder="1" applyAlignment="1">
      <alignment horizontal="left" vertical="center"/>
    </xf>
    <xf numFmtId="0" fontId="1" fillId="17" borderId="5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/>
    </xf>
    <xf numFmtId="0" fontId="1" fillId="15" borderId="4" xfId="0" applyFont="1" applyFill="1" applyBorder="1" applyAlignment="1">
      <alignment horizontal="left" vertical="center"/>
    </xf>
    <xf numFmtId="185" fontId="1" fillId="15" borderId="10" xfId="0" applyNumberFormat="1" applyFont="1" applyFill="1" applyBorder="1" applyAlignment="1">
      <alignment horizontal="left" vertical="center"/>
    </xf>
    <xf numFmtId="0" fontId="1" fillId="15" borderId="5" xfId="0" applyFont="1" applyFill="1" applyBorder="1" applyAlignment="1">
      <alignment horizontal="left" vertical="center"/>
    </xf>
    <xf numFmtId="185" fontId="12" fillId="15" borderId="11" xfId="0" applyNumberFormat="1" applyFont="1" applyFill="1" applyBorder="1" applyAlignment="1">
      <alignment horizontal="left" vertical="center"/>
    </xf>
    <xf numFmtId="49" fontId="1" fillId="17" borderId="13" xfId="0" applyNumberFormat="1" applyFont="1" applyFill="1" applyBorder="1" applyAlignment="1">
      <alignment horizontal="left" vertical="center"/>
    </xf>
    <xf numFmtId="0" fontId="12" fillId="17" borderId="10" xfId="0" applyFont="1" applyFill="1" applyBorder="1" applyAlignment="1">
      <alignment horizontal="left" vertical="center"/>
    </xf>
    <xf numFmtId="0" fontId="1" fillId="15" borderId="12" xfId="0" applyFont="1" applyFill="1" applyBorder="1" applyAlignment="1">
      <alignment horizontal="left" vertical="center"/>
    </xf>
    <xf numFmtId="49" fontId="11" fillId="15" borderId="13" xfId="0" applyNumberFormat="1" applyFont="1" applyFill="1" applyBorder="1" applyAlignment="1">
      <alignment horizontal="left" vertical="center"/>
    </xf>
    <xf numFmtId="49" fontId="1" fillId="15" borderId="11" xfId="0" applyNumberFormat="1" applyFont="1" applyFill="1" applyBorder="1" applyAlignment="1">
      <alignment horizontal="left" vertical="center"/>
    </xf>
    <xf numFmtId="49" fontId="11" fillId="17" borderId="13" xfId="0" applyNumberFormat="1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10" xfId="0" applyFont="1" applyFill="1" applyBorder="1" applyAlignment="1">
      <alignment horizontal="left" vertical="center"/>
    </xf>
    <xf numFmtId="0" fontId="12" fillId="15" borderId="10" xfId="0" applyFont="1" applyFill="1" applyBorder="1" applyAlignment="1">
      <alignment horizontal="left" vertical="center"/>
    </xf>
    <xf numFmtId="0" fontId="12" fillId="15" borderId="11" xfId="0" applyFont="1" applyFill="1" applyBorder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1" fillId="15" borderId="11" xfId="0" applyFont="1" applyFill="1" applyBorder="1" applyAlignment="1">
      <alignment horizontal="left" vertical="center"/>
    </xf>
    <xf numFmtId="0" fontId="8" fillId="17" borderId="12" xfId="0" applyFont="1" applyFill="1" applyBorder="1" applyAlignment="1">
      <alignment horizontal="left" vertical="center"/>
    </xf>
    <xf numFmtId="0" fontId="1" fillId="17" borderId="13" xfId="0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left" vertical="center"/>
    </xf>
    <xf numFmtId="0" fontId="1" fillId="39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1" fillId="39" borderId="0" xfId="0" applyFont="1" applyFill="1" applyAlignment="1">
      <alignment horizontal="left" vertical="center"/>
    </xf>
    <xf numFmtId="49" fontId="1" fillId="40" borderId="0" xfId="0" applyNumberFormat="1" applyFont="1" applyFill="1" applyAlignment="1">
      <alignment horizontal="left" vertical="center"/>
    </xf>
    <xf numFmtId="49" fontId="11" fillId="4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center"/>
    </xf>
    <xf numFmtId="10" fontId="36" fillId="0" borderId="1" xfId="0" applyNumberFormat="1" applyFont="1" applyBorder="1" applyAlignment="1">
      <alignment horizontal="right" vertical="center"/>
    </xf>
    <xf numFmtId="10" fontId="3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right" vertical="center"/>
    </xf>
    <xf numFmtId="0" fontId="1" fillId="13" borderId="46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28" fillId="29" borderId="0" xfId="0" applyFont="1" applyFill="1" applyAlignment="1">
      <alignment horizontal="center"/>
    </xf>
    <xf numFmtId="9" fontId="1" fillId="0" borderId="0" xfId="0" applyNumberFormat="1" applyFont="1" applyAlignment="1">
      <alignment horizontal="left" vertical="center"/>
    </xf>
    <xf numFmtId="0" fontId="2" fillId="17" borderId="29" xfId="0" applyFont="1" applyFill="1" applyBorder="1" applyAlignment="1">
      <alignment horizontal="left" vertical="center" wrapText="1"/>
    </xf>
    <xf numFmtId="0" fontId="2" fillId="17" borderId="65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80" fontId="2" fillId="0" borderId="26" xfId="1" applyNumberFormat="1" applyFont="1" applyBorder="1" applyAlignment="1">
      <alignment horizontal="left" vertical="center"/>
    </xf>
    <xf numFmtId="180" fontId="2" fillId="0" borderId="27" xfId="1" applyNumberFormat="1" applyFont="1" applyBorder="1" applyAlignment="1">
      <alignment horizontal="left" vertical="center"/>
    </xf>
    <xf numFmtId="179" fontId="1" fillId="0" borderId="27" xfId="1" applyNumberFormat="1" applyFont="1" applyBorder="1" applyAlignment="1">
      <alignment horizontal="left" vertical="center"/>
    </xf>
    <xf numFmtId="179" fontId="1" fillId="0" borderId="28" xfId="1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0" fillId="17" borderId="62" xfId="0" applyFont="1" applyFill="1" applyBorder="1" applyAlignment="1">
      <alignment horizontal="center"/>
    </xf>
    <xf numFmtId="0" fontId="10" fillId="17" borderId="63" xfId="0" applyFont="1" applyFill="1" applyBorder="1" applyAlignment="1">
      <alignment horizontal="center"/>
    </xf>
    <xf numFmtId="0" fontId="10" fillId="17" borderId="6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1" fillId="12" borderId="0" xfId="0" applyFont="1" applyFill="1" applyAlignment="1">
      <alignment horizontal="center"/>
    </xf>
    <xf numFmtId="0" fontId="23" fillId="29" borderId="0" xfId="0" applyFont="1" applyFill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26" fillId="29" borderId="12" xfId="0" applyFont="1" applyFill="1" applyBorder="1" applyAlignment="1">
      <alignment horizontal="center" vertical="center"/>
    </xf>
    <xf numFmtId="0" fontId="26" fillId="29" borderId="4" xfId="0" applyFont="1" applyFill="1" applyBorder="1" applyAlignment="1">
      <alignment horizontal="center" vertical="center"/>
    </xf>
    <xf numFmtId="0" fontId="26" fillId="29" borderId="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26" xfId="0" applyFont="1" applyFill="1" applyBorder="1" applyAlignment="1">
      <alignment horizontal="left" vertical="center" wrapText="1"/>
    </xf>
    <xf numFmtId="0" fontId="12" fillId="17" borderId="21" xfId="0" applyFont="1" applyFill="1" applyBorder="1" applyAlignment="1">
      <alignment horizontal="left" vertical="center" wrapText="1"/>
    </xf>
    <xf numFmtId="0" fontId="12" fillId="17" borderId="22" xfId="0" applyFont="1" applyFill="1" applyBorder="1" applyAlignment="1">
      <alignment horizontal="left" vertical="center" wrapText="1"/>
    </xf>
    <xf numFmtId="0" fontId="12" fillId="17" borderId="2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204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97</xdr:row>
      <xdr:rowOff>9525</xdr:rowOff>
    </xdr:from>
    <xdr:to>
      <xdr:col>16</xdr:col>
      <xdr:colOff>123825</xdr:colOff>
      <xdr:row>103</xdr:row>
      <xdr:rowOff>188641</xdr:rowOff>
    </xdr:to>
    <xdr:pic>
      <xdr:nvPicPr>
        <xdr:cNvPr id="7" name="图片 6" descr="C:\Users\user\Documents\Tencent Files\819379605\Image\Group\F0)850OEP6N42@]GDY}E4I4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26595" y="20875625"/>
          <a:ext cx="5262245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215</xdr:row>
      <xdr:rowOff>8255</xdr:rowOff>
    </xdr:from>
    <xdr:to>
      <xdr:col>13</xdr:col>
      <xdr:colOff>400050</xdr:colOff>
      <xdr:row>232</xdr:row>
      <xdr:rowOff>47625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0095" y="46100365"/>
          <a:ext cx="5932170" cy="367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</xdr:row>
      <xdr:rowOff>167640</xdr:rowOff>
    </xdr:from>
    <xdr:to>
      <xdr:col>5</xdr:col>
      <xdr:colOff>357544</xdr:colOff>
      <xdr:row>122</xdr:row>
      <xdr:rowOff>146521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3305" y="25299670"/>
          <a:ext cx="4415790" cy="1045210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3535679</xdr:colOff>
      <xdr:row>5</xdr:row>
      <xdr:rowOff>7620</xdr:rowOff>
    </xdr:from>
    <xdr:to>
      <xdr:col>10</xdr:col>
      <xdr:colOff>298444</xdr:colOff>
      <xdr:row>10</xdr:row>
      <xdr:rowOff>80366</xdr:rowOff>
    </xdr:to>
    <xdr:pic>
      <xdr:nvPicPr>
        <xdr:cNvPr id="5" name="图片 4" descr="C:\Users\81937\Documents\Tencent Files\819379605\Image\C2C\6VZF{%(4D4HMEB~~M85Q$19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45320" y="1165860"/>
          <a:ext cx="4025900" cy="113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381000</xdr:colOff>
      <xdr:row>4</xdr:row>
      <xdr:rowOff>0</xdr:rowOff>
    </xdr:from>
    <xdr:to>
      <xdr:col>37</xdr:col>
      <xdr:colOff>1276238</xdr:colOff>
      <xdr:row>12</xdr:row>
      <xdr:rowOff>66450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75330" y="1579245"/>
          <a:ext cx="894715" cy="177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19</xdr:row>
      <xdr:rowOff>0</xdr:rowOff>
    </xdr:from>
    <xdr:to>
      <xdr:col>32</xdr:col>
      <xdr:colOff>342590</xdr:colOff>
      <xdr:row>26</xdr:row>
      <xdr:rowOff>117922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5150" y="5212080"/>
          <a:ext cx="2389505" cy="1610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0275" y="1584960"/>
          <a:ext cx="4762500" cy="5367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198120</xdr:colOff>
      <xdr:row>27</xdr:row>
      <xdr:rowOff>129540</xdr:rowOff>
    </xdr:from>
    <xdr:to>
      <xdr:col>29</xdr:col>
      <xdr:colOff>453178</xdr:colOff>
      <xdr:row>43</xdr:row>
      <xdr:rowOff>138645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78980" y="6743700"/>
          <a:ext cx="1443355" cy="34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workbookViewId="0">
      <pane xSplit="1" ySplit="4" topLeftCell="G5" activePane="bottomRight" state="frozen"/>
      <selection pane="topRight"/>
      <selection pane="bottomLeft"/>
      <selection pane="bottomRight" activeCell="I13" sqref="I13"/>
    </sheetView>
  </sheetViews>
  <sheetFormatPr defaultColWidth="9" defaultRowHeight="16.5" x14ac:dyDescent="0.45"/>
  <cols>
    <col min="1" max="2" width="12.36328125" style="1" customWidth="1"/>
    <col min="3" max="3" width="8.54296875" style="500" customWidth="1"/>
    <col min="4" max="4" width="14.453125" style="1" customWidth="1"/>
    <col min="5" max="5" width="13.81640625" style="1" customWidth="1"/>
    <col min="6" max="6" width="14.08984375" style="1" customWidth="1"/>
    <col min="7" max="7" width="20.36328125" style="1" customWidth="1"/>
    <col min="8" max="8" width="11.36328125" style="1" customWidth="1"/>
    <col min="9" max="9" width="12.453125" style="1" customWidth="1"/>
    <col min="10" max="10" width="34.36328125" style="1" customWidth="1"/>
    <col min="11" max="11" width="12.08984375" style="1" customWidth="1"/>
    <col min="12" max="12" width="18.90625" style="1" customWidth="1"/>
    <col min="13" max="13" width="9.81640625" style="1" customWidth="1"/>
    <col min="14" max="14" width="23.6328125" style="1" customWidth="1"/>
    <col min="15" max="18" width="14.1796875" style="1" customWidth="1"/>
    <col min="19" max="19" width="31.90625" style="1" customWidth="1"/>
    <col min="20" max="21" width="14.1796875" style="1" customWidth="1"/>
    <col min="22" max="22" width="15.54296875" style="1" customWidth="1"/>
    <col min="23" max="23" width="17.81640625" style="1" customWidth="1"/>
    <col min="24" max="24" width="31.453125" style="1" customWidth="1"/>
    <col min="25" max="25" width="10.1796875" style="500" customWidth="1"/>
    <col min="26" max="26" width="10.81640625" style="500" customWidth="1"/>
    <col min="27" max="27" width="7.6328125" style="500" customWidth="1"/>
    <col min="28" max="29" width="10.1796875" style="500" customWidth="1"/>
    <col min="30" max="30" width="8.54296875" style="500" customWidth="1"/>
    <col min="31" max="31" width="10.1796875" style="500" customWidth="1"/>
  </cols>
  <sheetData>
    <row r="1" spans="1:31" s="2" customFormat="1" ht="16.25" customHeight="1" x14ac:dyDescent="0.4">
      <c r="A1" s="3" t="s">
        <v>0</v>
      </c>
      <c r="B1" s="3" t="s">
        <v>1</v>
      </c>
      <c r="C1" s="3" t="s">
        <v>1</v>
      </c>
      <c r="D1" s="3" t="s">
        <v>0</v>
      </c>
      <c r="E1" s="3" t="s">
        <v>1</v>
      </c>
      <c r="F1" s="55" t="s">
        <v>1</v>
      </c>
      <c r="G1" s="55" t="s">
        <v>0</v>
      </c>
      <c r="H1" s="363" t="s">
        <v>1</v>
      </c>
      <c r="I1" s="55" t="s">
        <v>1</v>
      </c>
      <c r="J1" s="55" t="s">
        <v>0</v>
      </c>
      <c r="K1" s="55" t="s">
        <v>0</v>
      </c>
      <c r="L1" s="55" t="s">
        <v>0</v>
      </c>
      <c r="M1" s="55" t="s">
        <v>1</v>
      </c>
      <c r="N1" s="55" t="s">
        <v>0</v>
      </c>
      <c r="O1" s="55" t="s">
        <v>0</v>
      </c>
      <c r="P1" s="55" t="s">
        <v>0</v>
      </c>
      <c r="Q1" s="55" t="s">
        <v>0</v>
      </c>
      <c r="R1" s="55" t="s">
        <v>0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06"/>
      <c r="Z1" s="506"/>
      <c r="AA1" s="506"/>
      <c r="AB1" s="506"/>
      <c r="AC1" s="506"/>
      <c r="AD1" s="506"/>
      <c r="AE1" s="506"/>
    </row>
    <row r="2" spans="1:31" s="2" customFormat="1" x14ac:dyDescent="0.4">
      <c r="A2" s="3" t="s">
        <v>2</v>
      </c>
      <c r="B2" s="3" t="s">
        <v>2</v>
      </c>
      <c r="C2" s="3" t="s">
        <v>3</v>
      </c>
      <c r="D2" s="3" t="s">
        <v>2</v>
      </c>
      <c r="E2" s="3" t="s">
        <v>4</v>
      </c>
      <c r="F2" s="3" t="s">
        <v>3</v>
      </c>
      <c r="G2" s="55" t="s">
        <v>2</v>
      </c>
      <c r="H2" s="363" t="s">
        <v>2</v>
      </c>
      <c r="I2" s="55" t="s">
        <v>2</v>
      </c>
      <c r="J2" s="55" t="s">
        <v>4</v>
      </c>
      <c r="K2" s="55" t="s">
        <v>4</v>
      </c>
      <c r="L2" s="55" t="s">
        <v>2</v>
      </c>
      <c r="M2" s="55" t="s">
        <v>2</v>
      </c>
      <c r="N2" s="55" t="s">
        <v>4</v>
      </c>
      <c r="O2" s="55" t="s">
        <v>4</v>
      </c>
      <c r="P2" s="55" t="s">
        <v>4</v>
      </c>
      <c r="Q2" s="55" t="s">
        <v>4</v>
      </c>
      <c r="R2" s="55" t="s">
        <v>2</v>
      </c>
      <c r="S2" s="55" t="s">
        <v>5</v>
      </c>
      <c r="T2" s="55" t="s">
        <v>5</v>
      </c>
      <c r="U2" s="55" t="s">
        <v>5</v>
      </c>
      <c r="V2" s="55" t="s">
        <v>5</v>
      </c>
      <c r="W2" s="55" t="s">
        <v>5</v>
      </c>
      <c r="X2" s="55" t="s">
        <v>5</v>
      </c>
      <c r="Y2" s="506"/>
      <c r="Z2" s="506"/>
      <c r="AA2" s="506"/>
      <c r="AB2" s="506"/>
      <c r="AC2" s="506"/>
      <c r="AD2" s="506"/>
      <c r="AE2" s="506"/>
    </row>
    <row r="3" spans="1:31" s="2" customFormat="1" x14ac:dyDescent="0.4">
      <c r="A3" s="3" t="s">
        <v>6</v>
      </c>
      <c r="B3" s="3" t="s">
        <v>7</v>
      </c>
      <c r="C3" s="3" t="s">
        <v>8</v>
      </c>
      <c r="D3" s="3" t="s">
        <v>9</v>
      </c>
      <c r="E3" s="11" t="s">
        <v>10</v>
      </c>
      <c r="F3" s="11" t="s">
        <v>11</v>
      </c>
      <c r="G3" s="57" t="s">
        <v>12</v>
      </c>
      <c r="H3" s="502" t="s">
        <v>13</v>
      </c>
      <c r="I3" s="445" t="s">
        <v>14</v>
      </c>
      <c r="J3" s="55" t="s">
        <v>15</v>
      </c>
      <c r="K3" s="55" t="s">
        <v>16</v>
      </c>
      <c r="L3" s="55" t="s">
        <v>17</v>
      </c>
      <c r="M3" s="363" t="s">
        <v>18</v>
      </c>
      <c r="N3" s="363" t="s">
        <v>19</v>
      </c>
      <c r="O3" s="363" t="s">
        <v>20</v>
      </c>
      <c r="P3" s="55" t="s">
        <v>21</v>
      </c>
      <c r="Q3" s="55" t="s">
        <v>22</v>
      </c>
      <c r="R3" s="55" t="s">
        <v>23</v>
      </c>
      <c r="S3" s="55" t="s">
        <v>24</v>
      </c>
      <c r="T3" s="55" t="s">
        <v>25</v>
      </c>
      <c r="U3" s="55" t="s">
        <v>26</v>
      </c>
      <c r="V3" s="55" t="s">
        <v>27</v>
      </c>
      <c r="W3" s="55" t="s">
        <v>28</v>
      </c>
      <c r="X3" s="55" t="s">
        <v>29</v>
      </c>
      <c r="Y3" s="506"/>
      <c r="Z3" s="506"/>
      <c r="AA3" s="506"/>
      <c r="AB3" s="506"/>
      <c r="AC3" s="506"/>
      <c r="AD3" s="506"/>
      <c r="AE3" s="506"/>
    </row>
    <row r="4" spans="1:31" s="2" customFormat="1" ht="92" x14ac:dyDescent="0.25">
      <c r="A4" s="4" t="s">
        <v>30</v>
      </c>
      <c r="B4" s="4" t="s">
        <v>31</v>
      </c>
      <c r="C4" s="4" t="s">
        <v>32</v>
      </c>
      <c r="D4" s="4" t="s">
        <v>33</v>
      </c>
      <c r="E4" s="266" t="s">
        <v>34</v>
      </c>
      <c r="F4" s="266" t="s">
        <v>35</v>
      </c>
      <c r="G4" s="503" t="s">
        <v>36</v>
      </c>
      <c r="H4" s="504" t="s">
        <v>37</v>
      </c>
      <c r="I4" s="504" t="s">
        <v>38</v>
      </c>
      <c r="J4" s="266" t="s">
        <v>39</v>
      </c>
      <c r="K4" s="266" t="s">
        <v>40</v>
      </c>
      <c r="L4" s="266" t="s">
        <v>41</v>
      </c>
      <c r="M4" s="266" t="s">
        <v>42</v>
      </c>
      <c r="N4" s="266" t="s">
        <v>43</v>
      </c>
      <c r="O4" s="266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 t="s">
        <v>52</v>
      </c>
      <c r="X4" s="4" t="s">
        <v>53</v>
      </c>
      <c r="Y4" s="4" t="s">
        <v>54</v>
      </c>
      <c r="Z4" s="4" t="s">
        <v>55</v>
      </c>
      <c r="AA4" s="4"/>
      <c r="AB4" s="4"/>
      <c r="AC4" s="506"/>
      <c r="AD4" s="506"/>
      <c r="AE4" s="506"/>
    </row>
    <row r="5" spans="1:31" x14ac:dyDescent="0.45">
      <c r="A5" s="501">
        <v>500</v>
      </c>
      <c r="B5" s="501">
        <v>9700</v>
      </c>
      <c r="C5" s="501">
        <v>0</v>
      </c>
      <c r="D5" s="1">
        <v>0</v>
      </c>
      <c r="E5" s="1">
        <v>0</v>
      </c>
      <c r="F5" s="1">
        <v>0</v>
      </c>
      <c r="G5" s="1">
        <v>-1</v>
      </c>
      <c r="H5" s="1">
        <v>1005</v>
      </c>
      <c r="I5" s="1">
        <f>A5*5000</f>
        <v>2500000</v>
      </c>
      <c r="L5" s="1">
        <v>1</v>
      </c>
      <c r="M5" s="1">
        <f>ROW(A5)-4</f>
        <v>1</v>
      </c>
      <c r="S5" s="1">
        <v>2.2625999999999999</v>
      </c>
      <c r="T5" s="1">
        <v>0.86109999999999998</v>
      </c>
      <c r="U5" s="505" t="s">
        <v>56</v>
      </c>
      <c r="V5" s="1" t="s">
        <v>57</v>
      </c>
      <c r="X5" s="1" t="s">
        <v>58</v>
      </c>
      <c r="Y5" s="507">
        <f>Y6+0.2%</f>
        <v>0.98299999999999998</v>
      </c>
      <c r="Z5" s="508">
        <f>C5/A5</f>
        <v>0</v>
      </c>
      <c r="AA5" s="509" t="e">
        <f>50/C5</f>
        <v>#DIV/0!</v>
      </c>
      <c r="AB5" s="509" t="e">
        <f t="shared" ref="AB5:AB9" si="0">AA5/6</f>
        <v>#DIV/0!</v>
      </c>
      <c r="AC5" s="501">
        <v>5.0000000000000001E-3</v>
      </c>
      <c r="AD5" s="2"/>
      <c r="AE5" s="2"/>
    </row>
    <row r="6" spans="1:31" x14ac:dyDescent="0.45">
      <c r="A6" s="501">
        <v>2000</v>
      </c>
      <c r="B6" s="501">
        <v>9700</v>
      </c>
      <c r="C6" s="501">
        <v>0</v>
      </c>
      <c r="D6" s="1">
        <v>0</v>
      </c>
      <c r="E6" s="1">
        <v>0</v>
      </c>
      <c r="F6" s="1">
        <v>0</v>
      </c>
      <c r="G6" s="1">
        <v>-1</v>
      </c>
      <c r="H6" s="1">
        <v>1005</v>
      </c>
      <c r="I6" s="1">
        <f>A6*5000</f>
        <v>10000000</v>
      </c>
      <c r="L6" s="1">
        <v>1</v>
      </c>
      <c r="M6" s="1">
        <f>ROW(A6)-4</f>
        <v>2</v>
      </c>
      <c r="S6" s="1">
        <v>1.9258999999999999</v>
      </c>
      <c r="T6" s="1">
        <v>0.86109999999999998</v>
      </c>
      <c r="U6" s="505" t="s">
        <v>59</v>
      </c>
      <c r="V6" s="1" t="s">
        <v>60</v>
      </c>
      <c r="X6" s="1" t="s">
        <v>58</v>
      </c>
      <c r="Y6" s="507">
        <f>Y7+0.2%</f>
        <v>0.98099999999999998</v>
      </c>
      <c r="Z6" s="508">
        <f>C6/A6</f>
        <v>0</v>
      </c>
      <c r="AA6" s="509" t="e">
        <f>50/C6</f>
        <v>#DIV/0!</v>
      </c>
      <c r="AB6" s="509" t="e">
        <f t="shared" si="0"/>
        <v>#DIV/0!</v>
      </c>
      <c r="AC6" s="501">
        <v>0.01</v>
      </c>
      <c r="AD6" s="2"/>
      <c r="AE6" s="2"/>
    </row>
    <row r="7" spans="1:31" x14ac:dyDescent="0.45">
      <c r="A7" s="501">
        <v>5000</v>
      </c>
      <c r="B7" s="501">
        <v>9700</v>
      </c>
      <c r="C7" s="501">
        <v>0</v>
      </c>
      <c r="D7" s="1">
        <v>0</v>
      </c>
      <c r="E7" s="1">
        <v>0</v>
      </c>
      <c r="F7" s="1">
        <v>0</v>
      </c>
      <c r="G7" s="1">
        <v>-1</v>
      </c>
      <c r="H7" s="1">
        <v>1005</v>
      </c>
      <c r="I7" s="1">
        <f>A7*5000</f>
        <v>25000000</v>
      </c>
      <c r="L7" s="1">
        <v>1</v>
      </c>
      <c r="M7" s="1">
        <f>ROW(A7)-4</f>
        <v>3</v>
      </c>
      <c r="S7" s="1">
        <v>1.7716000000000001</v>
      </c>
      <c r="T7" s="1">
        <v>0.86109999999999998</v>
      </c>
      <c r="U7" s="505" t="s">
        <v>61</v>
      </c>
      <c r="V7" s="1" t="s">
        <v>62</v>
      </c>
      <c r="X7" s="1" t="s">
        <v>58</v>
      </c>
      <c r="Y7" s="507">
        <f>Y8+0.2%</f>
        <v>0.97899999999999998</v>
      </c>
      <c r="Z7" s="508">
        <f>C7/A7</f>
        <v>0</v>
      </c>
      <c r="AA7" s="509" t="e">
        <f>50/C7</f>
        <v>#DIV/0!</v>
      </c>
      <c r="AB7" s="509" t="e">
        <f t="shared" si="0"/>
        <v>#DIV/0!</v>
      </c>
      <c r="AC7" s="501">
        <v>0.02</v>
      </c>
      <c r="AD7" s="2"/>
      <c r="AE7" s="2"/>
    </row>
    <row r="8" spans="1:31" x14ac:dyDescent="0.45">
      <c r="A8" s="501">
        <v>15000</v>
      </c>
      <c r="B8" s="501">
        <v>9700</v>
      </c>
      <c r="C8" s="501">
        <v>0</v>
      </c>
      <c r="D8" s="1">
        <v>0</v>
      </c>
      <c r="E8" s="1">
        <v>0</v>
      </c>
      <c r="F8" s="1">
        <v>0</v>
      </c>
      <c r="G8" s="1">
        <v>-1</v>
      </c>
      <c r="H8" s="1">
        <v>1005</v>
      </c>
      <c r="I8" s="1">
        <f>A8*5000</f>
        <v>75000000</v>
      </c>
      <c r="L8" s="1">
        <v>1</v>
      </c>
      <c r="M8" s="1">
        <f>ROW(A8)-4</f>
        <v>4</v>
      </c>
      <c r="S8" s="1">
        <v>1.6943999999999999</v>
      </c>
      <c r="T8" s="1">
        <v>0.86109999999999998</v>
      </c>
      <c r="U8" s="505" t="s">
        <v>63</v>
      </c>
      <c r="V8" s="1" t="s">
        <v>64</v>
      </c>
      <c r="X8" s="1" t="s">
        <v>58</v>
      </c>
      <c r="Y8" s="507">
        <f>Y9+0.2%</f>
        <v>0.97699999999999998</v>
      </c>
      <c r="Z8" s="508">
        <f>C8/A8</f>
        <v>0</v>
      </c>
      <c r="AA8" s="509" t="e">
        <f>50/C8</f>
        <v>#DIV/0!</v>
      </c>
      <c r="AB8" s="509" t="e">
        <f t="shared" si="0"/>
        <v>#DIV/0!</v>
      </c>
      <c r="AC8" s="501">
        <v>0.05</v>
      </c>
      <c r="AD8" s="2"/>
      <c r="AE8" s="2"/>
    </row>
    <row r="9" spans="1:31" x14ac:dyDescent="0.45">
      <c r="A9" s="501">
        <v>30000</v>
      </c>
      <c r="B9" s="501">
        <v>9700</v>
      </c>
      <c r="C9" s="501">
        <v>0</v>
      </c>
      <c r="D9" s="1">
        <v>0</v>
      </c>
      <c r="E9" s="1">
        <v>0</v>
      </c>
      <c r="F9" s="1">
        <v>0</v>
      </c>
      <c r="G9" s="1">
        <v>-1</v>
      </c>
      <c r="H9" s="1">
        <v>1005</v>
      </c>
      <c r="I9" s="1">
        <f>A9*5000</f>
        <v>150000000</v>
      </c>
      <c r="L9" s="1">
        <v>1</v>
      </c>
      <c r="M9" s="1">
        <f>ROW(A9)-4</f>
        <v>5</v>
      </c>
      <c r="S9" s="1">
        <v>2.5625</v>
      </c>
      <c r="T9" s="1">
        <v>0.86109999999999998</v>
      </c>
      <c r="U9" s="505" t="s">
        <v>65</v>
      </c>
      <c r="V9" s="1" t="s">
        <v>66</v>
      </c>
      <c r="X9" s="1" t="s">
        <v>58</v>
      </c>
      <c r="Y9" s="507">
        <v>0.97499999999999998</v>
      </c>
      <c r="Z9" s="508">
        <f>C9/A9</f>
        <v>0</v>
      </c>
      <c r="AA9" s="509" t="e">
        <f>50/C9</f>
        <v>#DIV/0!</v>
      </c>
      <c r="AB9" s="509" t="e">
        <f t="shared" si="0"/>
        <v>#DIV/0!</v>
      </c>
      <c r="AC9" s="501">
        <v>0.1</v>
      </c>
      <c r="AD9" s="2"/>
      <c r="AE9" s="2"/>
    </row>
    <row r="10" spans="1:31" x14ac:dyDescent="0.45">
      <c r="C10" s="2"/>
      <c r="Y10" s="2"/>
      <c r="Z10" s="2"/>
      <c r="AA10" s="2"/>
      <c r="AB10" s="2"/>
      <c r="AC10" s="2"/>
      <c r="AD10" s="2"/>
      <c r="AE10" s="2"/>
    </row>
    <row r="11" spans="1:31" x14ac:dyDescent="0.45">
      <c r="C11" s="2"/>
      <c r="Y11" s="2"/>
      <c r="Z11" s="2"/>
      <c r="AA11" s="2"/>
      <c r="AB11" s="2"/>
      <c r="AC11" s="2"/>
      <c r="AD11" s="2"/>
      <c r="AE11" s="2"/>
    </row>
    <row r="12" spans="1:31" x14ac:dyDescent="0.45">
      <c r="C12" s="2"/>
      <c r="Y12" s="2"/>
      <c r="Z12" s="2"/>
      <c r="AA12" s="2"/>
      <c r="AB12" s="2"/>
      <c r="AC12" s="2"/>
      <c r="AD12" s="2"/>
      <c r="AE12" s="2"/>
    </row>
    <row r="13" spans="1:31" x14ac:dyDescent="0.45">
      <c r="C13" s="2"/>
      <c r="Y13" s="2"/>
      <c r="Z13" s="2"/>
      <c r="AA13" s="2"/>
      <c r="AB13" s="2"/>
      <c r="AC13" s="2"/>
      <c r="AD13" s="2"/>
      <c r="AE13" s="2"/>
    </row>
    <row r="14" spans="1:31" x14ac:dyDescent="0.45">
      <c r="C14" s="2"/>
      <c r="Y14" s="2"/>
      <c r="Z14" s="2"/>
      <c r="AA14" s="2"/>
      <c r="AB14" s="2"/>
      <c r="AC14" s="2"/>
      <c r="AD14" s="2"/>
      <c r="AE14" s="2"/>
    </row>
    <row r="15" spans="1:31" x14ac:dyDescent="0.45">
      <c r="C15" s="2"/>
      <c r="Y15" s="2"/>
      <c r="Z15" s="2"/>
      <c r="AA15" s="2"/>
      <c r="AB15" s="2"/>
      <c r="AC15" s="2"/>
      <c r="AD15" s="2"/>
      <c r="AE15" s="2"/>
    </row>
    <row r="16" spans="1:31" x14ac:dyDescent="0.45">
      <c r="C16" s="2"/>
      <c r="Y16" s="2"/>
      <c r="Z16" s="2"/>
      <c r="AA16" s="2"/>
      <c r="AB16" s="2"/>
      <c r="AC16" s="2"/>
      <c r="AD16" s="2"/>
      <c r="AE16" s="2"/>
    </row>
    <row r="17" spans="3:31" x14ac:dyDescent="0.45">
      <c r="C17" s="2"/>
      <c r="Y17" s="2"/>
      <c r="Z17" s="2"/>
      <c r="AA17" s="2"/>
      <c r="AB17" s="2"/>
      <c r="AC17" s="2"/>
      <c r="AD17" s="2"/>
      <c r="AE17" s="2"/>
    </row>
    <row r="18" spans="3:31" x14ac:dyDescent="0.45">
      <c r="C18" s="2"/>
      <c r="Y18" s="2"/>
      <c r="Z18" s="2"/>
      <c r="AA18" s="2"/>
      <c r="AB18" s="2"/>
      <c r="AC18" s="2"/>
      <c r="AD18" s="2"/>
      <c r="AE18" s="2"/>
    </row>
    <row r="19" spans="3:31" x14ac:dyDescent="0.45">
      <c r="C19" s="2"/>
      <c r="Y19" s="2"/>
      <c r="Z19" s="2"/>
      <c r="AA19" s="2"/>
      <c r="AB19" s="2"/>
      <c r="AC19" s="2"/>
      <c r="AD19" s="2"/>
      <c r="AE19" s="2"/>
    </row>
    <row r="20" spans="3:31" x14ac:dyDescent="0.45">
      <c r="C20" s="2"/>
      <c r="Y20" s="2"/>
      <c r="Z20" s="2"/>
      <c r="AA20" s="2"/>
      <c r="AB20" s="2"/>
      <c r="AC20" s="2"/>
      <c r="AD20" s="2"/>
      <c r="AE20" s="2"/>
    </row>
    <row r="21" spans="3:31" x14ac:dyDescent="0.45">
      <c r="C21" s="2"/>
      <c r="Y21" s="2"/>
      <c r="Z21" s="2"/>
      <c r="AA21" s="2"/>
      <c r="AB21" s="2"/>
      <c r="AC21" s="2"/>
      <c r="AD21" s="2"/>
      <c r="AE21" s="2"/>
    </row>
    <row r="22" spans="3:31" x14ac:dyDescent="0.45">
      <c r="C22" s="2"/>
      <c r="Y22" s="2"/>
      <c r="Z22" s="2"/>
      <c r="AA22" s="2"/>
      <c r="AB22" s="2"/>
      <c r="AC22" s="2"/>
      <c r="AD22" s="2"/>
      <c r="AE22" s="2"/>
    </row>
    <row r="23" spans="3:31" x14ac:dyDescent="0.45">
      <c r="C23" s="2"/>
      <c r="Y23" s="2"/>
      <c r="Z23" s="2"/>
      <c r="AA23" s="2"/>
      <c r="AB23" s="2"/>
      <c r="AC23" s="2"/>
      <c r="AD23" s="2"/>
      <c r="AE23" s="2"/>
    </row>
    <row r="24" spans="3:31" x14ac:dyDescent="0.45">
      <c r="C24" s="2"/>
      <c r="Y24" s="2"/>
      <c r="Z24" s="2"/>
      <c r="AA24" s="2"/>
      <c r="AB24" s="2"/>
      <c r="AC24" s="2"/>
      <c r="AD24" s="2"/>
      <c r="AE24" s="2"/>
    </row>
    <row r="25" spans="3:31" x14ac:dyDescent="0.45">
      <c r="C25" s="2"/>
      <c r="Y25" s="2"/>
      <c r="Z25" s="2"/>
      <c r="AA25" s="2"/>
      <c r="AB25" s="2"/>
      <c r="AC25" s="2"/>
      <c r="AD25" s="2"/>
      <c r="AE25" s="2"/>
    </row>
    <row r="26" spans="3:31" x14ac:dyDescent="0.45">
      <c r="C26" s="2"/>
      <c r="Y26" s="2"/>
      <c r="Z26" s="2"/>
      <c r="AA26" s="2"/>
      <c r="AB26" s="2"/>
      <c r="AC26" s="2"/>
      <c r="AD26" s="2"/>
      <c r="AE26" s="2"/>
    </row>
    <row r="27" spans="3:31" x14ac:dyDescent="0.45">
      <c r="C27" s="2"/>
      <c r="Y27" s="2"/>
      <c r="Z27" s="2"/>
      <c r="AA27" s="2"/>
      <c r="AB27" s="2"/>
      <c r="AC27" s="2"/>
      <c r="AD27" s="2"/>
      <c r="AE27" s="2"/>
    </row>
    <row r="28" spans="3:31" x14ac:dyDescent="0.45">
      <c r="C28" s="2"/>
      <c r="Y28" s="2"/>
      <c r="Z28" s="2"/>
      <c r="AA28" s="2"/>
      <c r="AB28" s="2"/>
      <c r="AC28" s="2"/>
      <c r="AD28" s="2"/>
      <c r="AE28" s="2"/>
    </row>
    <row r="29" spans="3:31" x14ac:dyDescent="0.45">
      <c r="C29" s="2"/>
      <c r="Y29" s="2"/>
      <c r="Z29" s="2"/>
      <c r="AA29" s="2"/>
      <c r="AB29" s="2"/>
      <c r="AC29" s="2"/>
      <c r="AD29" s="2"/>
      <c r="AE29" s="2"/>
    </row>
    <row r="30" spans="3:31" x14ac:dyDescent="0.45">
      <c r="C30" s="2"/>
      <c r="Y30" s="2"/>
      <c r="Z30" s="2"/>
      <c r="AA30" s="2"/>
      <c r="AB30" s="2"/>
      <c r="AC30" s="2"/>
      <c r="AD30" s="2"/>
      <c r="AE30" s="2"/>
    </row>
    <row r="31" spans="3:31" x14ac:dyDescent="0.45">
      <c r="C31" s="2"/>
      <c r="Y31" s="2"/>
      <c r="Z31" s="2"/>
      <c r="AA31" s="2"/>
      <c r="AB31" s="2"/>
      <c r="AC31" s="2"/>
      <c r="AD31" s="2"/>
      <c r="AE31" s="2"/>
    </row>
    <row r="32" spans="3:31" x14ac:dyDescent="0.45">
      <c r="C32" s="2"/>
      <c r="Y32" s="2"/>
      <c r="Z32" s="2"/>
      <c r="AA32" s="2"/>
      <c r="AB32" s="2"/>
      <c r="AC32" s="2"/>
      <c r="AD32" s="2"/>
      <c r="AE32" s="2"/>
    </row>
    <row r="33" spans="3:31" x14ac:dyDescent="0.45">
      <c r="C33" s="2"/>
      <c r="Y33" s="2"/>
      <c r="Z33" s="2"/>
      <c r="AA33" s="2"/>
      <c r="AB33" s="2"/>
      <c r="AC33" s="2"/>
      <c r="AD33" s="2"/>
      <c r="AE33" s="2"/>
    </row>
    <row r="34" spans="3:31" x14ac:dyDescent="0.45">
      <c r="C34" s="2"/>
      <c r="Y34" s="2"/>
      <c r="Z34" s="2"/>
      <c r="AA34" s="2"/>
      <c r="AB34" s="2"/>
      <c r="AC34" s="2"/>
      <c r="AD34" s="2"/>
      <c r="AE34" s="2"/>
    </row>
    <row r="38" spans="3:31" x14ac:dyDescent="0.45">
      <c r="C38" s="2"/>
      <c r="Y38" s="2"/>
      <c r="Z38" s="2"/>
      <c r="AA38" s="2"/>
      <c r="AB38" s="2"/>
      <c r="AC38" s="2"/>
      <c r="AD38" s="2"/>
      <c r="AE38" s="2"/>
    </row>
    <row r="39" spans="3:31" x14ac:dyDescent="0.45">
      <c r="C39" s="2"/>
      <c r="Y39" s="2"/>
      <c r="Z39" s="2"/>
      <c r="AA39" s="2"/>
      <c r="AB39" s="2"/>
      <c r="AC39" s="2"/>
      <c r="AD39" s="2"/>
      <c r="AE39" s="2"/>
    </row>
    <row r="40" spans="3:31" x14ac:dyDescent="0.45">
      <c r="C40" s="2"/>
      <c r="Y40" s="2"/>
      <c r="Z40" s="2"/>
      <c r="AA40" s="2"/>
      <c r="AB40" s="2"/>
      <c r="AC40" s="2"/>
      <c r="AD40" s="2"/>
      <c r="AE40" s="2"/>
    </row>
    <row r="41" spans="3:31" x14ac:dyDescent="0.45">
      <c r="C41" s="2"/>
      <c r="Y41" s="2"/>
      <c r="Z41" s="2"/>
      <c r="AA41" s="2"/>
      <c r="AB41" s="2"/>
      <c r="AC41" s="2"/>
      <c r="AD41" s="2"/>
      <c r="AE41" s="2"/>
    </row>
    <row r="42" spans="3:31" x14ac:dyDescent="0.45">
      <c r="C42" s="2"/>
      <c r="Y42" s="2"/>
      <c r="Z42" s="2"/>
      <c r="AA42" s="2"/>
      <c r="AB42" s="2"/>
      <c r="AC42" s="2"/>
      <c r="AD42" s="2"/>
      <c r="AE42" s="2"/>
    </row>
    <row r="43" spans="3:31" x14ac:dyDescent="0.45">
      <c r="C43" s="2"/>
      <c r="Y43" s="2"/>
      <c r="Z43" s="2"/>
      <c r="AA43" s="2"/>
      <c r="AB43" s="2"/>
      <c r="AC43" s="2"/>
      <c r="AD43" s="2"/>
      <c r="AE43" s="2"/>
    </row>
    <row r="44" spans="3:31" x14ac:dyDescent="0.45">
      <c r="C44" s="2"/>
      <c r="Y44" s="2"/>
      <c r="Z44" s="2"/>
      <c r="AA44" s="2"/>
      <c r="AB44" s="2"/>
      <c r="AC44" s="2"/>
      <c r="AD44" s="2"/>
      <c r="AE44" s="2"/>
    </row>
    <row r="45" spans="3:31" x14ac:dyDescent="0.45">
      <c r="C45" s="2"/>
      <c r="Y45" s="2"/>
      <c r="Z45" s="2"/>
      <c r="AA45" s="2"/>
      <c r="AB45" s="2"/>
      <c r="AC45" s="2"/>
      <c r="AD45" s="2"/>
      <c r="AE45" s="2"/>
    </row>
    <row r="46" spans="3:31" x14ac:dyDescent="0.45">
      <c r="C46" s="2"/>
      <c r="Y46" s="2"/>
      <c r="Z46" s="2"/>
      <c r="AA46" s="2"/>
      <c r="AB46" s="2"/>
      <c r="AC46" s="2"/>
      <c r="AD46" s="2"/>
      <c r="AE46" s="2"/>
    </row>
    <row r="47" spans="3:31" x14ac:dyDescent="0.45">
      <c r="C47" s="2"/>
      <c r="Y47" s="2"/>
      <c r="Z47" s="2"/>
      <c r="AA47" s="2"/>
      <c r="AB47" s="2"/>
      <c r="AC47" s="2"/>
      <c r="AD47" s="2"/>
      <c r="AE47" s="2"/>
    </row>
    <row r="48" spans="3:31" x14ac:dyDescent="0.45">
      <c r="C48" s="2"/>
      <c r="Y48" s="2"/>
      <c r="Z48" s="2"/>
      <c r="AA48" s="2"/>
      <c r="AB48" s="2"/>
      <c r="AC48" s="2"/>
      <c r="AD48" s="2"/>
      <c r="AE48" s="2"/>
    </row>
    <row r="49" spans="3:31" x14ac:dyDescent="0.45">
      <c r="C49" s="2"/>
      <c r="Y49" s="2"/>
      <c r="Z49" s="2"/>
      <c r="AA49" s="2"/>
      <c r="AB49" s="2"/>
      <c r="AC49" s="2"/>
      <c r="AD49" s="2"/>
      <c r="AE49" s="2"/>
    </row>
    <row r="50" spans="3:31" x14ac:dyDescent="0.45">
      <c r="C50" s="2"/>
      <c r="Y50" s="2"/>
      <c r="Z50" s="2"/>
      <c r="AA50" s="2"/>
      <c r="AB50" s="2"/>
      <c r="AC50" s="2"/>
      <c r="AD50" s="2"/>
      <c r="AE50" s="2"/>
    </row>
    <row r="51" spans="3:31" x14ac:dyDescent="0.45">
      <c r="C51" s="2"/>
      <c r="Y51" s="2"/>
      <c r="Z51" s="2"/>
      <c r="AA51" s="2"/>
      <c r="AB51" s="2"/>
      <c r="AC51" s="2"/>
      <c r="AD51" s="2"/>
      <c r="AE51" s="2"/>
    </row>
    <row r="52" spans="3:31" x14ac:dyDescent="0.45">
      <c r="C52" s="2"/>
      <c r="Y52" s="2"/>
      <c r="Z52" s="2"/>
      <c r="AA52" s="2"/>
      <c r="AB52" s="2"/>
      <c r="AC52" s="2"/>
      <c r="AD52" s="2"/>
      <c r="AE52" s="2"/>
    </row>
    <row r="53" spans="3:31" x14ac:dyDescent="0.45">
      <c r="C53" s="2"/>
      <c r="Y53" s="2"/>
      <c r="Z53" s="2"/>
      <c r="AA53" s="2"/>
      <c r="AB53" s="2"/>
      <c r="AC53" s="2"/>
      <c r="AD53" s="2"/>
      <c r="AE53" s="2"/>
    </row>
    <row r="54" spans="3:31" x14ac:dyDescent="0.45">
      <c r="C54" s="2"/>
      <c r="Y54" s="2"/>
      <c r="Z54" s="2"/>
      <c r="AA54" s="2"/>
      <c r="AB54" s="2"/>
      <c r="AC54" s="2"/>
      <c r="AD54" s="2"/>
      <c r="AE54" s="2"/>
    </row>
    <row r="55" spans="3:31" x14ac:dyDescent="0.45">
      <c r="C55" s="2"/>
      <c r="Y55" s="2"/>
      <c r="Z55" s="2"/>
      <c r="AA55" s="2"/>
      <c r="AB55" s="2"/>
      <c r="AC55" s="2"/>
      <c r="AD55" s="2"/>
      <c r="AE55" s="2"/>
    </row>
    <row r="56" spans="3:31" x14ac:dyDescent="0.45">
      <c r="C56" s="2"/>
      <c r="Y56" s="2"/>
      <c r="Z56" s="2"/>
      <c r="AA56" s="2"/>
      <c r="AB56" s="2"/>
      <c r="AC56" s="2"/>
      <c r="AD56" s="2"/>
      <c r="AE56" s="2"/>
    </row>
    <row r="57" spans="3:31" x14ac:dyDescent="0.45">
      <c r="C57" s="2"/>
      <c r="Y57" s="2"/>
      <c r="Z57" s="2"/>
      <c r="AA57" s="2"/>
      <c r="AB57" s="2"/>
      <c r="AC57" s="2"/>
      <c r="AD57" s="2"/>
      <c r="AE57" s="2"/>
    </row>
    <row r="58" spans="3:31" x14ac:dyDescent="0.45">
      <c r="C58" s="2"/>
      <c r="Y58" s="2"/>
      <c r="Z58" s="2"/>
      <c r="AA58" s="2"/>
      <c r="AB58" s="2"/>
      <c r="AC58" s="2"/>
      <c r="AD58" s="2"/>
      <c r="AE58" s="2"/>
    </row>
  </sheetData>
  <phoneticPr fontId="57" type="noConversion"/>
  <conditionalFormatting sqref="B5:B9">
    <cfRule type="containsText" dxfId="2043" priority="3" operator="containsText" text=" ">
      <formula>NOT(ISERROR(SEARCH(" ",B5)))</formula>
    </cfRule>
  </conditionalFormatting>
  <conditionalFormatting sqref="C5:C9">
    <cfRule type="containsText" dxfId="2042" priority="2" operator="containsText" text=" ">
      <formula>NOT(ISERROR(SEARCH(" ",C5)))</formula>
    </cfRule>
  </conditionalFormatting>
  <conditionalFormatting sqref="AC5:AC9">
    <cfRule type="containsText" dxfId="2041" priority="1" operator="containsText" text=" ">
      <formula>NOT(ISERROR(SEARCH(" ",AC5)))</formula>
    </cfRule>
  </conditionalFormatting>
  <conditionalFormatting sqref="AF1:XFD1048576">
    <cfRule type="containsText" dxfId="2040" priority="5" operator="containsText" text=" ">
      <formula>NOT(ISERROR(SEARCH(" ",AF1)))</formula>
    </cfRule>
  </conditionalFormatting>
  <conditionalFormatting sqref="D6:D9 A5:A9 E5:K9 P5:X9">
    <cfRule type="containsText" dxfId="2039" priority="308" operator="containsText" text=" ">
      <formula>NOT(ISERROR(SEARCH(" ",A5)))</formula>
    </cfRule>
  </conditionalFormatting>
  <conditionalFormatting sqref="D5 D10:X1048576 A10:B1048576">
    <cfRule type="containsText" dxfId="2038" priority="314" operator="containsText" text=" ">
      <formula>NOT(ISERROR(SEARCH(" ",A5)))</formula>
    </cfRule>
  </conditionalFormatting>
  <conditionalFormatting sqref="P5:X9">
    <cfRule type="cellIs" dxfId="2037" priority="138" operator="equal">
      <formula>" 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Z103"/>
  <sheetViews>
    <sheetView workbookViewId="0">
      <pane xSplit="7" ySplit="4" topLeftCell="H5" activePane="bottomRight" state="frozen"/>
      <selection pane="topRight"/>
      <selection pane="bottomLeft"/>
      <selection pane="bottomRight" activeCell="W13" sqref="W13"/>
    </sheetView>
  </sheetViews>
  <sheetFormatPr defaultColWidth="9" defaultRowHeight="16.5" x14ac:dyDescent="0.25"/>
  <cols>
    <col min="1" max="1" width="9.90625" style="2" customWidth="1"/>
    <col min="2" max="2" width="16.1796875" style="2" customWidth="1"/>
    <col min="3" max="3" width="22.36328125" style="2" customWidth="1"/>
    <col min="4" max="5" width="12.36328125" style="2" customWidth="1"/>
    <col min="6" max="6" width="14" style="2" customWidth="1"/>
    <col min="7" max="7" width="15.36328125" style="2" customWidth="1"/>
    <col min="8" max="10" width="12.36328125" style="2" customWidth="1"/>
    <col min="11" max="11" width="9" style="2"/>
    <col min="12" max="12" width="13.54296875" style="2" customWidth="1"/>
    <col min="13" max="13" width="14.1796875" style="2" customWidth="1"/>
    <col min="14" max="14" width="10.90625" style="2" customWidth="1"/>
    <col min="15" max="15" width="9.81640625" style="2" customWidth="1"/>
    <col min="16" max="16" width="11.08984375" style="2" customWidth="1"/>
    <col min="17" max="17" width="10.36328125" style="2" customWidth="1"/>
    <col min="18" max="18" width="9" style="2"/>
    <col min="19" max="20" width="8.1796875" style="9" customWidth="1"/>
    <col min="21" max="21" width="6.453125" style="9" customWidth="1"/>
    <col min="22" max="22" width="5.1796875" style="9" customWidth="1"/>
    <col min="23" max="24" width="8.1796875" style="9" customWidth="1"/>
    <col min="25" max="25" width="6.453125" style="9" customWidth="1"/>
    <col min="26" max="26" width="4.90625" style="9" customWidth="1"/>
    <col min="27" max="27" width="10.90625" style="9" customWidth="1"/>
    <col min="28" max="28" width="8.1796875" style="9" customWidth="1"/>
    <col min="29" max="29" width="6.453125" style="9" customWidth="1"/>
    <col min="30" max="31" width="4.90625" style="9" customWidth="1"/>
    <col min="32" max="32" width="9" style="2"/>
    <col min="33" max="33" width="10.90625" style="2" customWidth="1"/>
    <col min="34" max="34" width="10.1796875" style="2" customWidth="1"/>
    <col min="35" max="35" width="9" style="2"/>
    <col min="36" max="36" width="10.08984375" style="2" customWidth="1"/>
    <col min="37" max="37" width="11.453125" style="2" customWidth="1"/>
    <col min="38" max="38" width="10.90625" style="2" customWidth="1"/>
    <col min="39" max="39" width="10.1796875" style="2" customWidth="1"/>
    <col min="40" max="40" width="9" style="2"/>
    <col min="41" max="43" width="11.453125" style="2" customWidth="1"/>
    <col min="44" max="45" width="9" style="2"/>
    <col min="46" max="46" width="11.6328125" style="2" customWidth="1"/>
    <col min="47" max="16384" width="9" style="2"/>
  </cols>
  <sheetData>
    <row r="1" spans="1:52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/>
      <c r="I1" s="1"/>
      <c r="J1" s="1"/>
      <c r="L1" s="195"/>
      <c r="M1" s="195"/>
      <c r="N1" s="195"/>
      <c r="O1" s="195"/>
      <c r="P1" s="195"/>
      <c r="AG1" s="206" t="s">
        <v>738</v>
      </c>
      <c r="AH1" s="207">
        <f>SUMIF(AG5:AG100,AG1,AJ5:AJ100)</f>
        <v>145</v>
      </c>
      <c r="AI1" s="207" t="s">
        <v>1539</v>
      </c>
      <c r="AJ1" s="208">
        <f>SUMIF(AG5:AG100,AI1,AJ5:AJ100)</f>
        <v>0</v>
      </c>
      <c r="AK1" s="217">
        <f>SUM(AK5:AK54)</f>
        <v>32960000</v>
      </c>
      <c r="AL1" s="218" t="s">
        <v>738</v>
      </c>
      <c r="AM1" s="219">
        <f>SUMIF(AL5:AL100,AL1,AO5:AO100)</f>
        <v>450</v>
      </c>
      <c r="AN1" s="219" t="s">
        <v>1539</v>
      </c>
      <c r="AO1" s="228">
        <f>SUMIF(AL5:AL100,AN1,AO5:AO100)</f>
        <v>5</v>
      </c>
      <c r="AP1" s="229">
        <f>SUM(AP5:AP54)</f>
        <v>329600000</v>
      </c>
    </row>
    <row r="2" spans="1:52" x14ac:dyDescent="0.45">
      <c r="A2" s="3" t="s">
        <v>2</v>
      </c>
      <c r="B2" s="3" t="s">
        <v>2</v>
      </c>
      <c r="C2" s="3" t="s">
        <v>5</v>
      </c>
      <c r="D2" s="3" t="s">
        <v>5</v>
      </c>
      <c r="E2" s="3" t="s">
        <v>5</v>
      </c>
      <c r="F2" s="3" t="s">
        <v>4</v>
      </c>
      <c r="G2" s="3" t="s">
        <v>4</v>
      </c>
      <c r="H2" s="1"/>
      <c r="I2" s="1"/>
      <c r="J2" s="1"/>
      <c r="K2" s="195"/>
      <c r="L2" s="195"/>
      <c r="M2" s="195">
        <f>M103/60/4</f>
        <v>95.885416666666671</v>
      </c>
      <c r="N2" s="195"/>
      <c r="O2" s="195"/>
      <c r="P2" s="195"/>
      <c r="Q2" s="195"/>
      <c r="AG2" s="209" t="s">
        <v>1540</v>
      </c>
      <c r="AH2" s="210">
        <f>SUMIF(AG5:AG100,AG2,AJ5:AJ100)</f>
        <v>2</v>
      </c>
      <c r="AI2" s="210" t="s">
        <v>801</v>
      </c>
      <c r="AJ2" s="211">
        <f>SUMIF(AG5:AG100,AI2,AJ5:AJ100)</f>
        <v>0</v>
      </c>
      <c r="AK2" s="220">
        <f>AK1/500000</f>
        <v>65.92</v>
      </c>
      <c r="AL2" s="221" t="s">
        <v>1540</v>
      </c>
      <c r="AM2" s="222">
        <f>SUMIF(AL5:AL100,AL2,AO5:AO100)</f>
        <v>0</v>
      </c>
      <c r="AN2" s="222" t="s">
        <v>801</v>
      </c>
      <c r="AO2" s="230">
        <f>SUMIF(AL5:AL100,AN2,AO5:AO100)</f>
        <v>0</v>
      </c>
      <c r="AP2" s="229">
        <f>AP1/500000</f>
        <v>659.2</v>
      </c>
    </row>
    <row r="3" spans="1:52" x14ac:dyDescent="0.45">
      <c r="A3" s="3" t="s">
        <v>1541</v>
      </c>
      <c r="B3" s="3" t="s">
        <v>1542</v>
      </c>
      <c r="C3" s="3" t="s">
        <v>1543</v>
      </c>
      <c r="D3" s="3" t="s">
        <v>1544</v>
      </c>
      <c r="E3" s="3" t="s">
        <v>1545</v>
      </c>
      <c r="F3" s="3" t="s">
        <v>1546</v>
      </c>
      <c r="G3" s="3" t="s">
        <v>1547</v>
      </c>
      <c r="H3" s="1"/>
      <c r="I3" s="1"/>
      <c r="J3" s="1"/>
      <c r="K3" s="17"/>
      <c r="L3" s="2" t="s">
        <v>1548</v>
      </c>
      <c r="M3" s="2">
        <v>6</v>
      </c>
      <c r="S3" s="9" t="s">
        <v>1379</v>
      </c>
      <c r="W3" s="9" t="s">
        <v>1381</v>
      </c>
      <c r="AA3" s="9" t="s">
        <v>1383</v>
      </c>
      <c r="AG3" s="212" t="s">
        <v>1549</v>
      </c>
      <c r="AH3" s="213">
        <f>SUMIF(AG5:AG100,AG3,AJ5:AJ100)</f>
        <v>1</v>
      </c>
      <c r="AI3" s="213" t="s">
        <v>103</v>
      </c>
      <c r="AJ3" s="214">
        <f>SUMIF(AG5:AG100,AI3,AJ5:AJ100)</f>
        <v>15780000</v>
      </c>
      <c r="AK3" s="223"/>
      <c r="AL3" s="224" t="s">
        <v>1549</v>
      </c>
      <c r="AM3" s="225">
        <f>SUMIF(AL5:AL100,AL3,AO5:AO100)</f>
        <v>11</v>
      </c>
      <c r="AN3" s="225" t="s">
        <v>103</v>
      </c>
      <c r="AO3" s="231">
        <f>SUMIF(AL5:AL100,AN3,AO5:AO100)</f>
        <v>152800000</v>
      </c>
      <c r="AP3" s="229"/>
      <c r="AQ3" s="2">
        <f>AP1/100000</f>
        <v>3296</v>
      </c>
      <c r="AT3" s="17" t="s">
        <v>1550</v>
      </c>
    </row>
    <row r="4" spans="1:52" ht="80.5" x14ac:dyDescent="0.45">
      <c r="A4" s="4" t="s">
        <v>1551</v>
      </c>
      <c r="B4" s="4" t="s">
        <v>1552</v>
      </c>
      <c r="C4" s="12" t="s">
        <v>1553</v>
      </c>
      <c r="D4" s="4" t="s">
        <v>1554</v>
      </c>
      <c r="E4" s="4" t="s">
        <v>1554</v>
      </c>
      <c r="F4" s="193" t="s">
        <v>1555</v>
      </c>
      <c r="G4" s="194" t="s">
        <v>1556</v>
      </c>
      <c r="H4" s="1"/>
      <c r="I4" s="1"/>
      <c r="J4" s="1"/>
      <c r="L4" s="70" t="s">
        <v>1557</v>
      </c>
      <c r="M4" s="70" t="s">
        <v>1558</v>
      </c>
      <c r="N4" s="7" t="s">
        <v>1559</v>
      </c>
      <c r="O4" s="70" t="s">
        <v>1560</v>
      </c>
      <c r="P4" s="70" t="s">
        <v>1561</v>
      </c>
      <c r="S4" s="197" t="s">
        <v>1562</v>
      </c>
      <c r="T4" s="198" t="s">
        <v>1563</v>
      </c>
      <c r="U4" s="198" t="s">
        <v>1482</v>
      </c>
      <c r="V4" s="199" t="s">
        <v>1564</v>
      </c>
      <c r="W4" s="200" t="s">
        <v>1562</v>
      </c>
      <c r="X4" s="201" t="s">
        <v>1563</v>
      </c>
      <c r="Y4" s="201" t="s">
        <v>1482</v>
      </c>
      <c r="Z4" s="202" t="s">
        <v>1564</v>
      </c>
      <c r="AA4" s="203" t="s">
        <v>1562</v>
      </c>
      <c r="AB4" s="204" t="s">
        <v>1563</v>
      </c>
      <c r="AC4" s="204" t="s">
        <v>1482</v>
      </c>
      <c r="AD4" s="205" t="s">
        <v>1564</v>
      </c>
      <c r="AE4" s="2"/>
      <c r="AG4" s="215" t="s">
        <v>1565</v>
      </c>
      <c r="AH4" s="216" t="s">
        <v>1563</v>
      </c>
      <c r="AI4" s="216" t="s">
        <v>1482</v>
      </c>
      <c r="AJ4" s="216" t="s">
        <v>1564</v>
      </c>
      <c r="AK4" s="216" t="s">
        <v>989</v>
      </c>
      <c r="AL4" s="226" t="s">
        <v>1566</v>
      </c>
      <c r="AM4" s="227" t="s">
        <v>1563</v>
      </c>
      <c r="AN4" s="227" t="s">
        <v>1482</v>
      </c>
      <c r="AO4" s="232" t="s">
        <v>1564</v>
      </c>
      <c r="AP4" s="233" t="s">
        <v>989</v>
      </c>
      <c r="AT4" s="2">
        <f>'抽奖|MoonBless'!DN4</f>
        <v>0</v>
      </c>
      <c r="AU4" s="2" t="str">
        <f>'抽奖|MoonBless'!DO4</f>
        <v>人民币价值</v>
      </c>
      <c r="AV4" s="2" t="str">
        <f>'抽奖|MoonBless'!DP4</f>
        <v>价值
钻石价值</v>
      </c>
      <c r="AW4" s="2" t="str">
        <f>'抽奖|MoonBless'!DQ4</f>
        <v>物品类型</v>
      </c>
      <c r="AX4" s="2" t="str">
        <f>'抽奖|MoonBless'!DR4</f>
        <v>id</v>
      </c>
      <c r="AY4" s="2" t="str">
        <f>'抽奖|MoonBless'!DS4</f>
        <v>价值加成</v>
      </c>
      <c r="AZ4" s="2" t="s">
        <v>989</v>
      </c>
    </row>
    <row r="5" spans="1:52" x14ac:dyDescent="0.45">
      <c r="A5" s="2">
        <v>1</v>
      </c>
      <c r="B5" s="2">
        <v>520</v>
      </c>
      <c r="C5" s="1" t="str">
        <f>T5&amp;"|"&amp;U5&amp;"|"&amp;V5</f>
        <v>1|1|4</v>
      </c>
      <c r="D5" s="1" t="str">
        <f>X5&amp;"|"&amp;Y5&amp;"|"&amp;Z5</f>
        <v>2|1001|1</v>
      </c>
      <c r="E5" s="1" t="str">
        <f>AB5&amp;"|"&amp;AC5&amp;"|"&amp;AD5</f>
        <v>2|1002|1</v>
      </c>
      <c r="F5" s="1" t="str">
        <f>TRIM(IF(AG5&lt;&gt;"",AH5&amp;"|"&amp;AI5&amp;"|"&amp;AJ5,""))</f>
        <v/>
      </c>
      <c r="G5" s="1" t="str">
        <f>TRIM(IF(OR(AL5="",AL5=0),"",AM5&amp;"|"&amp;AN5&amp;"|"&amp;AO5))</f>
        <v/>
      </c>
      <c r="H5" s="1"/>
      <c r="I5" s="196" t="s">
        <v>1567</v>
      </c>
      <c r="J5" s="1"/>
      <c r="L5" s="2">
        <v>1.5</v>
      </c>
      <c r="M5" s="2">
        <f>SUM($L$5:L5)</f>
        <v>1.5</v>
      </c>
      <c r="N5" s="2">
        <v>0.96</v>
      </c>
      <c r="O5" s="2">
        <f t="shared" ref="O5:O36" si="0">$M$3*N5*60</f>
        <v>345.59999999999997</v>
      </c>
      <c r="P5" s="2">
        <f>ROUND(L5*O5/10,0)*10</f>
        <v>520</v>
      </c>
      <c r="S5" s="9" t="s">
        <v>738</v>
      </c>
      <c r="T5" s="9">
        <f t="shared" ref="T5:T44" si="1">VLOOKUP(S5,AT:AY,4,0)</f>
        <v>1</v>
      </c>
      <c r="U5" s="9">
        <f t="shared" ref="U5:U44" si="2">VLOOKUP(S5,AT:AY,5,0)</f>
        <v>1</v>
      </c>
      <c r="V5" s="146">
        <f>A5*2+2</f>
        <v>4</v>
      </c>
      <c r="W5" s="9" t="s">
        <v>756</v>
      </c>
      <c r="X5" s="9">
        <f t="shared" ref="X5:X44" si="3">VLOOKUP(W5,AT:AY,4,0)</f>
        <v>2</v>
      </c>
      <c r="Y5" s="9">
        <f t="shared" ref="Y5:Y44" si="4">VLOOKUP(W5,AT:AY,5,0)</f>
        <v>1001</v>
      </c>
      <c r="Z5" s="9">
        <v>1</v>
      </c>
      <c r="AA5" s="9" t="s">
        <v>760</v>
      </c>
      <c r="AB5" s="9">
        <f t="shared" ref="AB5:AB44" si="5">VLOOKUP(AA5,AT:AY,4,0)</f>
        <v>2</v>
      </c>
      <c r="AC5" s="9">
        <f t="shared" ref="AC5:AC44" si="6">VLOOKUP(AA5,AT:AY,5,0)</f>
        <v>1002</v>
      </c>
      <c r="AD5" s="9">
        <f>IF(AA5="狂暴",ROUNDUP(Z5/2,0),Z5)</f>
        <v>1</v>
      </c>
      <c r="AF5" s="2">
        <v>1</v>
      </c>
      <c r="AH5" s="2" t="str">
        <f t="shared" ref="AH5:AH54" si="7">VLOOKUP(AG5,AT:AY,4,0)</f>
        <v>物品类型</v>
      </c>
      <c r="AI5" s="2" t="str">
        <f t="shared" ref="AI5:AI54" si="8">VLOOKUP(AG5,AT:AY,5,0)</f>
        <v>id</v>
      </c>
      <c r="AJ5" s="2" t="s">
        <v>1568</v>
      </c>
      <c r="AK5" s="2">
        <f>IF(AG5&lt;&gt;"",AJ5*VLOOKUP(AG5,AT:AZ,7,0),0)</f>
        <v>0</v>
      </c>
      <c r="AL5" s="2">
        <f>AG5</f>
        <v>0</v>
      </c>
      <c r="AM5" s="2" t="str">
        <f t="shared" ref="AM5:AM54" si="9">VLOOKUP(AL5,AT:AY,4,0)</f>
        <v>物品类型</v>
      </c>
      <c r="AN5" s="2" t="str">
        <f t="shared" ref="AN5:AN54" si="10">VLOOKUP(AL5,AT:AY,5,0)</f>
        <v>id</v>
      </c>
      <c r="AO5" s="234"/>
      <c r="AP5" s="2">
        <f>IF(OR(AL5=0,AL5=""),0,AO5*VLOOKUP(AL5,AT:AZ,7,0))</f>
        <v>0</v>
      </c>
      <c r="AT5" s="2" t="str">
        <f>'抽奖|MoonBless'!DN5</f>
        <v>人民币</v>
      </c>
      <c r="AU5" s="2">
        <f>'抽奖|MoonBless'!DO5</f>
        <v>1</v>
      </c>
      <c r="AV5" s="2">
        <f>'抽奖|MoonBless'!DP5</f>
        <v>10</v>
      </c>
      <c r="AW5" s="2">
        <f>'抽奖|MoonBless'!DQ5</f>
        <v>1</v>
      </c>
      <c r="AX5" s="2">
        <f>'抽奖|MoonBless'!DR5</f>
        <v>0</v>
      </c>
      <c r="AY5" s="2">
        <f>'抽奖|MoonBless'!DS5</f>
        <v>1</v>
      </c>
      <c r="AZ5" s="2">
        <f>AU5/$AU$7</f>
        <v>199999.99999999997</v>
      </c>
    </row>
    <row r="6" spans="1:52" x14ac:dyDescent="0.45">
      <c r="A6" s="2">
        <v>2</v>
      </c>
      <c r="B6" s="2">
        <v>690</v>
      </c>
      <c r="C6" s="1" t="str">
        <f t="shared" ref="C6:C69" si="11">T6&amp;"|"&amp;U6&amp;"|"&amp;V6</f>
        <v>1|1|6</v>
      </c>
      <c r="D6" s="1" t="str">
        <f t="shared" ref="D6:D44" si="12">X6&amp;"|"&amp;Y6&amp;"|"&amp;Z6</f>
        <v>2|1002|1</v>
      </c>
      <c r="E6" s="1" t="str">
        <f t="shared" ref="E6:E44" si="13">AB6&amp;"|"&amp;AC6&amp;"|"&amp;AD6</f>
        <v>2|1004|1</v>
      </c>
      <c r="F6" s="1" t="str">
        <f t="shared" ref="F6:F44" si="14">TRIM(IF(AG6&lt;&gt;"",AH6&amp;"|"&amp;AI6&amp;"|"&amp;AJ6,""))</f>
        <v/>
      </c>
      <c r="G6" s="1" t="str">
        <f t="shared" ref="G6:G54" si="15">TRIM(IF(OR(AL6="",AL6=0),"",AM6&amp;"|"&amp;AN6&amp;"|"&amp;AO6))</f>
        <v/>
      </c>
      <c r="H6" s="1"/>
      <c r="I6" s="196" t="s">
        <v>1569</v>
      </c>
      <c r="J6" s="1"/>
      <c r="L6" s="2">
        <v>2</v>
      </c>
      <c r="M6" s="2">
        <f>SUM($L$5:L6)</f>
        <v>3.5</v>
      </c>
      <c r="N6" s="2">
        <v>0.96</v>
      </c>
      <c r="O6" s="2">
        <f t="shared" si="0"/>
        <v>345.59999999999997</v>
      </c>
      <c r="P6" s="2">
        <f t="shared" ref="P6:P69" si="16">ROUND(L6*O6/10,0)*10</f>
        <v>690</v>
      </c>
      <c r="S6" s="9" t="s">
        <v>738</v>
      </c>
      <c r="T6" s="9">
        <f t="shared" si="1"/>
        <v>1</v>
      </c>
      <c r="U6" s="9">
        <f t="shared" si="2"/>
        <v>1</v>
      </c>
      <c r="V6" s="146">
        <f t="shared" ref="V6:V69" si="17">A6*2+2</f>
        <v>6</v>
      </c>
      <c r="W6" s="9" t="s">
        <v>760</v>
      </c>
      <c r="X6" s="9">
        <f t="shared" si="3"/>
        <v>2</v>
      </c>
      <c r="Y6" s="9">
        <f t="shared" si="4"/>
        <v>1002</v>
      </c>
      <c r="Z6" s="9">
        <v>1</v>
      </c>
      <c r="AA6" s="9" t="s">
        <v>768</v>
      </c>
      <c r="AB6" s="9">
        <f t="shared" si="5"/>
        <v>2</v>
      </c>
      <c r="AC6" s="9">
        <f t="shared" si="6"/>
        <v>1004</v>
      </c>
      <c r="AD6" s="9">
        <f t="shared" ref="AD6:AD69" si="18">IF(AA6="狂暴",ROUNDUP(Z6/2,0),Z6)</f>
        <v>1</v>
      </c>
      <c r="AF6" s="2">
        <v>2</v>
      </c>
      <c r="AH6" s="2" t="str">
        <f t="shared" si="7"/>
        <v>物品类型</v>
      </c>
      <c r="AI6" s="2" t="str">
        <f t="shared" si="8"/>
        <v>id</v>
      </c>
      <c r="AJ6" s="2" t="s">
        <v>1568</v>
      </c>
      <c r="AK6" s="2">
        <f t="shared" ref="AK6:AK54" si="19">IF(AG6&lt;&gt;"",AJ6*VLOOKUP(AG6,AT:AZ,7,0),0)</f>
        <v>0</v>
      </c>
      <c r="AL6" s="2">
        <f t="shared" ref="AL6:AL43" si="20">AG6</f>
        <v>0</v>
      </c>
      <c r="AM6" s="2" t="str">
        <f t="shared" si="9"/>
        <v>物品类型</v>
      </c>
      <c r="AN6" s="2" t="str">
        <f t="shared" si="10"/>
        <v>id</v>
      </c>
      <c r="AO6" s="234"/>
      <c r="AP6" s="2">
        <f t="shared" ref="AP6:AP54" si="21">IF(OR(AL6=0,AL6=""),0,AO6*VLOOKUP(AL6,AT:AZ,7,0))</f>
        <v>0</v>
      </c>
      <c r="AT6" s="2" t="str">
        <f>'抽奖|MoonBless'!DN6</f>
        <v>钻石</v>
      </c>
      <c r="AU6" s="2">
        <f>'抽奖|MoonBless'!DO6</f>
        <v>0.1</v>
      </c>
      <c r="AV6" s="2">
        <f>'抽奖|MoonBless'!DP6</f>
        <v>1</v>
      </c>
      <c r="AW6" s="2">
        <f>'抽奖|MoonBless'!DQ6</f>
        <v>1</v>
      </c>
      <c r="AX6" s="2">
        <f>'抽奖|MoonBless'!DR6</f>
        <v>1</v>
      </c>
      <c r="AY6" s="2">
        <f>'抽奖|MoonBless'!DS6</f>
        <v>1</v>
      </c>
      <c r="AZ6" s="2">
        <f t="shared" ref="AZ6:AZ30" si="22">AU6/$AU$7</f>
        <v>20000</v>
      </c>
    </row>
    <row r="7" spans="1:52" x14ac:dyDescent="0.45">
      <c r="A7" s="2">
        <v>3</v>
      </c>
      <c r="B7" s="2">
        <v>860</v>
      </c>
      <c r="C7" s="1" t="str">
        <f t="shared" si="11"/>
        <v>1|1|8</v>
      </c>
      <c r="D7" s="1" t="str">
        <f t="shared" si="12"/>
        <v>2|1001|1</v>
      </c>
      <c r="E7" s="1" t="str">
        <f t="shared" si="13"/>
        <v>2|1004|1</v>
      </c>
      <c r="F7" s="1" t="str">
        <f t="shared" si="14"/>
        <v>2|1001|2</v>
      </c>
      <c r="G7" s="1" t="str">
        <f t="shared" si="15"/>
        <v>2|1001|20</v>
      </c>
      <c r="H7" s="1"/>
      <c r="I7" s="1"/>
      <c r="J7" s="1"/>
      <c r="L7" s="2">
        <v>2.5</v>
      </c>
      <c r="M7" s="2">
        <f>SUM($L$5:L7)</f>
        <v>6</v>
      </c>
      <c r="N7" s="2">
        <v>0.96</v>
      </c>
      <c r="O7" s="2">
        <f t="shared" si="0"/>
        <v>345.59999999999997</v>
      </c>
      <c r="P7" s="2">
        <f t="shared" si="16"/>
        <v>860</v>
      </c>
      <c r="S7" s="9" t="s">
        <v>738</v>
      </c>
      <c r="T7" s="9">
        <f t="shared" si="1"/>
        <v>1</v>
      </c>
      <c r="U7" s="9">
        <f t="shared" si="2"/>
        <v>1</v>
      </c>
      <c r="V7" s="146">
        <f t="shared" si="17"/>
        <v>8</v>
      </c>
      <c r="W7" s="9" t="s">
        <v>756</v>
      </c>
      <c r="X7" s="9">
        <f t="shared" si="3"/>
        <v>2</v>
      </c>
      <c r="Y7" s="9">
        <f t="shared" si="4"/>
        <v>1001</v>
      </c>
      <c r="Z7" s="9">
        <v>1</v>
      </c>
      <c r="AA7" s="9" t="s">
        <v>768</v>
      </c>
      <c r="AB7" s="9">
        <f t="shared" si="5"/>
        <v>2</v>
      </c>
      <c r="AC7" s="9">
        <f t="shared" si="6"/>
        <v>1004</v>
      </c>
      <c r="AD7" s="9">
        <f t="shared" si="18"/>
        <v>1</v>
      </c>
      <c r="AF7" s="47">
        <v>3</v>
      </c>
      <c r="AG7" s="2" t="s">
        <v>756</v>
      </c>
      <c r="AH7" s="2">
        <f t="shared" si="7"/>
        <v>2</v>
      </c>
      <c r="AI7" s="2">
        <f t="shared" si="8"/>
        <v>1001</v>
      </c>
      <c r="AJ7" s="2">
        <v>2</v>
      </c>
      <c r="AK7" s="2">
        <f t="shared" si="19"/>
        <v>80000</v>
      </c>
      <c r="AL7" s="2" t="str">
        <f t="shared" si="20"/>
        <v>锁定</v>
      </c>
      <c r="AM7" s="2">
        <f t="shared" si="9"/>
        <v>2</v>
      </c>
      <c r="AN7" s="2">
        <f t="shared" si="10"/>
        <v>1001</v>
      </c>
      <c r="AO7" s="234">
        <f>AJ7*10</f>
        <v>20</v>
      </c>
      <c r="AP7" s="2">
        <f t="shared" si="21"/>
        <v>800000</v>
      </c>
      <c r="AT7" s="2" t="str">
        <f>'抽奖|MoonBless'!DN7</f>
        <v>金币</v>
      </c>
      <c r="AU7" s="2">
        <f>'抽奖|MoonBless'!DO7</f>
        <v>5.0000000000000004E-6</v>
      </c>
      <c r="AV7" s="2">
        <f>'抽奖|MoonBless'!DP7</f>
        <v>5.0000000000000002E-5</v>
      </c>
      <c r="AW7" s="2">
        <f>'抽奖|MoonBless'!DQ7</f>
        <v>1</v>
      </c>
      <c r="AX7" s="2">
        <f>'抽奖|MoonBless'!DR7</f>
        <v>2</v>
      </c>
      <c r="AY7" s="2">
        <f>'抽奖|MoonBless'!DS7</f>
        <v>1</v>
      </c>
      <c r="AZ7" s="2">
        <f t="shared" si="22"/>
        <v>1</v>
      </c>
    </row>
    <row r="8" spans="1:52" x14ac:dyDescent="0.45">
      <c r="A8" s="2">
        <v>4</v>
      </c>
      <c r="B8" s="2">
        <v>1040</v>
      </c>
      <c r="C8" s="1" t="str">
        <f t="shared" si="11"/>
        <v>1|1|10</v>
      </c>
      <c r="D8" s="1" t="str">
        <f t="shared" si="12"/>
        <v>2|1002|2</v>
      </c>
      <c r="E8" s="1" t="str">
        <f t="shared" si="13"/>
        <v>2|1003|1</v>
      </c>
      <c r="F8" s="1" t="str">
        <f t="shared" si="14"/>
        <v/>
      </c>
      <c r="G8" s="1" t="str">
        <f t="shared" si="15"/>
        <v/>
      </c>
      <c r="H8" s="1"/>
      <c r="I8" s="1"/>
      <c r="J8" s="1"/>
      <c r="L8" s="2">
        <v>3</v>
      </c>
      <c r="M8" s="2">
        <f>SUM($L$5:L8)</f>
        <v>9</v>
      </c>
      <c r="N8" s="2">
        <v>0.96</v>
      </c>
      <c r="O8" s="2">
        <f t="shared" si="0"/>
        <v>345.59999999999997</v>
      </c>
      <c r="P8" s="2">
        <f t="shared" si="16"/>
        <v>1040</v>
      </c>
      <c r="S8" s="9" t="s">
        <v>738</v>
      </c>
      <c r="T8" s="9">
        <f t="shared" si="1"/>
        <v>1</v>
      </c>
      <c r="U8" s="9">
        <f t="shared" si="2"/>
        <v>1</v>
      </c>
      <c r="V8" s="146">
        <f t="shared" si="17"/>
        <v>10</v>
      </c>
      <c r="W8" s="9" t="s">
        <v>760</v>
      </c>
      <c r="X8" s="9">
        <f t="shared" si="3"/>
        <v>2</v>
      </c>
      <c r="Y8" s="9">
        <f t="shared" si="4"/>
        <v>1002</v>
      </c>
      <c r="Z8" s="9">
        <v>2</v>
      </c>
      <c r="AA8" s="9" t="s">
        <v>764</v>
      </c>
      <c r="AB8" s="9">
        <f t="shared" si="5"/>
        <v>2</v>
      </c>
      <c r="AC8" s="9">
        <f t="shared" si="6"/>
        <v>1003</v>
      </c>
      <c r="AD8" s="9">
        <f t="shared" si="18"/>
        <v>1</v>
      </c>
      <c r="AF8" s="2">
        <v>4</v>
      </c>
      <c r="AH8" s="2" t="str">
        <f t="shared" si="7"/>
        <v>物品类型</v>
      </c>
      <c r="AI8" s="2" t="str">
        <f t="shared" si="8"/>
        <v>id</v>
      </c>
      <c r="AJ8" s="2" t="s">
        <v>1568</v>
      </c>
      <c r="AK8" s="2">
        <f t="shared" si="19"/>
        <v>0</v>
      </c>
      <c r="AL8" s="2">
        <f t="shared" si="20"/>
        <v>0</v>
      </c>
      <c r="AM8" s="2" t="str">
        <f t="shared" si="9"/>
        <v>物品类型</v>
      </c>
      <c r="AN8" s="2" t="str">
        <f t="shared" si="10"/>
        <v>id</v>
      </c>
      <c r="AO8" s="234"/>
      <c r="AP8" s="2">
        <f t="shared" si="21"/>
        <v>0</v>
      </c>
      <c r="AT8" s="2" t="str">
        <f>'抽奖|MoonBless'!DN8</f>
        <v>锁定</v>
      </c>
      <c r="AU8" s="2">
        <f>'抽奖|MoonBless'!DO8</f>
        <v>0.2</v>
      </c>
      <c r="AV8" s="2">
        <f>'抽奖|MoonBless'!DP8</f>
        <v>2</v>
      </c>
      <c r="AW8" s="2">
        <f>'抽奖|MoonBless'!DQ8</f>
        <v>2</v>
      </c>
      <c r="AX8" s="2">
        <f>'抽奖|MoonBless'!DR8</f>
        <v>1001</v>
      </c>
      <c r="AY8" s="2">
        <f>'抽奖|MoonBless'!DS8</f>
        <v>1</v>
      </c>
      <c r="AZ8" s="2">
        <f t="shared" si="22"/>
        <v>40000</v>
      </c>
    </row>
    <row r="9" spans="1:52" x14ac:dyDescent="0.45">
      <c r="A9" s="2">
        <v>5</v>
      </c>
      <c r="B9" s="2">
        <v>1210</v>
      </c>
      <c r="C9" s="1" t="str">
        <f t="shared" si="11"/>
        <v>1|1|12</v>
      </c>
      <c r="D9" s="1" t="str">
        <f t="shared" si="12"/>
        <v>2|1001|2</v>
      </c>
      <c r="E9" s="1" t="str">
        <f t="shared" si="13"/>
        <v>2|1002|2</v>
      </c>
      <c r="F9" s="1" t="str">
        <f t="shared" si="14"/>
        <v>1|2|80000</v>
      </c>
      <c r="G9" s="1" t="str">
        <f t="shared" si="15"/>
        <v>1|2|800000</v>
      </c>
      <c r="H9" s="1"/>
      <c r="I9" s="1"/>
      <c r="J9" s="1"/>
      <c r="L9" s="2">
        <v>3.5</v>
      </c>
      <c r="M9" s="2">
        <f>SUM($L$5:L9)</f>
        <v>12.5</v>
      </c>
      <c r="N9" s="2">
        <v>0.96</v>
      </c>
      <c r="O9" s="2">
        <f t="shared" si="0"/>
        <v>345.59999999999997</v>
      </c>
      <c r="P9" s="2">
        <f t="shared" si="16"/>
        <v>1210</v>
      </c>
      <c r="S9" s="9" t="s">
        <v>738</v>
      </c>
      <c r="T9" s="9">
        <f t="shared" si="1"/>
        <v>1</v>
      </c>
      <c r="U9" s="9">
        <f t="shared" si="2"/>
        <v>1</v>
      </c>
      <c r="V9" s="146">
        <f t="shared" si="17"/>
        <v>12</v>
      </c>
      <c r="W9" s="9" t="s">
        <v>756</v>
      </c>
      <c r="X9" s="9">
        <f t="shared" si="3"/>
        <v>2</v>
      </c>
      <c r="Y9" s="9">
        <f t="shared" si="4"/>
        <v>1001</v>
      </c>
      <c r="Z9" s="9">
        <v>2</v>
      </c>
      <c r="AA9" s="9" t="s">
        <v>760</v>
      </c>
      <c r="AB9" s="9">
        <f t="shared" si="5"/>
        <v>2</v>
      </c>
      <c r="AC9" s="9">
        <f t="shared" si="6"/>
        <v>1002</v>
      </c>
      <c r="AD9" s="9">
        <f t="shared" si="18"/>
        <v>2</v>
      </c>
      <c r="AF9" s="47">
        <v>5</v>
      </c>
      <c r="AG9" s="2" t="s">
        <v>103</v>
      </c>
      <c r="AH9" s="2">
        <f t="shared" si="7"/>
        <v>1</v>
      </c>
      <c r="AI9" s="2">
        <f t="shared" si="8"/>
        <v>2</v>
      </c>
      <c r="AJ9" s="2">
        <v>80000</v>
      </c>
      <c r="AK9" s="2">
        <f t="shared" si="19"/>
        <v>80000</v>
      </c>
      <c r="AL9" s="2" t="str">
        <f t="shared" si="20"/>
        <v>金币</v>
      </c>
      <c r="AM9" s="2">
        <f t="shared" si="9"/>
        <v>1</v>
      </c>
      <c r="AN9" s="2">
        <f t="shared" si="10"/>
        <v>2</v>
      </c>
      <c r="AO9" s="234">
        <f>AJ9*10</f>
        <v>800000</v>
      </c>
      <c r="AP9" s="2">
        <f t="shared" si="21"/>
        <v>800000</v>
      </c>
      <c r="AT9" s="2" t="str">
        <f>'抽奖|MoonBless'!DN9</f>
        <v>冰冻</v>
      </c>
      <c r="AU9" s="2">
        <f>'抽奖|MoonBless'!DO9</f>
        <v>0.5</v>
      </c>
      <c r="AV9" s="2">
        <f>'抽奖|MoonBless'!DP9</f>
        <v>5</v>
      </c>
      <c r="AW9" s="2">
        <f>'抽奖|MoonBless'!DQ9</f>
        <v>2</v>
      </c>
      <c r="AX9" s="2">
        <f>'抽奖|MoonBless'!DR9</f>
        <v>1002</v>
      </c>
      <c r="AY9" s="2">
        <f>'抽奖|MoonBless'!DS9</f>
        <v>1</v>
      </c>
      <c r="AZ9" s="2">
        <f t="shared" si="22"/>
        <v>99999.999999999985</v>
      </c>
    </row>
    <row r="10" spans="1:52" x14ac:dyDescent="0.45">
      <c r="A10" s="2">
        <v>6</v>
      </c>
      <c r="B10" s="2">
        <v>1380</v>
      </c>
      <c r="C10" s="1" t="str">
        <f t="shared" si="11"/>
        <v>1|1|14</v>
      </c>
      <c r="D10" s="1" t="str">
        <f t="shared" si="12"/>
        <v>2|1002|2</v>
      </c>
      <c r="E10" s="1" t="str">
        <f t="shared" si="13"/>
        <v>2|1002|2</v>
      </c>
      <c r="F10" s="1" t="str">
        <f t="shared" si="14"/>
        <v/>
      </c>
      <c r="G10" s="1" t="str">
        <f t="shared" si="15"/>
        <v/>
      </c>
      <c r="H10" s="1"/>
      <c r="I10" s="1"/>
      <c r="J10" s="1"/>
      <c r="L10" s="2">
        <v>4</v>
      </c>
      <c r="M10" s="2">
        <f>SUM($L$5:L10)</f>
        <v>16.5</v>
      </c>
      <c r="N10" s="2">
        <v>0.96</v>
      </c>
      <c r="O10" s="2">
        <f t="shared" si="0"/>
        <v>345.59999999999997</v>
      </c>
      <c r="P10" s="2">
        <f t="shared" si="16"/>
        <v>1380</v>
      </c>
      <c r="S10" s="9" t="s">
        <v>738</v>
      </c>
      <c r="T10" s="9">
        <f t="shared" si="1"/>
        <v>1</v>
      </c>
      <c r="U10" s="9">
        <f t="shared" si="2"/>
        <v>1</v>
      </c>
      <c r="V10" s="146">
        <f t="shared" si="17"/>
        <v>14</v>
      </c>
      <c r="W10" s="9" t="s">
        <v>760</v>
      </c>
      <c r="X10" s="9">
        <f t="shared" si="3"/>
        <v>2</v>
      </c>
      <c r="Y10" s="9">
        <f t="shared" si="4"/>
        <v>1002</v>
      </c>
      <c r="Z10" s="9">
        <v>2</v>
      </c>
      <c r="AA10" s="9" t="s">
        <v>760</v>
      </c>
      <c r="AB10" s="9">
        <f t="shared" si="5"/>
        <v>2</v>
      </c>
      <c r="AC10" s="9">
        <f t="shared" si="6"/>
        <v>1002</v>
      </c>
      <c r="AD10" s="9">
        <f t="shared" si="18"/>
        <v>2</v>
      </c>
      <c r="AF10" s="2">
        <v>6</v>
      </c>
      <c r="AH10" s="2" t="str">
        <f t="shared" si="7"/>
        <v>物品类型</v>
      </c>
      <c r="AI10" s="2" t="str">
        <f t="shared" si="8"/>
        <v>id</v>
      </c>
      <c r="AJ10" s="2" t="s">
        <v>1568</v>
      </c>
      <c r="AK10" s="2">
        <f t="shared" si="19"/>
        <v>0</v>
      </c>
      <c r="AL10" s="2">
        <f t="shared" si="20"/>
        <v>0</v>
      </c>
      <c r="AM10" s="2" t="str">
        <f t="shared" si="9"/>
        <v>物品类型</v>
      </c>
      <c r="AN10" s="2" t="str">
        <f t="shared" si="10"/>
        <v>id</v>
      </c>
      <c r="AO10" s="234"/>
      <c r="AP10" s="2">
        <f t="shared" si="21"/>
        <v>0</v>
      </c>
      <c r="AT10" s="2" t="str">
        <f>'抽奖|MoonBless'!DN10</f>
        <v>狂暴</v>
      </c>
      <c r="AU10" s="2">
        <f>'抽奖|MoonBless'!DO10</f>
        <v>2</v>
      </c>
      <c r="AV10" s="2">
        <f>'抽奖|MoonBless'!DP10</f>
        <v>20</v>
      </c>
      <c r="AW10" s="2">
        <f>'抽奖|MoonBless'!DQ10</f>
        <v>2</v>
      </c>
      <c r="AX10" s="2">
        <f>'抽奖|MoonBless'!DR10</f>
        <v>1003</v>
      </c>
      <c r="AY10" s="2">
        <f>'抽奖|MoonBless'!DS10</f>
        <v>1</v>
      </c>
      <c r="AZ10" s="2">
        <f t="shared" si="22"/>
        <v>399999.99999999994</v>
      </c>
    </row>
    <row r="11" spans="1:52" x14ac:dyDescent="0.45">
      <c r="A11" s="2">
        <v>7</v>
      </c>
      <c r="B11" s="2">
        <v>1560</v>
      </c>
      <c r="C11" s="1" t="str">
        <f t="shared" si="11"/>
        <v>1|1|16</v>
      </c>
      <c r="D11" s="1" t="str">
        <f t="shared" si="12"/>
        <v>2|1001|2</v>
      </c>
      <c r="E11" s="1" t="str">
        <f t="shared" si="13"/>
        <v>2|1004|2</v>
      </c>
      <c r="F11" s="1" t="str">
        <f t="shared" si="14"/>
        <v/>
      </c>
      <c r="G11" s="1" t="str">
        <f t="shared" si="15"/>
        <v/>
      </c>
      <c r="H11" s="1"/>
      <c r="I11" s="1"/>
      <c r="J11" s="1"/>
      <c r="L11" s="2">
        <v>4.5</v>
      </c>
      <c r="M11" s="2">
        <f>SUM($L$5:L11)</f>
        <v>21</v>
      </c>
      <c r="N11" s="2">
        <v>0.96</v>
      </c>
      <c r="O11" s="2">
        <f t="shared" si="0"/>
        <v>345.59999999999997</v>
      </c>
      <c r="P11" s="2">
        <f t="shared" si="16"/>
        <v>1560</v>
      </c>
      <c r="S11" s="9" t="s">
        <v>738</v>
      </c>
      <c r="T11" s="9">
        <f t="shared" si="1"/>
        <v>1</v>
      </c>
      <c r="U11" s="9">
        <f t="shared" si="2"/>
        <v>1</v>
      </c>
      <c r="V11" s="146">
        <f t="shared" si="17"/>
        <v>16</v>
      </c>
      <c r="W11" s="9" t="s">
        <v>756</v>
      </c>
      <c r="X11" s="9">
        <f t="shared" si="3"/>
        <v>2</v>
      </c>
      <c r="Y11" s="9">
        <f t="shared" si="4"/>
        <v>1001</v>
      </c>
      <c r="Z11" s="9">
        <v>2</v>
      </c>
      <c r="AA11" s="9" t="s">
        <v>768</v>
      </c>
      <c r="AB11" s="9">
        <f t="shared" si="5"/>
        <v>2</v>
      </c>
      <c r="AC11" s="9">
        <f t="shared" si="6"/>
        <v>1004</v>
      </c>
      <c r="AD11" s="9">
        <f t="shared" si="18"/>
        <v>2</v>
      </c>
      <c r="AF11" s="2">
        <v>7</v>
      </c>
      <c r="AH11" s="2" t="str">
        <f t="shared" si="7"/>
        <v>物品类型</v>
      </c>
      <c r="AI11" s="2" t="str">
        <f t="shared" si="8"/>
        <v>id</v>
      </c>
      <c r="AJ11" s="2" t="s">
        <v>1568</v>
      </c>
      <c r="AK11" s="2">
        <f t="shared" si="19"/>
        <v>0</v>
      </c>
      <c r="AL11" s="2">
        <f t="shared" si="20"/>
        <v>0</v>
      </c>
      <c r="AM11" s="2" t="str">
        <f t="shared" si="9"/>
        <v>物品类型</v>
      </c>
      <c r="AN11" s="2" t="str">
        <f t="shared" si="10"/>
        <v>id</v>
      </c>
      <c r="AO11" s="234"/>
      <c r="AP11" s="2">
        <f t="shared" si="21"/>
        <v>0</v>
      </c>
      <c r="AT11" s="2" t="str">
        <f>'抽奖|MoonBless'!DN11</f>
        <v>召唤</v>
      </c>
      <c r="AU11" s="2">
        <f>'抽奖|MoonBless'!DO11</f>
        <v>0.2</v>
      </c>
      <c r="AV11" s="2">
        <f>'抽奖|MoonBless'!DP11</f>
        <v>2</v>
      </c>
      <c r="AW11" s="2">
        <f>'抽奖|MoonBless'!DQ11</f>
        <v>2</v>
      </c>
      <c r="AX11" s="2">
        <f>'抽奖|MoonBless'!DR11</f>
        <v>1004</v>
      </c>
      <c r="AY11" s="2">
        <f>'抽奖|MoonBless'!DS11</f>
        <v>1</v>
      </c>
      <c r="AZ11" s="2">
        <f t="shared" si="22"/>
        <v>40000</v>
      </c>
    </row>
    <row r="12" spans="1:52" x14ac:dyDescent="0.45">
      <c r="A12" s="2">
        <v>8</v>
      </c>
      <c r="B12" s="2">
        <v>1730</v>
      </c>
      <c r="C12" s="1" t="str">
        <f t="shared" si="11"/>
        <v>1|1|18</v>
      </c>
      <c r="D12" s="1" t="str">
        <f t="shared" si="12"/>
        <v>2|1002|2</v>
      </c>
      <c r="E12" s="1" t="str">
        <f t="shared" si="13"/>
        <v>2|1004|2</v>
      </c>
      <c r="F12" s="1" t="str">
        <f t="shared" si="14"/>
        <v>1|2|100000</v>
      </c>
      <c r="G12" s="1" t="str">
        <f t="shared" si="15"/>
        <v>1|2|1000000</v>
      </c>
      <c r="H12" s="1"/>
      <c r="I12" s="1"/>
      <c r="J12" s="1"/>
      <c r="L12" s="2">
        <v>5</v>
      </c>
      <c r="M12" s="2">
        <f>SUM($L$5:L12)</f>
        <v>26</v>
      </c>
      <c r="N12" s="2">
        <v>0.96</v>
      </c>
      <c r="O12" s="2">
        <f t="shared" si="0"/>
        <v>345.59999999999997</v>
      </c>
      <c r="P12" s="2">
        <f t="shared" si="16"/>
        <v>1730</v>
      </c>
      <c r="S12" s="9" t="s">
        <v>738</v>
      </c>
      <c r="T12" s="9">
        <f t="shared" si="1"/>
        <v>1</v>
      </c>
      <c r="U12" s="9">
        <f t="shared" si="2"/>
        <v>1</v>
      </c>
      <c r="V12" s="146">
        <f t="shared" si="17"/>
        <v>18</v>
      </c>
      <c r="W12" s="9" t="s">
        <v>760</v>
      </c>
      <c r="X12" s="9">
        <f t="shared" si="3"/>
        <v>2</v>
      </c>
      <c r="Y12" s="9">
        <f t="shared" si="4"/>
        <v>1002</v>
      </c>
      <c r="Z12" s="9">
        <v>2</v>
      </c>
      <c r="AA12" s="9" t="s">
        <v>768</v>
      </c>
      <c r="AB12" s="9">
        <f t="shared" si="5"/>
        <v>2</v>
      </c>
      <c r="AC12" s="9">
        <f t="shared" si="6"/>
        <v>1004</v>
      </c>
      <c r="AD12" s="9">
        <f t="shared" si="18"/>
        <v>2</v>
      </c>
      <c r="AF12" s="47">
        <v>8</v>
      </c>
      <c r="AG12" s="2" t="s">
        <v>103</v>
      </c>
      <c r="AH12" s="2">
        <f t="shared" si="7"/>
        <v>1</v>
      </c>
      <c r="AI12" s="2">
        <f t="shared" si="8"/>
        <v>2</v>
      </c>
      <c r="AJ12" s="2">
        <v>100000</v>
      </c>
      <c r="AK12" s="2">
        <f t="shared" si="19"/>
        <v>100000</v>
      </c>
      <c r="AL12" s="2" t="str">
        <f t="shared" si="20"/>
        <v>金币</v>
      </c>
      <c r="AM12" s="2">
        <f t="shared" si="9"/>
        <v>1</v>
      </c>
      <c r="AN12" s="2">
        <f t="shared" si="10"/>
        <v>2</v>
      </c>
      <c r="AO12" s="234">
        <f>AJ12*10</f>
        <v>1000000</v>
      </c>
      <c r="AP12" s="2">
        <f t="shared" si="21"/>
        <v>1000000</v>
      </c>
      <c r="AT12" s="2" t="str">
        <f>'抽奖|MoonBless'!DN12</f>
        <v>福卡</v>
      </c>
      <c r="AU12" s="2">
        <f>'抽奖|MoonBless'!DO12</f>
        <v>2.5000000000000001E-3</v>
      </c>
      <c r="AV12" s="2">
        <f>'抽奖|MoonBless'!DP12</f>
        <v>2.5000000000000001E-2</v>
      </c>
      <c r="AW12" s="2">
        <f>'抽奖|MoonBless'!DQ12</f>
        <v>2</v>
      </c>
      <c r="AX12" s="2">
        <f>'抽奖|MoonBless'!DR12</f>
        <v>1204</v>
      </c>
      <c r="AY12" s="2">
        <f>'抽奖|MoonBless'!DS12</f>
        <v>1</v>
      </c>
      <c r="AZ12" s="2">
        <f t="shared" si="22"/>
        <v>499.99999999999994</v>
      </c>
    </row>
    <row r="13" spans="1:52" x14ac:dyDescent="0.45">
      <c r="A13" s="2">
        <v>9</v>
      </c>
      <c r="B13" s="2">
        <v>1900</v>
      </c>
      <c r="C13" s="1" t="str">
        <f t="shared" si="11"/>
        <v>1|1|20</v>
      </c>
      <c r="D13" s="1" t="str">
        <f t="shared" si="12"/>
        <v>2|1001|3</v>
      </c>
      <c r="E13" s="1" t="str">
        <f t="shared" si="13"/>
        <v>2|1003|2</v>
      </c>
      <c r="F13" s="1" t="str">
        <f t="shared" si="14"/>
        <v/>
      </c>
      <c r="G13" s="1" t="str">
        <f t="shared" si="15"/>
        <v/>
      </c>
      <c r="H13" s="1"/>
      <c r="I13" s="1"/>
      <c r="J13" s="1"/>
      <c r="L13" s="2">
        <v>5.5</v>
      </c>
      <c r="M13" s="2">
        <f>SUM($L$5:L13)</f>
        <v>31.5</v>
      </c>
      <c r="N13" s="2">
        <v>0.96</v>
      </c>
      <c r="O13" s="2">
        <f t="shared" si="0"/>
        <v>345.59999999999997</v>
      </c>
      <c r="P13" s="2">
        <f t="shared" si="16"/>
        <v>1900</v>
      </c>
      <c r="S13" s="9" t="s">
        <v>738</v>
      </c>
      <c r="T13" s="9">
        <f t="shared" si="1"/>
        <v>1</v>
      </c>
      <c r="U13" s="9">
        <f t="shared" si="2"/>
        <v>1</v>
      </c>
      <c r="V13" s="146">
        <f t="shared" si="17"/>
        <v>20</v>
      </c>
      <c r="W13" s="9" t="s">
        <v>756</v>
      </c>
      <c r="X13" s="9">
        <f t="shared" si="3"/>
        <v>2</v>
      </c>
      <c r="Y13" s="9">
        <f t="shared" si="4"/>
        <v>1001</v>
      </c>
      <c r="Z13" s="9">
        <v>3</v>
      </c>
      <c r="AA13" s="9" t="s">
        <v>764</v>
      </c>
      <c r="AB13" s="9">
        <f t="shared" si="5"/>
        <v>2</v>
      </c>
      <c r="AC13" s="9">
        <f t="shared" si="6"/>
        <v>1003</v>
      </c>
      <c r="AD13" s="9">
        <f t="shared" si="18"/>
        <v>2</v>
      </c>
      <c r="AF13" s="2">
        <v>9</v>
      </c>
      <c r="AH13" s="2" t="str">
        <f t="shared" si="7"/>
        <v>物品类型</v>
      </c>
      <c r="AI13" s="2" t="str">
        <f t="shared" si="8"/>
        <v>id</v>
      </c>
      <c r="AJ13" s="2" t="s">
        <v>1568</v>
      </c>
      <c r="AK13" s="2">
        <f t="shared" si="19"/>
        <v>0</v>
      </c>
      <c r="AL13" s="2">
        <f t="shared" si="20"/>
        <v>0</v>
      </c>
      <c r="AM13" s="2" t="str">
        <f t="shared" si="9"/>
        <v>物品类型</v>
      </c>
      <c r="AN13" s="2" t="str">
        <f t="shared" si="10"/>
        <v>id</v>
      </c>
      <c r="AO13" s="234"/>
      <c r="AP13" s="2">
        <f t="shared" si="21"/>
        <v>0</v>
      </c>
      <c r="AT13" s="2" t="str">
        <f>'抽奖|MoonBless'!DN13</f>
        <v>超级武器1</v>
      </c>
      <c r="AU13" s="2">
        <f>'抽奖|MoonBless'!DO13</f>
        <v>5</v>
      </c>
      <c r="AV13" s="2">
        <f>'抽奖|MoonBless'!DP13</f>
        <v>50</v>
      </c>
      <c r="AW13" s="2">
        <f>'抽奖|MoonBless'!DQ13</f>
        <v>2</v>
      </c>
      <c r="AX13" s="2">
        <f>'抽奖|MoonBless'!DR13</f>
        <v>1005</v>
      </c>
      <c r="AY13" s="2">
        <f>'抽奖|MoonBless'!DS13</f>
        <v>1</v>
      </c>
      <c r="AZ13" s="2">
        <f t="shared" si="22"/>
        <v>999999.99999999988</v>
      </c>
    </row>
    <row r="14" spans="1:52" x14ac:dyDescent="0.45">
      <c r="A14" s="2">
        <v>10</v>
      </c>
      <c r="B14" s="2">
        <v>2070</v>
      </c>
      <c r="C14" s="1" t="str">
        <f t="shared" si="11"/>
        <v>1|1|22</v>
      </c>
      <c r="D14" s="1" t="str">
        <f t="shared" si="12"/>
        <v>2|1002|3</v>
      </c>
      <c r="E14" s="1" t="str">
        <f t="shared" si="13"/>
        <v>2|1004|3</v>
      </c>
      <c r="F14" s="1" t="str">
        <f t="shared" si="14"/>
        <v>2|1002|2</v>
      </c>
      <c r="G14" s="1" t="str">
        <f t="shared" si="15"/>
        <v>2|1002|20</v>
      </c>
      <c r="H14" s="1"/>
      <c r="I14" s="1"/>
      <c r="J14" s="1"/>
      <c r="L14" s="2">
        <v>6</v>
      </c>
      <c r="M14" s="2">
        <f>SUM($L$5:L14)</f>
        <v>37.5</v>
      </c>
      <c r="N14" s="2">
        <v>0.96</v>
      </c>
      <c r="O14" s="2">
        <f t="shared" si="0"/>
        <v>345.59999999999997</v>
      </c>
      <c r="P14" s="2">
        <f t="shared" si="16"/>
        <v>2070</v>
      </c>
      <c r="S14" s="9" t="s">
        <v>738</v>
      </c>
      <c r="T14" s="9">
        <f t="shared" si="1"/>
        <v>1</v>
      </c>
      <c r="U14" s="9">
        <f t="shared" si="2"/>
        <v>1</v>
      </c>
      <c r="V14" s="146">
        <f t="shared" si="17"/>
        <v>22</v>
      </c>
      <c r="W14" s="9" t="s">
        <v>760</v>
      </c>
      <c r="X14" s="9">
        <f t="shared" si="3"/>
        <v>2</v>
      </c>
      <c r="Y14" s="9">
        <f t="shared" si="4"/>
        <v>1002</v>
      </c>
      <c r="Z14" s="9">
        <v>3</v>
      </c>
      <c r="AA14" s="9" t="s">
        <v>768</v>
      </c>
      <c r="AB14" s="9">
        <f t="shared" si="5"/>
        <v>2</v>
      </c>
      <c r="AC14" s="9">
        <f t="shared" si="6"/>
        <v>1004</v>
      </c>
      <c r="AD14" s="9">
        <f t="shared" si="18"/>
        <v>3</v>
      </c>
      <c r="AF14" s="47">
        <v>10</v>
      </c>
      <c r="AG14" s="2" t="s">
        <v>760</v>
      </c>
      <c r="AH14" s="2">
        <f t="shared" si="7"/>
        <v>2</v>
      </c>
      <c r="AI14" s="2">
        <f t="shared" si="8"/>
        <v>1002</v>
      </c>
      <c r="AJ14" s="2">
        <v>2</v>
      </c>
      <c r="AK14" s="2">
        <f t="shared" si="19"/>
        <v>199999.99999999997</v>
      </c>
      <c r="AL14" s="2" t="str">
        <f t="shared" si="20"/>
        <v>冰冻</v>
      </c>
      <c r="AM14" s="2">
        <f t="shared" si="9"/>
        <v>2</v>
      </c>
      <c r="AN14" s="2">
        <f t="shared" si="10"/>
        <v>1002</v>
      </c>
      <c r="AO14" s="234">
        <f>AJ14*10</f>
        <v>20</v>
      </c>
      <c r="AP14" s="2">
        <f t="shared" si="21"/>
        <v>1999999.9999999998</v>
      </c>
      <c r="AT14" s="2" t="str">
        <f>'抽奖|MoonBless'!DN14</f>
        <v>超级武器2</v>
      </c>
      <c r="AU14" s="2">
        <f>'抽奖|MoonBless'!DO14</f>
        <v>10</v>
      </c>
      <c r="AV14" s="2">
        <f>'抽奖|MoonBless'!DP14</f>
        <v>100</v>
      </c>
      <c r="AW14" s="2">
        <f>'抽奖|MoonBless'!DQ14</f>
        <v>2</v>
      </c>
      <c r="AX14" s="2">
        <f>'抽奖|MoonBless'!DR14</f>
        <v>1006</v>
      </c>
      <c r="AY14" s="2">
        <f>'抽奖|MoonBless'!DS14</f>
        <v>1</v>
      </c>
      <c r="AZ14" s="2">
        <f t="shared" si="22"/>
        <v>1999999.9999999998</v>
      </c>
    </row>
    <row r="15" spans="1:52" x14ac:dyDescent="0.45">
      <c r="A15" s="2">
        <v>11</v>
      </c>
      <c r="B15" s="2">
        <v>3460</v>
      </c>
      <c r="C15" s="1" t="str">
        <f t="shared" si="11"/>
        <v>1|1|24</v>
      </c>
      <c r="D15" s="1" t="str">
        <f t="shared" si="12"/>
        <v>2|1001|3</v>
      </c>
      <c r="E15" s="1" t="str">
        <f t="shared" si="13"/>
        <v>2|1002|3</v>
      </c>
      <c r="F15" s="1" t="str">
        <f t="shared" si="14"/>
        <v/>
      </c>
      <c r="G15" s="1" t="str">
        <f t="shared" si="15"/>
        <v/>
      </c>
      <c r="H15" s="1"/>
      <c r="I15" s="1"/>
      <c r="J15" s="1"/>
      <c r="L15" s="2">
        <v>10</v>
      </c>
      <c r="M15" s="2">
        <f>SUM($L$5:L15)</f>
        <v>47.5</v>
      </c>
      <c r="N15" s="2">
        <v>0.96</v>
      </c>
      <c r="O15" s="2">
        <f t="shared" si="0"/>
        <v>345.59999999999997</v>
      </c>
      <c r="P15" s="2">
        <f t="shared" si="16"/>
        <v>3460</v>
      </c>
      <c r="S15" s="9" t="s">
        <v>738</v>
      </c>
      <c r="T15" s="9">
        <f t="shared" si="1"/>
        <v>1</v>
      </c>
      <c r="U15" s="9">
        <f t="shared" si="2"/>
        <v>1</v>
      </c>
      <c r="V15" s="146">
        <f t="shared" si="17"/>
        <v>24</v>
      </c>
      <c r="W15" s="9" t="s">
        <v>756</v>
      </c>
      <c r="X15" s="9">
        <f t="shared" si="3"/>
        <v>2</v>
      </c>
      <c r="Y15" s="9">
        <f t="shared" si="4"/>
        <v>1001</v>
      </c>
      <c r="Z15" s="9">
        <v>3</v>
      </c>
      <c r="AA15" s="9" t="s">
        <v>760</v>
      </c>
      <c r="AB15" s="9">
        <f t="shared" si="5"/>
        <v>2</v>
      </c>
      <c r="AC15" s="9">
        <f t="shared" si="6"/>
        <v>1002</v>
      </c>
      <c r="AD15" s="9">
        <f t="shared" si="18"/>
        <v>3</v>
      </c>
      <c r="AF15" s="2">
        <v>11</v>
      </c>
      <c r="AH15" s="2" t="str">
        <f t="shared" si="7"/>
        <v>物品类型</v>
      </c>
      <c r="AI15" s="2" t="str">
        <f t="shared" si="8"/>
        <v>id</v>
      </c>
      <c r="AJ15" s="2" t="s">
        <v>1568</v>
      </c>
      <c r="AK15" s="2">
        <f t="shared" si="19"/>
        <v>0</v>
      </c>
      <c r="AL15" s="2">
        <f t="shared" si="20"/>
        <v>0</v>
      </c>
      <c r="AM15" s="2" t="str">
        <f t="shared" si="9"/>
        <v>物品类型</v>
      </c>
      <c r="AN15" s="2" t="str">
        <f t="shared" si="10"/>
        <v>id</v>
      </c>
      <c r="AO15" s="234"/>
      <c r="AP15" s="2">
        <f t="shared" si="21"/>
        <v>0</v>
      </c>
      <c r="AT15" s="2" t="str">
        <f>'抽奖|MoonBless'!DN15</f>
        <v>超级武器3</v>
      </c>
      <c r="AU15" s="2">
        <f>'抽奖|MoonBless'!DO15</f>
        <v>25</v>
      </c>
      <c r="AV15" s="2">
        <f>'抽奖|MoonBless'!DP15</f>
        <v>250</v>
      </c>
      <c r="AW15" s="2">
        <f>'抽奖|MoonBless'!DQ15</f>
        <v>2</v>
      </c>
      <c r="AX15" s="2">
        <f>'抽奖|MoonBless'!DR15</f>
        <v>1007</v>
      </c>
      <c r="AY15" s="2">
        <f>'抽奖|MoonBless'!DS15</f>
        <v>1</v>
      </c>
      <c r="AZ15" s="2">
        <f t="shared" si="22"/>
        <v>5000000</v>
      </c>
    </row>
    <row r="16" spans="1:52" x14ac:dyDescent="0.45">
      <c r="A16" s="2">
        <v>12</v>
      </c>
      <c r="B16" s="2">
        <v>5180</v>
      </c>
      <c r="C16" s="1" t="str">
        <f t="shared" si="11"/>
        <v>1|1|26</v>
      </c>
      <c r="D16" s="1" t="str">
        <f t="shared" si="12"/>
        <v>2|1002|3</v>
      </c>
      <c r="E16" s="1" t="str">
        <f t="shared" si="13"/>
        <v>2|1004|3</v>
      </c>
      <c r="F16" s="1" t="str">
        <f t="shared" si="14"/>
        <v/>
      </c>
      <c r="G16" s="1" t="str">
        <f t="shared" si="15"/>
        <v/>
      </c>
      <c r="H16" s="1"/>
      <c r="I16" s="1"/>
      <c r="J16" s="1"/>
      <c r="L16" s="2">
        <v>15</v>
      </c>
      <c r="M16" s="2">
        <f>SUM($L$5:L16)</f>
        <v>62.5</v>
      </c>
      <c r="N16" s="2">
        <v>0.96</v>
      </c>
      <c r="O16" s="2">
        <f t="shared" si="0"/>
        <v>345.59999999999997</v>
      </c>
      <c r="P16" s="2">
        <f t="shared" si="16"/>
        <v>5180</v>
      </c>
      <c r="S16" s="9" t="s">
        <v>738</v>
      </c>
      <c r="T16" s="9">
        <f t="shared" si="1"/>
        <v>1</v>
      </c>
      <c r="U16" s="9">
        <f t="shared" si="2"/>
        <v>1</v>
      </c>
      <c r="V16" s="146">
        <f t="shared" si="17"/>
        <v>26</v>
      </c>
      <c r="W16" s="9" t="s">
        <v>760</v>
      </c>
      <c r="X16" s="9">
        <f t="shared" si="3"/>
        <v>2</v>
      </c>
      <c r="Y16" s="9">
        <f t="shared" si="4"/>
        <v>1002</v>
      </c>
      <c r="Z16" s="9">
        <v>3</v>
      </c>
      <c r="AA16" s="9" t="s">
        <v>768</v>
      </c>
      <c r="AB16" s="9">
        <f t="shared" si="5"/>
        <v>2</v>
      </c>
      <c r="AC16" s="9">
        <f t="shared" si="6"/>
        <v>1004</v>
      </c>
      <c r="AD16" s="9">
        <f t="shared" si="18"/>
        <v>3</v>
      </c>
      <c r="AF16" s="2">
        <v>12</v>
      </c>
      <c r="AH16" s="2" t="str">
        <f t="shared" si="7"/>
        <v>物品类型</v>
      </c>
      <c r="AI16" s="2" t="str">
        <f t="shared" si="8"/>
        <v>id</v>
      </c>
      <c r="AJ16" s="2" t="s">
        <v>1568</v>
      </c>
      <c r="AK16" s="2">
        <f t="shared" si="19"/>
        <v>0</v>
      </c>
      <c r="AL16" s="2">
        <f t="shared" si="20"/>
        <v>0</v>
      </c>
      <c r="AM16" s="2" t="str">
        <f t="shared" si="9"/>
        <v>物品类型</v>
      </c>
      <c r="AN16" s="2" t="str">
        <f t="shared" si="10"/>
        <v>id</v>
      </c>
      <c r="AO16" s="234"/>
      <c r="AP16" s="2">
        <f t="shared" si="21"/>
        <v>0</v>
      </c>
      <c r="AT16" s="2" t="str">
        <f>'抽奖|MoonBless'!DN16</f>
        <v>超级武器4</v>
      </c>
      <c r="AU16" s="2">
        <f>'抽奖|MoonBless'!DO16</f>
        <v>50</v>
      </c>
      <c r="AV16" s="2">
        <f>'抽奖|MoonBless'!DP16</f>
        <v>500</v>
      </c>
      <c r="AW16" s="2">
        <f>'抽奖|MoonBless'!DQ16</f>
        <v>2</v>
      </c>
      <c r="AX16" s="2">
        <f>'抽奖|MoonBless'!DR16</f>
        <v>1008</v>
      </c>
      <c r="AY16" s="2">
        <f>'抽奖|MoonBless'!DS16</f>
        <v>1</v>
      </c>
      <c r="AZ16" s="2">
        <f t="shared" si="22"/>
        <v>10000000</v>
      </c>
    </row>
    <row r="17" spans="1:52" x14ac:dyDescent="0.45">
      <c r="A17" s="2">
        <v>13</v>
      </c>
      <c r="B17" s="2">
        <v>6910</v>
      </c>
      <c r="C17" s="1" t="str">
        <f t="shared" si="11"/>
        <v>1|1|28</v>
      </c>
      <c r="D17" s="1" t="str">
        <f t="shared" si="12"/>
        <v>2|1001|3</v>
      </c>
      <c r="E17" s="1" t="str">
        <f t="shared" si="13"/>
        <v>2|1004|3</v>
      </c>
      <c r="F17" s="1" t="str">
        <f t="shared" si="14"/>
        <v>1|1|10</v>
      </c>
      <c r="G17" s="1" t="str">
        <f t="shared" si="15"/>
        <v>1|1|100</v>
      </c>
      <c r="H17" s="1"/>
      <c r="I17" s="1"/>
      <c r="J17" s="1"/>
      <c r="L17" s="2">
        <v>20</v>
      </c>
      <c r="M17" s="2">
        <f>SUM($L$5:L17)</f>
        <v>82.5</v>
      </c>
      <c r="N17" s="2">
        <v>0.96</v>
      </c>
      <c r="O17" s="2">
        <f t="shared" si="0"/>
        <v>345.59999999999997</v>
      </c>
      <c r="P17" s="2">
        <f t="shared" si="16"/>
        <v>6910</v>
      </c>
      <c r="S17" s="9" t="s">
        <v>738</v>
      </c>
      <c r="T17" s="9">
        <f t="shared" si="1"/>
        <v>1</v>
      </c>
      <c r="U17" s="9">
        <f t="shared" si="2"/>
        <v>1</v>
      </c>
      <c r="V17" s="146">
        <f t="shared" si="17"/>
        <v>28</v>
      </c>
      <c r="W17" s="9" t="s">
        <v>756</v>
      </c>
      <c r="X17" s="9">
        <f t="shared" si="3"/>
        <v>2</v>
      </c>
      <c r="Y17" s="9">
        <f t="shared" si="4"/>
        <v>1001</v>
      </c>
      <c r="Z17" s="9">
        <v>3</v>
      </c>
      <c r="AA17" s="9" t="s">
        <v>768</v>
      </c>
      <c r="AB17" s="9">
        <f t="shared" si="5"/>
        <v>2</v>
      </c>
      <c r="AC17" s="9">
        <f t="shared" si="6"/>
        <v>1004</v>
      </c>
      <c r="AD17" s="9">
        <f t="shared" si="18"/>
        <v>3</v>
      </c>
      <c r="AF17" s="47">
        <v>13</v>
      </c>
      <c r="AG17" s="2" t="s">
        <v>738</v>
      </c>
      <c r="AH17" s="2">
        <f t="shared" si="7"/>
        <v>1</v>
      </c>
      <c r="AI17" s="2">
        <f t="shared" si="8"/>
        <v>1</v>
      </c>
      <c r="AJ17" s="2">
        <v>10</v>
      </c>
      <c r="AK17" s="2">
        <f t="shared" si="19"/>
        <v>200000</v>
      </c>
      <c r="AL17" s="2" t="str">
        <f t="shared" si="20"/>
        <v>钻石</v>
      </c>
      <c r="AM17" s="2">
        <f t="shared" si="9"/>
        <v>1</v>
      </c>
      <c r="AN17" s="2">
        <f t="shared" si="10"/>
        <v>1</v>
      </c>
      <c r="AO17" s="234">
        <f>AJ17*10</f>
        <v>100</v>
      </c>
      <c r="AP17" s="2">
        <f t="shared" si="21"/>
        <v>2000000</v>
      </c>
      <c r="AT17" s="2" t="str">
        <f>'抽奖|MoonBless'!DN17</f>
        <v>5元话费卡</v>
      </c>
      <c r="AU17" s="2">
        <f>'抽奖|MoonBless'!DO17</f>
        <v>5</v>
      </c>
      <c r="AV17" s="2">
        <f>'抽奖|MoonBless'!DP17</f>
        <v>50</v>
      </c>
      <c r="AW17" s="2">
        <f>'抽奖|MoonBless'!DQ17</f>
        <v>2</v>
      </c>
      <c r="AX17" s="2">
        <f>'抽奖|MoonBless'!DR17</f>
        <v>1206</v>
      </c>
      <c r="AY17" s="2">
        <f>'抽奖|MoonBless'!DS17</f>
        <v>1</v>
      </c>
      <c r="AZ17" s="2">
        <f t="shared" si="22"/>
        <v>999999.99999999988</v>
      </c>
    </row>
    <row r="18" spans="1:52" x14ac:dyDescent="0.45">
      <c r="A18" s="2">
        <v>14</v>
      </c>
      <c r="B18" s="2">
        <v>10370</v>
      </c>
      <c r="C18" s="1" t="str">
        <f t="shared" si="11"/>
        <v>1|1|30</v>
      </c>
      <c r="D18" s="1" t="str">
        <f t="shared" si="12"/>
        <v>2|1002|4</v>
      </c>
      <c r="E18" s="1" t="str">
        <f t="shared" si="13"/>
        <v>2|1003|2</v>
      </c>
      <c r="F18" s="1" t="str">
        <f t="shared" si="14"/>
        <v/>
      </c>
      <c r="G18" s="1" t="str">
        <f t="shared" si="15"/>
        <v/>
      </c>
      <c r="H18" s="1"/>
      <c r="I18" s="1"/>
      <c r="J18" s="1"/>
      <c r="L18" s="2">
        <v>30</v>
      </c>
      <c r="M18" s="2">
        <f>SUM($L$5:L18)</f>
        <v>112.5</v>
      </c>
      <c r="N18" s="2">
        <v>0.96</v>
      </c>
      <c r="O18" s="2">
        <f t="shared" si="0"/>
        <v>345.59999999999997</v>
      </c>
      <c r="P18" s="2">
        <f t="shared" si="16"/>
        <v>10370</v>
      </c>
      <c r="S18" s="9" t="s">
        <v>738</v>
      </c>
      <c r="T18" s="9">
        <f t="shared" si="1"/>
        <v>1</v>
      </c>
      <c r="U18" s="9">
        <f t="shared" si="2"/>
        <v>1</v>
      </c>
      <c r="V18" s="146">
        <f t="shared" si="17"/>
        <v>30</v>
      </c>
      <c r="W18" s="9" t="s">
        <v>760</v>
      </c>
      <c r="X18" s="9">
        <f t="shared" si="3"/>
        <v>2</v>
      </c>
      <c r="Y18" s="9">
        <f t="shared" si="4"/>
        <v>1002</v>
      </c>
      <c r="Z18" s="9">
        <v>4</v>
      </c>
      <c r="AA18" s="9" t="s">
        <v>764</v>
      </c>
      <c r="AB18" s="9">
        <f t="shared" si="5"/>
        <v>2</v>
      </c>
      <c r="AC18" s="9">
        <f t="shared" si="6"/>
        <v>1003</v>
      </c>
      <c r="AD18" s="9">
        <f t="shared" si="18"/>
        <v>2</v>
      </c>
      <c r="AF18" s="2">
        <v>14</v>
      </c>
      <c r="AH18" s="2" t="str">
        <f t="shared" si="7"/>
        <v>物品类型</v>
      </c>
      <c r="AI18" s="2" t="str">
        <f t="shared" si="8"/>
        <v>id</v>
      </c>
      <c r="AJ18" s="2" t="s">
        <v>1568</v>
      </c>
      <c r="AK18" s="2">
        <f t="shared" si="19"/>
        <v>0</v>
      </c>
      <c r="AL18" s="2">
        <f t="shared" si="20"/>
        <v>0</v>
      </c>
      <c r="AM18" s="2" t="str">
        <f t="shared" si="9"/>
        <v>物品类型</v>
      </c>
      <c r="AN18" s="2" t="str">
        <f t="shared" si="10"/>
        <v>id</v>
      </c>
      <c r="AO18" s="234"/>
      <c r="AP18" s="2">
        <f t="shared" si="21"/>
        <v>0</v>
      </c>
      <c r="AT18" s="2" t="str">
        <f>'抽奖|MoonBless'!DN18</f>
        <v>2元话费卡</v>
      </c>
      <c r="AU18" s="2">
        <f>'抽奖|MoonBless'!DO18</f>
        <v>2</v>
      </c>
      <c r="AV18" s="2">
        <f>'抽奖|MoonBless'!DP18</f>
        <v>20</v>
      </c>
      <c r="AW18" s="2">
        <f>'抽奖|MoonBless'!DQ18</f>
        <v>2</v>
      </c>
      <c r="AX18" s="2">
        <f>'抽奖|MoonBless'!DR18</f>
        <v>1205</v>
      </c>
      <c r="AY18" s="2">
        <f>'抽奖|MoonBless'!DS18</f>
        <v>1</v>
      </c>
      <c r="AZ18" s="2">
        <f t="shared" si="22"/>
        <v>399999.99999999994</v>
      </c>
    </row>
    <row r="19" spans="1:52" x14ac:dyDescent="0.45">
      <c r="A19" s="2">
        <v>15</v>
      </c>
      <c r="B19" s="2">
        <v>13820</v>
      </c>
      <c r="C19" s="1" t="str">
        <f t="shared" si="11"/>
        <v>1|1|32</v>
      </c>
      <c r="D19" s="1" t="str">
        <f t="shared" si="12"/>
        <v>2|1001|4</v>
      </c>
      <c r="E19" s="1" t="str">
        <f t="shared" si="13"/>
        <v>2|1002|4</v>
      </c>
      <c r="F19" s="1" t="str">
        <f t="shared" si="14"/>
        <v>1|2|300000</v>
      </c>
      <c r="G19" s="1" t="str">
        <f t="shared" si="15"/>
        <v>1|2|3000000</v>
      </c>
      <c r="H19" s="1"/>
      <c r="I19" s="1"/>
      <c r="J19" s="1"/>
      <c r="L19" s="2">
        <v>40</v>
      </c>
      <c r="M19" s="2">
        <f>SUM($L$5:L19)</f>
        <v>152.5</v>
      </c>
      <c r="N19" s="2">
        <v>0.96</v>
      </c>
      <c r="O19" s="2">
        <f t="shared" si="0"/>
        <v>345.59999999999997</v>
      </c>
      <c r="P19" s="2">
        <f t="shared" si="16"/>
        <v>13820</v>
      </c>
      <c r="S19" s="9" t="s">
        <v>738</v>
      </c>
      <c r="T19" s="9">
        <f t="shared" si="1"/>
        <v>1</v>
      </c>
      <c r="U19" s="9">
        <f t="shared" si="2"/>
        <v>1</v>
      </c>
      <c r="V19" s="146">
        <f t="shared" si="17"/>
        <v>32</v>
      </c>
      <c r="W19" s="9" t="s">
        <v>756</v>
      </c>
      <c r="X19" s="9">
        <f t="shared" si="3"/>
        <v>2</v>
      </c>
      <c r="Y19" s="9">
        <f t="shared" si="4"/>
        <v>1001</v>
      </c>
      <c r="Z19" s="9">
        <v>4</v>
      </c>
      <c r="AA19" s="9" t="s">
        <v>760</v>
      </c>
      <c r="AB19" s="9">
        <f t="shared" si="5"/>
        <v>2</v>
      </c>
      <c r="AC19" s="9">
        <f t="shared" si="6"/>
        <v>1002</v>
      </c>
      <c r="AD19" s="9">
        <f t="shared" si="18"/>
        <v>4</v>
      </c>
      <c r="AF19" s="47">
        <v>15</v>
      </c>
      <c r="AG19" s="2" t="s">
        <v>103</v>
      </c>
      <c r="AH19" s="2">
        <f t="shared" si="7"/>
        <v>1</v>
      </c>
      <c r="AI19" s="2">
        <f t="shared" si="8"/>
        <v>2</v>
      </c>
      <c r="AJ19" s="2">
        <v>300000</v>
      </c>
      <c r="AK19" s="2">
        <f t="shared" si="19"/>
        <v>300000</v>
      </c>
      <c r="AL19" s="2" t="str">
        <f t="shared" si="20"/>
        <v>金币</v>
      </c>
      <c r="AM19" s="2">
        <f t="shared" si="9"/>
        <v>1</v>
      </c>
      <c r="AN19" s="2">
        <f t="shared" si="10"/>
        <v>2</v>
      </c>
      <c r="AO19" s="234">
        <f>AJ19*10</f>
        <v>3000000</v>
      </c>
      <c r="AP19" s="2">
        <f t="shared" si="21"/>
        <v>3000000</v>
      </c>
      <c r="AT19" s="2" t="str">
        <f>'抽奖|MoonBless'!DN19</f>
        <v>高压锅</v>
      </c>
      <c r="AU19" s="2">
        <f>'抽奖|MoonBless'!DO19</f>
        <v>200</v>
      </c>
      <c r="AV19" s="2">
        <f>'抽奖|MoonBless'!DP19</f>
        <v>2000</v>
      </c>
      <c r="AW19" s="2">
        <f>'抽奖|MoonBless'!DQ19</f>
        <v>2</v>
      </c>
      <c r="AX19" s="2">
        <f>'抽奖|MoonBless'!DR19</f>
        <v>1208</v>
      </c>
      <c r="AY19" s="2">
        <f>'抽奖|MoonBless'!DS19</f>
        <v>1</v>
      </c>
      <c r="AZ19" s="2">
        <f t="shared" si="22"/>
        <v>40000000</v>
      </c>
    </row>
    <row r="20" spans="1:52" x14ac:dyDescent="0.45">
      <c r="A20" s="2">
        <v>16</v>
      </c>
      <c r="B20" s="2">
        <v>17280</v>
      </c>
      <c r="C20" s="1" t="str">
        <f t="shared" si="11"/>
        <v>1|1|34</v>
      </c>
      <c r="D20" s="1" t="str">
        <f t="shared" si="12"/>
        <v>2|1002|4</v>
      </c>
      <c r="E20" s="1" t="str">
        <f t="shared" si="13"/>
        <v>2|1002|4</v>
      </c>
      <c r="F20" s="1" t="str">
        <f t="shared" si="14"/>
        <v/>
      </c>
      <c r="G20" s="1" t="str">
        <f t="shared" si="15"/>
        <v/>
      </c>
      <c r="H20" s="1"/>
      <c r="I20" s="1"/>
      <c r="J20" s="1"/>
      <c r="L20" s="2">
        <v>50</v>
      </c>
      <c r="M20" s="2">
        <f>SUM($L$5:L20)</f>
        <v>202.5</v>
      </c>
      <c r="N20" s="2">
        <v>0.96</v>
      </c>
      <c r="O20" s="2">
        <f t="shared" si="0"/>
        <v>345.59999999999997</v>
      </c>
      <c r="P20" s="2">
        <f t="shared" si="16"/>
        <v>17280</v>
      </c>
      <c r="S20" s="9" t="s">
        <v>738</v>
      </c>
      <c r="T20" s="9">
        <f t="shared" si="1"/>
        <v>1</v>
      </c>
      <c r="U20" s="9">
        <f t="shared" si="2"/>
        <v>1</v>
      </c>
      <c r="V20" s="146">
        <f t="shared" si="17"/>
        <v>34</v>
      </c>
      <c r="W20" s="9" t="s">
        <v>760</v>
      </c>
      <c r="X20" s="9">
        <f t="shared" si="3"/>
        <v>2</v>
      </c>
      <c r="Y20" s="9">
        <f t="shared" si="4"/>
        <v>1002</v>
      </c>
      <c r="Z20" s="9">
        <v>4</v>
      </c>
      <c r="AA20" s="9" t="s">
        <v>760</v>
      </c>
      <c r="AB20" s="9">
        <f t="shared" si="5"/>
        <v>2</v>
      </c>
      <c r="AC20" s="9">
        <f t="shared" si="6"/>
        <v>1002</v>
      </c>
      <c r="AD20" s="9">
        <f t="shared" si="18"/>
        <v>4</v>
      </c>
      <c r="AF20" s="2">
        <v>16</v>
      </c>
      <c r="AH20" s="2" t="str">
        <f t="shared" si="7"/>
        <v>物品类型</v>
      </c>
      <c r="AI20" s="2" t="str">
        <f t="shared" si="8"/>
        <v>id</v>
      </c>
      <c r="AJ20" s="2" t="s">
        <v>1568</v>
      </c>
      <c r="AK20" s="2">
        <f t="shared" si="19"/>
        <v>0</v>
      </c>
      <c r="AL20" s="2">
        <f t="shared" si="20"/>
        <v>0</v>
      </c>
      <c r="AM20" s="2" t="str">
        <f t="shared" si="9"/>
        <v>物品类型</v>
      </c>
      <c r="AN20" s="2" t="str">
        <f t="shared" si="10"/>
        <v>id</v>
      </c>
      <c r="AO20" s="234"/>
      <c r="AP20" s="2">
        <f t="shared" si="21"/>
        <v>0</v>
      </c>
      <c r="AT20" s="2" t="str">
        <f>'抽奖|MoonBless'!DN20</f>
        <v>30元话费卡</v>
      </c>
      <c r="AU20" s="2">
        <f>'抽奖|MoonBless'!DO20</f>
        <v>30</v>
      </c>
      <c r="AV20" s="2">
        <f>'抽奖|MoonBless'!DP20</f>
        <v>300</v>
      </c>
      <c r="AW20" s="2">
        <f>'抽奖|MoonBless'!DQ20</f>
        <v>2</v>
      </c>
      <c r="AX20" s="2">
        <f>'抽奖|MoonBless'!DR20</f>
        <v>1209</v>
      </c>
      <c r="AY20" s="2">
        <f>'抽奖|MoonBless'!DS20</f>
        <v>1</v>
      </c>
      <c r="AZ20" s="2">
        <f t="shared" si="22"/>
        <v>5999999.9999999991</v>
      </c>
    </row>
    <row r="21" spans="1:52" x14ac:dyDescent="0.45">
      <c r="A21" s="2">
        <v>17</v>
      </c>
      <c r="B21" s="2">
        <v>20740</v>
      </c>
      <c r="C21" s="1" t="str">
        <f t="shared" si="11"/>
        <v>1|1|36</v>
      </c>
      <c r="D21" s="1" t="str">
        <f t="shared" si="12"/>
        <v>2|1001|4</v>
      </c>
      <c r="E21" s="1" t="str">
        <f t="shared" si="13"/>
        <v>2|1004|4</v>
      </c>
      <c r="F21" s="1" t="str">
        <f t="shared" si="14"/>
        <v/>
      </c>
      <c r="G21" s="1" t="str">
        <f t="shared" si="15"/>
        <v/>
      </c>
      <c r="H21" s="1"/>
      <c r="I21" s="1"/>
      <c r="J21" s="1"/>
      <c r="L21" s="2">
        <v>60</v>
      </c>
      <c r="M21" s="2">
        <f>SUM($L$5:L21)</f>
        <v>262.5</v>
      </c>
      <c r="N21" s="2">
        <v>0.96</v>
      </c>
      <c r="O21" s="2">
        <f t="shared" si="0"/>
        <v>345.59999999999997</v>
      </c>
      <c r="P21" s="2">
        <f t="shared" si="16"/>
        <v>20740</v>
      </c>
      <c r="S21" s="9" t="s">
        <v>738</v>
      </c>
      <c r="T21" s="9">
        <f t="shared" si="1"/>
        <v>1</v>
      </c>
      <c r="U21" s="9">
        <f t="shared" si="2"/>
        <v>1</v>
      </c>
      <c r="V21" s="146">
        <f t="shared" si="17"/>
        <v>36</v>
      </c>
      <c r="W21" s="9" t="s">
        <v>756</v>
      </c>
      <c r="X21" s="9">
        <f t="shared" si="3"/>
        <v>2</v>
      </c>
      <c r="Y21" s="9">
        <f t="shared" si="4"/>
        <v>1001</v>
      </c>
      <c r="Z21" s="9">
        <v>4</v>
      </c>
      <c r="AA21" s="9" t="s">
        <v>768</v>
      </c>
      <c r="AB21" s="9">
        <f t="shared" si="5"/>
        <v>2</v>
      </c>
      <c r="AC21" s="9">
        <f t="shared" si="6"/>
        <v>1004</v>
      </c>
      <c r="AD21" s="9">
        <f t="shared" si="18"/>
        <v>4</v>
      </c>
      <c r="AF21" s="2">
        <v>17</v>
      </c>
      <c r="AH21" s="2" t="str">
        <f t="shared" si="7"/>
        <v>物品类型</v>
      </c>
      <c r="AI21" s="2" t="str">
        <f t="shared" si="8"/>
        <v>id</v>
      </c>
      <c r="AJ21" s="2" t="s">
        <v>1568</v>
      </c>
      <c r="AK21" s="2">
        <f t="shared" si="19"/>
        <v>0</v>
      </c>
      <c r="AL21" s="2">
        <f t="shared" si="20"/>
        <v>0</v>
      </c>
      <c r="AM21" s="2" t="str">
        <f t="shared" si="9"/>
        <v>物品类型</v>
      </c>
      <c r="AN21" s="2" t="str">
        <f t="shared" si="10"/>
        <v>id</v>
      </c>
      <c r="AO21" s="234"/>
      <c r="AP21" s="2">
        <f t="shared" si="21"/>
        <v>0</v>
      </c>
      <c r="AT21" s="2" t="str">
        <f>'抽奖|MoonBless'!DN21</f>
        <v>50元话费卡</v>
      </c>
      <c r="AU21" s="2">
        <f>'抽奖|MoonBless'!DO21</f>
        <v>50</v>
      </c>
      <c r="AV21" s="2">
        <f>'抽奖|MoonBless'!DP21</f>
        <v>500</v>
      </c>
      <c r="AW21" s="2">
        <f>'抽奖|MoonBless'!DQ21</f>
        <v>2</v>
      </c>
      <c r="AX21" s="2">
        <f>'抽奖|MoonBless'!DR21</f>
        <v>1210</v>
      </c>
      <c r="AY21" s="2">
        <f>'抽奖|MoonBless'!DS21</f>
        <v>1</v>
      </c>
      <c r="AZ21" s="2">
        <f t="shared" si="22"/>
        <v>10000000</v>
      </c>
    </row>
    <row r="22" spans="1:52" x14ac:dyDescent="0.45">
      <c r="A22" s="2">
        <v>18</v>
      </c>
      <c r="B22" s="2">
        <v>24190</v>
      </c>
      <c r="C22" s="1" t="str">
        <f t="shared" si="11"/>
        <v>1|1|38</v>
      </c>
      <c r="D22" s="1" t="str">
        <f t="shared" si="12"/>
        <v>2|1002|4</v>
      </c>
      <c r="E22" s="1" t="str">
        <f t="shared" si="13"/>
        <v>2|1004|4</v>
      </c>
      <c r="F22" s="1" t="str">
        <f t="shared" si="14"/>
        <v>1|2|400000</v>
      </c>
      <c r="G22" s="1" t="str">
        <f t="shared" si="15"/>
        <v>1|2|4000000</v>
      </c>
      <c r="H22" s="1"/>
      <c r="I22" s="1"/>
      <c r="J22" s="1"/>
      <c r="L22" s="2">
        <v>70</v>
      </c>
      <c r="M22" s="2">
        <f>SUM($L$5:L22)</f>
        <v>332.5</v>
      </c>
      <c r="N22" s="2">
        <v>0.96</v>
      </c>
      <c r="O22" s="2">
        <f t="shared" si="0"/>
        <v>345.59999999999997</v>
      </c>
      <c r="P22" s="2">
        <f t="shared" si="16"/>
        <v>24190</v>
      </c>
      <c r="S22" s="9" t="s">
        <v>738</v>
      </c>
      <c r="T22" s="9">
        <f t="shared" si="1"/>
        <v>1</v>
      </c>
      <c r="U22" s="9">
        <f t="shared" si="2"/>
        <v>1</v>
      </c>
      <c r="V22" s="146">
        <f t="shared" si="17"/>
        <v>38</v>
      </c>
      <c r="W22" s="9" t="s">
        <v>760</v>
      </c>
      <c r="X22" s="9">
        <f t="shared" si="3"/>
        <v>2</v>
      </c>
      <c r="Y22" s="9">
        <f t="shared" si="4"/>
        <v>1002</v>
      </c>
      <c r="Z22" s="9">
        <v>4</v>
      </c>
      <c r="AA22" s="9" t="s">
        <v>768</v>
      </c>
      <c r="AB22" s="9">
        <f t="shared" si="5"/>
        <v>2</v>
      </c>
      <c r="AC22" s="9">
        <f t="shared" si="6"/>
        <v>1004</v>
      </c>
      <c r="AD22" s="9">
        <f t="shared" si="18"/>
        <v>4</v>
      </c>
      <c r="AF22" s="47">
        <v>18</v>
      </c>
      <c r="AG22" s="2" t="s">
        <v>103</v>
      </c>
      <c r="AH22" s="2">
        <f t="shared" si="7"/>
        <v>1</v>
      </c>
      <c r="AI22" s="2">
        <f t="shared" si="8"/>
        <v>2</v>
      </c>
      <c r="AJ22" s="2">
        <v>400000</v>
      </c>
      <c r="AK22" s="2">
        <f t="shared" si="19"/>
        <v>400000</v>
      </c>
      <c r="AL22" s="2" t="str">
        <f t="shared" si="20"/>
        <v>金币</v>
      </c>
      <c r="AM22" s="2">
        <f t="shared" si="9"/>
        <v>1</v>
      </c>
      <c r="AN22" s="2">
        <f t="shared" si="10"/>
        <v>2</v>
      </c>
      <c r="AO22" s="234">
        <f>AJ22*10</f>
        <v>4000000</v>
      </c>
      <c r="AP22" s="2">
        <f t="shared" si="21"/>
        <v>4000000</v>
      </c>
      <c r="AT22" s="2" t="str">
        <f>'抽奖|MoonBless'!DN22</f>
        <v>活跃度</v>
      </c>
      <c r="AU22" s="2">
        <f>'抽奖|MoonBless'!DO22</f>
        <v>1</v>
      </c>
      <c r="AV22" s="2">
        <f>'抽奖|MoonBless'!DP22</f>
        <v>10</v>
      </c>
      <c r="AW22" s="2">
        <f>'抽奖|MoonBless'!DQ22</f>
        <v>1</v>
      </c>
      <c r="AX22" s="2">
        <f>'抽奖|MoonBless'!DR22</f>
        <v>6</v>
      </c>
      <c r="AY22" s="2">
        <f>'抽奖|MoonBless'!DS22</f>
        <v>1</v>
      </c>
      <c r="AZ22" s="2">
        <f t="shared" si="22"/>
        <v>199999.99999999997</v>
      </c>
    </row>
    <row r="23" spans="1:52" x14ac:dyDescent="0.45">
      <c r="A23" s="2">
        <v>19</v>
      </c>
      <c r="B23" s="2">
        <v>27650</v>
      </c>
      <c r="C23" s="1" t="str">
        <f t="shared" si="11"/>
        <v>1|1|40</v>
      </c>
      <c r="D23" s="1" t="str">
        <f t="shared" si="12"/>
        <v>2|1001|5</v>
      </c>
      <c r="E23" s="1" t="str">
        <f t="shared" si="13"/>
        <v>2|1003|3</v>
      </c>
      <c r="F23" s="1" t="str">
        <f t="shared" si="14"/>
        <v/>
      </c>
      <c r="G23" s="1" t="str">
        <f t="shared" si="15"/>
        <v/>
      </c>
      <c r="H23" s="1"/>
      <c r="I23" s="1"/>
      <c r="J23" s="1"/>
      <c r="L23" s="2">
        <v>80</v>
      </c>
      <c r="M23" s="2">
        <f>SUM($L$5:L23)</f>
        <v>412.5</v>
      </c>
      <c r="N23" s="2">
        <v>0.96</v>
      </c>
      <c r="O23" s="2">
        <f t="shared" si="0"/>
        <v>345.59999999999997</v>
      </c>
      <c r="P23" s="2">
        <f t="shared" si="16"/>
        <v>27650</v>
      </c>
      <c r="S23" s="9" t="s">
        <v>738</v>
      </c>
      <c r="T23" s="9">
        <f t="shared" si="1"/>
        <v>1</v>
      </c>
      <c r="U23" s="9">
        <f t="shared" si="2"/>
        <v>1</v>
      </c>
      <c r="V23" s="146">
        <f t="shared" si="17"/>
        <v>40</v>
      </c>
      <c r="W23" s="9" t="s">
        <v>756</v>
      </c>
      <c r="X23" s="9">
        <f t="shared" si="3"/>
        <v>2</v>
      </c>
      <c r="Y23" s="9">
        <f t="shared" si="4"/>
        <v>1001</v>
      </c>
      <c r="Z23" s="9">
        <v>5</v>
      </c>
      <c r="AA23" s="9" t="s">
        <v>764</v>
      </c>
      <c r="AB23" s="9">
        <f t="shared" si="5"/>
        <v>2</v>
      </c>
      <c r="AC23" s="9">
        <f t="shared" si="6"/>
        <v>1003</v>
      </c>
      <c r="AD23" s="9">
        <f t="shared" si="18"/>
        <v>3</v>
      </c>
      <c r="AF23" s="2">
        <v>19</v>
      </c>
      <c r="AH23" s="2" t="str">
        <f t="shared" si="7"/>
        <v>物品类型</v>
      </c>
      <c r="AI23" s="2" t="str">
        <f t="shared" si="8"/>
        <v>id</v>
      </c>
      <c r="AJ23" s="2" t="s">
        <v>1568</v>
      </c>
      <c r="AK23" s="2">
        <f t="shared" si="19"/>
        <v>0</v>
      </c>
      <c r="AL23" s="2">
        <f t="shared" si="20"/>
        <v>0</v>
      </c>
      <c r="AM23" s="2" t="str">
        <f t="shared" si="9"/>
        <v>物品类型</v>
      </c>
      <c r="AN23" s="2" t="str">
        <f t="shared" si="10"/>
        <v>id</v>
      </c>
      <c r="AO23" s="234"/>
      <c r="AP23" s="2">
        <f t="shared" si="21"/>
        <v>0</v>
      </c>
      <c r="AT23" s="2" t="str">
        <f>'抽奖|MoonBless'!DN23</f>
        <v>红包【恭】</v>
      </c>
      <c r="AU23" s="2">
        <f>'抽奖|MoonBless'!DO23</f>
        <v>1</v>
      </c>
      <c r="AV23" s="2">
        <f>'抽奖|MoonBless'!DP23</f>
        <v>10</v>
      </c>
      <c r="AW23" s="2">
        <f>'抽奖|MoonBless'!DQ23</f>
        <v>2</v>
      </c>
      <c r="AX23" s="2">
        <f>'抽奖|MoonBless'!DR23</f>
        <v>1301</v>
      </c>
      <c r="AY23" s="2">
        <f>'抽奖|MoonBless'!DS23</f>
        <v>1</v>
      </c>
      <c r="AZ23" s="2">
        <f t="shared" si="22"/>
        <v>199999.99999999997</v>
      </c>
    </row>
    <row r="24" spans="1:52" x14ac:dyDescent="0.45">
      <c r="A24" s="2">
        <v>20</v>
      </c>
      <c r="B24" s="2">
        <v>29380</v>
      </c>
      <c r="C24" s="1" t="str">
        <f t="shared" si="11"/>
        <v>1|1|42</v>
      </c>
      <c r="D24" s="1" t="str">
        <f t="shared" si="12"/>
        <v>2|1002|5</v>
      </c>
      <c r="E24" s="1" t="str">
        <f t="shared" si="13"/>
        <v>2|1004|5</v>
      </c>
      <c r="F24" s="1" t="str">
        <f t="shared" si="14"/>
        <v>1|2|500000</v>
      </c>
      <c r="G24" s="1" t="str">
        <f t="shared" si="15"/>
        <v>2|1007|1</v>
      </c>
      <c r="H24" s="1"/>
      <c r="I24" s="1"/>
      <c r="J24" s="1"/>
      <c r="L24" s="2">
        <v>85</v>
      </c>
      <c r="M24" s="2">
        <f>SUM($L$5:L24)</f>
        <v>497.5</v>
      </c>
      <c r="N24" s="2">
        <v>0.96</v>
      </c>
      <c r="O24" s="2">
        <f t="shared" si="0"/>
        <v>345.59999999999997</v>
      </c>
      <c r="P24" s="2">
        <f t="shared" si="16"/>
        <v>29380</v>
      </c>
      <c r="S24" s="9" t="s">
        <v>738</v>
      </c>
      <c r="T24" s="9">
        <f t="shared" si="1"/>
        <v>1</v>
      </c>
      <c r="U24" s="9">
        <f t="shared" si="2"/>
        <v>1</v>
      </c>
      <c r="V24" s="146">
        <f t="shared" si="17"/>
        <v>42</v>
      </c>
      <c r="W24" s="9" t="str">
        <f>W14</f>
        <v>冰冻</v>
      </c>
      <c r="X24" s="9">
        <f t="shared" si="3"/>
        <v>2</v>
      </c>
      <c r="Y24" s="9">
        <f t="shared" si="4"/>
        <v>1002</v>
      </c>
      <c r="Z24" s="9">
        <v>5</v>
      </c>
      <c r="AA24" s="9" t="str">
        <f>AA14</f>
        <v>召唤</v>
      </c>
      <c r="AB24" s="9">
        <f t="shared" si="5"/>
        <v>2</v>
      </c>
      <c r="AC24" s="9">
        <f t="shared" si="6"/>
        <v>1004</v>
      </c>
      <c r="AD24" s="9">
        <f t="shared" si="18"/>
        <v>5</v>
      </c>
      <c r="AF24" s="47">
        <v>20</v>
      </c>
      <c r="AG24" s="2" t="s">
        <v>103</v>
      </c>
      <c r="AH24" s="2">
        <f t="shared" si="7"/>
        <v>1</v>
      </c>
      <c r="AI24" s="2">
        <f t="shared" si="8"/>
        <v>2</v>
      </c>
      <c r="AJ24" s="2">
        <v>500000</v>
      </c>
      <c r="AK24" s="2">
        <f t="shared" si="19"/>
        <v>500000</v>
      </c>
      <c r="AL24" s="2" t="s">
        <v>1549</v>
      </c>
      <c r="AM24" s="2">
        <f t="shared" si="9"/>
        <v>2</v>
      </c>
      <c r="AN24" s="2">
        <f t="shared" si="10"/>
        <v>1007</v>
      </c>
      <c r="AO24" s="235">
        <v>1</v>
      </c>
      <c r="AP24" s="2">
        <f t="shared" si="21"/>
        <v>5000000</v>
      </c>
      <c r="AT24" s="2" t="str">
        <f>'抽奖|MoonBless'!DN24</f>
        <v>红包【喜】</v>
      </c>
      <c r="AU24" s="2">
        <f>'抽奖|MoonBless'!DO24</f>
        <v>1</v>
      </c>
      <c r="AV24" s="2">
        <f>'抽奖|MoonBless'!DP24</f>
        <v>10</v>
      </c>
      <c r="AW24" s="2">
        <f>'抽奖|MoonBless'!DQ24</f>
        <v>2</v>
      </c>
      <c r="AX24" s="2">
        <f>'抽奖|MoonBless'!DR24</f>
        <v>1302</v>
      </c>
      <c r="AY24" s="2">
        <f>'抽奖|MoonBless'!DS24</f>
        <v>1</v>
      </c>
      <c r="AZ24" s="2">
        <f t="shared" si="22"/>
        <v>199999.99999999997</v>
      </c>
    </row>
    <row r="25" spans="1:52" x14ac:dyDescent="0.45">
      <c r="A25" s="2">
        <v>21</v>
      </c>
      <c r="B25" s="2">
        <v>31100</v>
      </c>
      <c r="C25" s="1" t="str">
        <f t="shared" si="11"/>
        <v>1|1|44</v>
      </c>
      <c r="D25" s="1" t="str">
        <f t="shared" si="12"/>
        <v>2|1001|5</v>
      </c>
      <c r="E25" s="1" t="str">
        <f t="shared" si="13"/>
        <v>2|1002|5</v>
      </c>
      <c r="F25" s="1" t="str">
        <f t="shared" si="14"/>
        <v/>
      </c>
      <c r="G25" s="1" t="str">
        <f t="shared" si="15"/>
        <v/>
      </c>
      <c r="H25" s="1"/>
      <c r="I25" s="1"/>
      <c r="J25" s="1"/>
      <c r="L25" s="2">
        <v>90</v>
      </c>
      <c r="M25" s="2">
        <f>SUM($L$5:L25)</f>
        <v>587.5</v>
      </c>
      <c r="N25" s="2">
        <v>0.96</v>
      </c>
      <c r="O25" s="2">
        <f t="shared" si="0"/>
        <v>345.59999999999997</v>
      </c>
      <c r="P25" s="2">
        <f t="shared" si="16"/>
        <v>31100</v>
      </c>
      <c r="S25" s="9" t="s">
        <v>738</v>
      </c>
      <c r="T25" s="9">
        <f t="shared" si="1"/>
        <v>1</v>
      </c>
      <c r="U25" s="9">
        <f t="shared" si="2"/>
        <v>1</v>
      </c>
      <c r="V25" s="146">
        <f t="shared" si="17"/>
        <v>44</v>
      </c>
      <c r="W25" s="9" t="str">
        <f t="shared" ref="W25:W88" si="23">W15</f>
        <v>锁定</v>
      </c>
      <c r="X25" s="9">
        <f t="shared" si="3"/>
        <v>2</v>
      </c>
      <c r="Y25" s="9">
        <f t="shared" si="4"/>
        <v>1001</v>
      </c>
      <c r="Z25" s="9">
        <v>5</v>
      </c>
      <c r="AA25" s="9" t="str">
        <f t="shared" ref="AA25:AA88" si="24">AA15</f>
        <v>冰冻</v>
      </c>
      <c r="AB25" s="9">
        <f t="shared" si="5"/>
        <v>2</v>
      </c>
      <c r="AC25" s="9">
        <f t="shared" si="6"/>
        <v>1002</v>
      </c>
      <c r="AD25" s="9">
        <f t="shared" si="18"/>
        <v>5</v>
      </c>
      <c r="AF25" s="2">
        <v>21</v>
      </c>
      <c r="AH25" s="2" t="str">
        <f t="shared" si="7"/>
        <v>物品类型</v>
      </c>
      <c r="AI25" s="2" t="str">
        <f t="shared" si="8"/>
        <v>id</v>
      </c>
      <c r="AJ25" s="2" t="s">
        <v>1568</v>
      </c>
      <c r="AK25" s="2">
        <f t="shared" si="19"/>
        <v>0</v>
      </c>
      <c r="AL25" s="2">
        <f t="shared" si="20"/>
        <v>0</v>
      </c>
      <c r="AM25" s="2" t="str">
        <f t="shared" si="9"/>
        <v>物品类型</v>
      </c>
      <c r="AN25" s="2" t="str">
        <f t="shared" si="10"/>
        <v>id</v>
      </c>
      <c r="AO25" s="234"/>
      <c r="AP25" s="2">
        <f t="shared" si="21"/>
        <v>0</v>
      </c>
      <c r="AT25" s="2" t="str">
        <f>'抽奖|MoonBless'!DN25</f>
        <v>红包【发】</v>
      </c>
      <c r="AU25" s="2">
        <f>'抽奖|MoonBless'!DO25</f>
        <v>1</v>
      </c>
      <c r="AV25" s="2">
        <f>'抽奖|MoonBless'!DP25</f>
        <v>10</v>
      </c>
      <c r="AW25" s="2">
        <f>'抽奖|MoonBless'!DQ25</f>
        <v>2</v>
      </c>
      <c r="AX25" s="2">
        <f>'抽奖|MoonBless'!DR25</f>
        <v>1303</v>
      </c>
      <c r="AY25" s="2">
        <f>'抽奖|MoonBless'!DS25</f>
        <v>1</v>
      </c>
      <c r="AZ25" s="2">
        <f t="shared" si="22"/>
        <v>199999.99999999997</v>
      </c>
    </row>
    <row r="26" spans="1:52" x14ac:dyDescent="0.45">
      <c r="A26" s="2">
        <v>22</v>
      </c>
      <c r="B26" s="2">
        <v>32830</v>
      </c>
      <c r="C26" s="1" t="str">
        <f t="shared" si="11"/>
        <v>1|1|46</v>
      </c>
      <c r="D26" s="1" t="str">
        <f t="shared" si="12"/>
        <v>2|1002|5</v>
      </c>
      <c r="E26" s="1" t="str">
        <f t="shared" si="13"/>
        <v>2|1004|5</v>
      </c>
      <c r="F26" s="1" t="str">
        <f t="shared" si="14"/>
        <v/>
      </c>
      <c r="G26" s="1" t="str">
        <f t="shared" si="15"/>
        <v/>
      </c>
      <c r="H26" s="1"/>
      <c r="I26" s="1"/>
      <c r="J26" s="1"/>
      <c r="L26" s="2">
        <v>95</v>
      </c>
      <c r="M26" s="2">
        <f>SUM($L$5:L26)</f>
        <v>682.5</v>
      </c>
      <c r="N26" s="2">
        <v>0.96</v>
      </c>
      <c r="O26" s="2">
        <f t="shared" si="0"/>
        <v>345.59999999999997</v>
      </c>
      <c r="P26" s="2">
        <f t="shared" si="16"/>
        <v>32830</v>
      </c>
      <c r="S26" s="9" t="s">
        <v>738</v>
      </c>
      <c r="T26" s="9">
        <f t="shared" si="1"/>
        <v>1</v>
      </c>
      <c r="U26" s="9">
        <f t="shared" si="2"/>
        <v>1</v>
      </c>
      <c r="V26" s="146">
        <f t="shared" si="17"/>
        <v>46</v>
      </c>
      <c r="W26" s="9" t="str">
        <f t="shared" si="23"/>
        <v>冰冻</v>
      </c>
      <c r="X26" s="9">
        <f t="shared" si="3"/>
        <v>2</v>
      </c>
      <c r="Y26" s="9">
        <f t="shared" si="4"/>
        <v>1002</v>
      </c>
      <c r="Z26" s="9">
        <v>5</v>
      </c>
      <c r="AA26" s="9" t="str">
        <f t="shared" si="24"/>
        <v>召唤</v>
      </c>
      <c r="AB26" s="9">
        <f t="shared" si="5"/>
        <v>2</v>
      </c>
      <c r="AC26" s="9">
        <f t="shared" si="6"/>
        <v>1004</v>
      </c>
      <c r="AD26" s="9">
        <f t="shared" si="18"/>
        <v>5</v>
      </c>
      <c r="AF26" s="2">
        <v>22</v>
      </c>
      <c r="AH26" s="2" t="str">
        <f t="shared" si="7"/>
        <v>物品类型</v>
      </c>
      <c r="AI26" s="2" t="str">
        <f t="shared" si="8"/>
        <v>id</v>
      </c>
      <c r="AJ26" s="2" t="s">
        <v>1568</v>
      </c>
      <c r="AK26" s="2">
        <f t="shared" si="19"/>
        <v>0</v>
      </c>
      <c r="AL26" s="2">
        <f t="shared" si="20"/>
        <v>0</v>
      </c>
      <c r="AM26" s="2" t="str">
        <f t="shared" si="9"/>
        <v>物品类型</v>
      </c>
      <c r="AN26" s="2" t="str">
        <f t="shared" si="10"/>
        <v>id</v>
      </c>
      <c r="AO26" s="234"/>
      <c r="AP26" s="2">
        <f t="shared" si="21"/>
        <v>0</v>
      </c>
      <c r="AT26" s="2" t="str">
        <f>'抽奖|MoonBless'!DN26</f>
        <v>红包【财】</v>
      </c>
      <c r="AU26" s="2">
        <f>'抽奖|MoonBless'!DO26</f>
        <v>1</v>
      </c>
      <c r="AV26" s="2">
        <f>'抽奖|MoonBless'!DP26</f>
        <v>10</v>
      </c>
      <c r="AW26" s="2">
        <f>'抽奖|MoonBless'!DQ26</f>
        <v>2</v>
      </c>
      <c r="AX26" s="2">
        <f>'抽奖|MoonBless'!DR26</f>
        <v>1304</v>
      </c>
      <c r="AY26" s="2">
        <f>'抽奖|MoonBless'!DS26</f>
        <v>1</v>
      </c>
      <c r="AZ26" s="2">
        <f t="shared" si="22"/>
        <v>199999.99999999997</v>
      </c>
    </row>
    <row r="27" spans="1:52" x14ac:dyDescent="0.45">
      <c r="A27" s="2">
        <v>23</v>
      </c>
      <c r="B27" s="2">
        <v>34560</v>
      </c>
      <c r="C27" s="1" t="str">
        <f t="shared" si="11"/>
        <v>1|1|48</v>
      </c>
      <c r="D27" s="1" t="str">
        <f t="shared" si="12"/>
        <v>2|1001|5</v>
      </c>
      <c r="E27" s="1" t="str">
        <f t="shared" si="13"/>
        <v>2|1004|5</v>
      </c>
      <c r="F27" s="1" t="str">
        <f t="shared" si="14"/>
        <v>1|2|600000</v>
      </c>
      <c r="G27" s="1" t="str">
        <f t="shared" si="15"/>
        <v>1|2|6000000</v>
      </c>
      <c r="H27" s="1"/>
      <c r="I27" s="1"/>
      <c r="J27" s="1"/>
      <c r="L27" s="2">
        <v>100</v>
      </c>
      <c r="M27" s="2">
        <f>SUM($L$5:L27)</f>
        <v>782.5</v>
      </c>
      <c r="N27" s="2">
        <v>0.96</v>
      </c>
      <c r="O27" s="2">
        <f t="shared" si="0"/>
        <v>345.59999999999997</v>
      </c>
      <c r="P27" s="2">
        <f t="shared" si="16"/>
        <v>34560</v>
      </c>
      <c r="S27" s="9" t="s">
        <v>738</v>
      </c>
      <c r="T27" s="9">
        <f t="shared" si="1"/>
        <v>1</v>
      </c>
      <c r="U27" s="9">
        <f t="shared" si="2"/>
        <v>1</v>
      </c>
      <c r="V27" s="146">
        <f t="shared" si="17"/>
        <v>48</v>
      </c>
      <c r="W27" s="9" t="str">
        <f t="shared" si="23"/>
        <v>锁定</v>
      </c>
      <c r="X27" s="9">
        <f t="shared" si="3"/>
        <v>2</v>
      </c>
      <c r="Y27" s="9">
        <f t="shared" si="4"/>
        <v>1001</v>
      </c>
      <c r="Z27" s="9">
        <v>5</v>
      </c>
      <c r="AA27" s="9" t="str">
        <f t="shared" si="24"/>
        <v>召唤</v>
      </c>
      <c r="AB27" s="9">
        <f t="shared" si="5"/>
        <v>2</v>
      </c>
      <c r="AC27" s="9">
        <f t="shared" si="6"/>
        <v>1004</v>
      </c>
      <c r="AD27" s="9">
        <f t="shared" si="18"/>
        <v>5</v>
      </c>
      <c r="AF27" s="47">
        <v>23</v>
      </c>
      <c r="AG27" s="2" t="s">
        <v>103</v>
      </c>
      <c r="AH27" s="2">
        <f t="shared" si="7"/>
        <v>1</v>
      </c>
      <c r="AI27" s="2">
        <f t="shared" si="8"/>
        <v>2</v>
      </c>
      <c r="AJ27" s="2">
        <v>600000</v>
      </c>
      <c r="AK27" s="2">
        <f t="shared" si="19"/>
        <v>600000</v>
      </c>
      <c r="AL27" s="2" t="str">
        <f t="shared" si="20"/>
        <v>金币</v>
      </c>
      <c r="AM27" s="2">
        <f t="shared" si="9"/>
        <v>1</v>
      </c>
      <c r="AN27" s="2">
        <f t="shared" si="10"/>
        <v>2</v>
      </c>
      <c r="AO27" s="234">
        <f>AJ27*10</f>
        <v>6000000</v>
      </c>
      <c r="AP27" s="2">
        <f t="shared" si="21"/>
        <v>6000000</v>
      </c>
      <c r="AT27" s="2" t="str">
        <f>'抽奖|MoonBless'!DN27</f>
        <v>双轮</v>
      </c>
      <c r="AU27" s="2">
        <f>'抽奖|MoonBless'!DO27</f>
        <v>100</v>
      </c>
      <c r="AV27" s="2">
        <f>'抽奖|MoonBless'!DP27</f>
        <v>1000</v>
      </c>
      <c r="AW27" s="2">
        <f>'抽奖|MoonBless'!DQ27</f>
        <v>2</v>
      </c>
      <c r="AX27" s="2">
        <f>'抽奖|MoonBless'!DR27</f>
        <v>1500</v>
      </c>
      <c r="AY27" s="2">
        <f>'抽奖|MoonBless'!DS27</f>
        <v>1</v>
      </c>
      <c r="AZ27" s="2">
        <f t="shared" si="22"/>
        <v>20000000</v>
      </c>
    </row>
    <row r="28" spans="1:52" x14ac:dyDescent="0.45">
      <c r="A28" s="2">
        <v>24</v>
      </c>
      <c r="B28" s="2">
        <v>36290</v>
      </c>
      <c r="C28" s="1" t="str">
        <f t="shared" si="11"/>
        <v>1|1|50</v>
      </c>
      <c r="D28" s="1" t="str">
        <f t="shared" si="12"/>
        <v>2|1002|6</v>
      </c>
      <c r="E28" s="1" t="str">
        <f t="shared" si="13"/>
        <v>2|1003|3</v>
      </c>
      <c r="F28" s="1" t="str">
        <f t="shared" si="14"/>
        <v/>
      </c>
      <c r="G28" s="1" t="str">
        <f t="shared" si="15"/>
        <v/>
      </c>
      <c r="H28" s="1"/>
      <c r="I28" s="1"/>
      <c r="J28" s="1"/>
      <c r="L28" s="2">
        <v>105</v>
      </c>
      <c r="M28" s="2">
        <f>SUM($L$5:L28)</f>
        <v>887.5</v>
      </c>
      <c r="N28" s="2">
        <v>0.96</v>
      </c>
      <c r="O28" s="2">
        <f t="shared" si="0"/>
        <v>345.59999999999997</v>
      </c>
      <c r="P28" s="2">
        <f t="shared" si="16"/>
        <v>36290</v>
      </c>
      <c r="S28" s="9" t="s">
        <v>738</v>
      </c>
      <c r="T28" s="9">
        <f t="shared" si="1"/>
        <v>1</v>
      </c>
      <c r="U28" s="9">
        <f t="shared" si="2"/>
        <v>1</v>
      </c>
      <c r="V28" s="146">
        <f t="shared" si="17"/>
        <v>50</v>
      </c>
      <c r="W28" s="9" t="str">
        <f t="shared" si="23"/>
        <v>冰冻</v>
      </c>
      <c r="X28" s="9">
        <f t="shared" si="3"/>
        <v>2</v>
      </c>
      <c r="Y28" s="9">
        <f t="shared" si="4"/>
        <v>1002</v>
      </c>
      <c r="Z28" s="9">
        <v>6</v>
      </c>
      <c r="AA28" s="9" t="str">
        <f t="shared" si="24"/>
        <v>狂暴</v>
      </c>
      <c r="AB28" s="9">
        <f t="shared" si="5"/>
        <v>2</v>
      </c>
      <c r="AC28" s="9">
        <f t="shared" si="6"/>
        <v>1003</v>
      </c>
      <c r="AD28" s="9">
        <f t="shared" si="18"/>
        <v>3</v>
      </c>
      <c r="AF28" s="2">
        <v>24</v>
      </c>
      <c r="AH28" s="2" t="str">
        <f t="shared" si="7"/>
        <v>物品类型</v>
      </c>
      <c r="AI28" s="2" t="str">
        <f t="shared" si="8"/>
        <v>id</v>
      </c>
      <c r="AJ28" s="2" t="s">
        <v>1568</v>
      </c>
      <c r="AK28" s="2">
        <f t="shared" si="19"/>
        <v>0</v>
      </c>
      <c r="AL28" s="2">
        <f t="shared" si="20"/>
        <v>0</v>
      </c>
      <c r="AM28" s="2" t="str">
        <f t="shared" si="9"/>
        <v>物品类型</v>
      </c>
      <c r="AN28" s="2" t="str">
        <f t="shared" si="10"/>
        <v>id</v>
      </c>
      <c r="AO28" s="234"/>
      <c r="AP28" s="2">
        <f t="shared" si="21"/>
        <v>0</v>
      </c>
      <c r="AT28" s="2" t="str">
        <f>'抽奖|MoonBless'!DN28</f>
        <v>橄榄油</v>
      </c>
      <c r="AU28" s="2">
        <f>'抽奖|MoonBless'!DO28</f>
        <v>200</v>
      </c>
      <c r="AV28" s="2">
        <f>'抽奖|MoonBless'!DP28</f>
        <v>2000</v>
      </c>
      <c r="AW28" s="2">
        <f>'抽奖|MoonBless'!DQ28</f>
        <v>2</v>
      </c>
      <c r="AX28" s="2">
        <f>'抽奖|MoonBless'!DR28</f>
        <v>1503</v>
      </c>
      <c r="AY28" s="2">
        <f>'抽奖|MoonBless'!DS28</f>
        <v>1</v>
      </c>
      <c r="AZ28" s="2">
        <f t="shared" si="22"/>
        <v>40000000</v>
      </c>
    </row>
    <row r="29" spans="1:52" x14ac:dyDescent="0.45">
      <c r="A29" s="2">
        <v>25</v>
      </c>
      <c r="B29" s="2">
        <v>38020</v>
      </c>
      <c r="C29" s="1" t="str">
        <f t="shared" si="11"/>
        <v>1|1|52</v>
      </c>
      <c r="D29" s="1" t="str">
        <f t="shared" si="12"/>
        <v>2|1001|6</v>
      </c>
      <c r="E29" s="1" t="str">
        <f t="shared" si="13"/>
        <v>2|1002|6</v>
      </c>
      <c r="F29" s="1" t="str">
        <f t="shared" si="14"/>
        <v>1|1|35</v>
      </c>
      <c r="G29" s="1" t="str">
        <f t="shared" si="15"/>
        <v>1|1|350</v>
      </c>
      <c r="H29" s="1"/>
      <c r="I29" s="1"/>
      <c r="J29" s="1"/>
      <c r="L29" s="2">
        <v>110</v>
      </c>
      <c r="M29" s="2">
        <f>SUM($L$5:L29)</f>
        <v>997.5</v>
      </c>
      <c r="N29" s="2">
        <v>0.96</v>
      </c>
      <c r="O29" s="2">
        <f t="shared" si="0"/>
        <v>345.59999999999997</v>
      </c>
      <c r="P29" s="2">
        <f t="shared" si="16"/>
        <v>38020</v>
      </c>
      <c r="S29" s="9" t="s">
        <v>738</v>
      </c>
      <c r="T29" s="9">
        <f t="shared" si="1"/>
        <v>1</v>
      </c>
      <c r="U29" s="9">
        <f t="shared" si="2"/>
        <v>1</v>
      </c>
      <c r="V29" s="146">
        <f t="shared" si="17"/>
        <v>52</v>
      </c>
      <c r="W29" s="9" t="str">
        <f t="shared" si="23"/>
        <v>锁定</v>
      </c>
      <c r="X29" s="9">
        <f t="shared" si="3"/>
        <v>2</v>
      </c>
      <c r="Y29" s="9">
        <f t="shared" si="4"/>
        <v>1001</v>
      </c>
      <c r="Z29" s="9">
        <v>6</v>
      </c>
      <c r="AA29" s="9" t="str">
        <f t="shared" si="24"/>
        <v>冰冻</v>
      </c>
      <c r="AB29" s="9">
        <f t="shared" si="5"/>
        <v>2</v>
      </c>
      <c r="AC29" s="9">
        <f t="shared" si="6"/>
        <v>1002</v>
      </c>
      <c r="AD29" s="9">
        <f t="shared" si="18"/>
        <v>6</v>
      </c>
      <c r="AF29" s="47">
        <v>25</v>
      </c>
      <c r="AG29" s="2" t="s">
        <v>738</v>
      </c>
      <c r="AH29" s="2">
        <f t="shared" si="7"/>
        <v>1</v>
      </c>
      <c r="AI29" s="2">
        <f t="shared" si="8"/>
        <v>1</v>
      </c>
      <c r="AJ29" s="2">
        <v>35</v>
      </c>
      <c r="AK29" s="2">
        <f t="shared" si="19"/>
        <v>700000</v>
      </c>
      <c r="AL29" s="2" t="str">
        <f t="shared" si="20"/>
        <v>钻石</v>
      </c>
      <c r="AM29" s="2">
        <f t="shared" si="9"/>
        <v>1</v>
      </c>
      <c r="AN29" s="2">
        <f t="shared" si="10"/>
        <v>1</v>
      </c>
      <c r="AO29" s="234">
        <f>AJ29*10</f>
        <v>350</v>
      </c>
      <c r="AP29" s="2">
        <f t="shared" si="21"/>
        <v>7000000</v>
      </c>
      <c r="AT29" s="2" t="str">
        <f>'抽奖|MoonBless'!DN29</f>
        <v>米面礼包</v>
      </c>
      <c r="AU29" s="2">
        <f>'抽奖|MoonBless'!DO29</f>
        <v>275</v>
      </c>
      <c r="AV29" s="2">
        <f>'抽奖|MoonBless'!DP29</f>
        <v>2750</v>
      </c>
      <c r="AW29" s="2">
        <f>'抽奖|MoonBless'!DQ29</f>
        <v>2</v>
      </c>
      <c r="AX29" s="2">
        <f>'抽奖|MoonBless'!DR29</f>
        <v>1504</v>
      </c>
      <c r="AY29" s="2">
        <f>'抽奖|MoonBless'!DS29</f>
        <v>1</v>
      </c>
      <c r="AZ29" s="2">
        <f t="shared" si="22"/>
        <v>54999999.999999993</v>
      </c>
    </row>
    <row r="30" spans="1:52" x14ac:dyDescent="0.45">
      <c r="A30" s="2">
        <v>26</v>
      </c>
      <c r="B30" s="2">
        <v>39740</v>
      </c>
      <c r="C30" s="1" t="str">
        <f t="shared" si="11"/>
        <v>1|1|54</v>
      </c>
      <c r="D30" s="1" t="str">
        <f t="shared" si="12"/>
        <v>2|1002|6</v>
      </c>
      <c r="E30" s="1" t="str">
        <f t="shared" si="13"/>
        <v>2|1002|6</v>
      </c>
      <c r="F30" s="1" t="str">
        <f t="shared" si="14"/>
        <v/>
      </c>
      <c r="G30" s="1" t="str">
        <f t="shared" si="15"/>
        <v/>
      </c>
      <c r="H30" s="1"/>
      <c r="I30" s="1"/>
      <c r="J30" s="1"/>
      <c r="L30" s="2">
        <v>115</v>
      </c>
      <c r="M30" s="2">
        <f>SUM($L$5:L30)</f>
        <v>1112.5</v>
      </c>
      <c r="N30" s="2">
        <v>0.96</v>
      </c>
      <c r="O30" s="2">
        <f t="shared" si="0"/>
        <v>345.59999999999997</v>
      </c>
      <c r="P30" s="2">
        <f t="shared" si="16"/>
        <v>39740</v>
      </c>
      <c r="S30" s="9" t="s">
        <v>738</v>
      </c>
      <c r="T30" s="9">
        <f t="shared" si="1"/>
        <v>1</v>
      </c>
      <c r="U30" s="9">
        <f t="shared" si="2"/>
        <v>1</v>
      </c>
      <c r="V30" s="146">
        <f t="shared" si="17"/>
        <v>54</v>
      </c>
      <c r="W30" s="9" t="str">
        <f t="shared" si="23"/>
        <v>冰冻</v>
      </c>
      <c r="X30" s="9">
        <f t="shared" si="3"/>
        <v>2</v>
      </c>
      <c r="Y30" s="9">
        <f t="shared" si="4"/>
        <v>1002</v>
      </c>
      <c r="Z30" s="9">
        <v>6</v>
      </c>
      <c r="AA30" s="9" t="str">
        <f t="shared" si="24"/>
        <v>冰冻</v>
      </c>
      <c r="AB30" s="9">
        <f t="shared" si="5"/>
        <v>2</v>
      </c>
      <c r="AC30" s="9">
        <f t="shared" si="6"/>
        <v>1002</v>
      </c>
      <c r="AD30" s="9">
        <f t="shared" si="18"/>
        <v>6</v>
      </c>
      <c r="AF30" s="2">
        <v>26</v>
      </c>
      <c r="AH30" s="2" t="str">
        <f t="shared" si="7"/>
        <v>物品类型</v>
      </c>
      <c r="AI30" s="2" t="str">
        <f t="shared" si="8"/>
        <v>id</v>
      </c>
      <c r="AJ30" s="2" t="s">
        <v>1568</v>
      </c>
      <c r="AK30" s="2">
        <f t="shared" si="19"/>
        <v>0</v>
      </c>
      <c r="AL30" s="2">
        <f t="shared" si="20"/>
        <v>0</v>
      </c>
      <c r="AM30" s="2" t="str">
        <f t="shared" si="9"/>
        <v>物品类型</v>
      </c>
      <c r="AN30" s="2" t="str">
        <f t="shared" si="10"/>
        <v>id</v>
      </c>
      <c r="AO30" s="234"/>
      <c r="AP30" s="2">
        <f t="shared" si="21"/>
        <v>0</v>
      </c>
      <c r="AT30" s="2" t="str">
        <f>'抽奖|MoonBless'!DN30</f>
        <v>买单券</v>
      </c>
      <c r="AU30" s="2">
        <f>'抽奖|MoonBless'!DO30</f>
        <v>2.5</v>
      </c>
      <c r="AV30" s="2">
        <f>'抽奖|MoonBless'!DP30</f>
        <v>25</v>
      </c>
      <c r="AW30" s="2">
        <f>'抽奖|MoonBless'!DQ30</f>
        <v>2</v>
      </c>
      <c r="AX30" s="2">
        <f>'抽奖|MoonBless'!DR30</f>
        <v>1213</v>
      </c>
      <c r="AY30" s="2">
        <f>'抽奖|MoonBless'!DS30</f>
        <v>1</v>
      </c>
      <c r="AZ30" s="2">
        <f t="shared" si="22"/>
        <v>499999.99999999994</v>
      </c>
    </row>
    <row r="31" spans="1:52" x14ac:dyDescent="0.45">
      <c r="A31" s="2">
        <v>27</v>
      </c>
      <c r="B31" s="2">
        <v>41470</v>
      </c>
      <c r="C31" s="1" t="str">
        <f t="shared" si="11"/>
        <v>1|1|56</v>
      </c>
      <c r="D31" s="1" t="str">
        <f t="shared" si="12"/>
        <v>2|1001|6</v>
      </c>
      <c r="E31" s="1" t="str">
        <f t="shared" si="13"/>
        <v>2|1004|6</v>
      </c>
      <c r="F31" s="1" t="str">
        <f t="shared" si="14"/>
        <v/>
      </c>
      <c r="G31" s="1" t="str">
        <f t="shared" si="15"/>
        <v/>
      </c>
      <c r="H31" s="1"/>
      <c r="I31" s="1"/>
      <c r="J31" s="1"/>
      <c r="L31" s="2">
        <v>120</v>
      </c>
      <c r="M31" s="2">
        <f>SUM($L$5:L31)</f>
        <v>1232.5</v>
      </c>
      <c r="N31" s="2">
        <v>0.96</v>
      </c>
      <c r="O31" s="2">
        <f t="shared" si="0"/>
        <v>345.59999999999997</v>
      </c>
      <c r="P31" s="2">
        <f t="shared" si="16"/>
        <v>41470</v>
      </c>
      <c r="S31" s="9" t="s">
        <v>738</v>
      </c>
      <c r="T31" s="9">
        <f t="shared" si="1"/>
        <v>1</v>
      </c>
      <c r="U31" s="9">
        <f t="shared" si="2"/>
        <v>1</v>
      </c>
      <c r="V31" s="146">
        <f t="shared" si="17"/>
        <v>56</v>
      </c>
      <c r="W31" s="9" t="str">
        <f t="shared" si="23"/>
        <v>锁定</v>
      </c>
      <c r="X31" s="9">
        <f t="shared" si="3"/>
        <v>2</v>
      </c>
      <c r="Y31" s="9">
        <f t="shared" si="4"/>
        <v>1001</v>
      </c>
      <c r="Z31" s="9">
        <v>6</v>
      </c>
      <c r="AA31" s="9" t="str">
        <f t="shared" si="24"/>
        <v>召唤</v>
      </c>
      <c r="AB31" s="9">
        <f t="shared" si="5"/>
        <v>2</v>
      </c>
      <c r="AC31" s="9">
        <f t="shared" si="6"/>
        <v>1004</v>
      </c>
      <c r="AD31" s="9">
        <f t="shared" si="18"/>
        <v>6</v>
      </c>
      <c r="AF31" s="2">
        <v>27</v>
      </c>
      <c r="AH31" s="2" t="str">
        <f t="shared" si="7"/>
        <v>物品类型</v>
      </c>
      <c r="AI31" s="2" t="str">
        <f t="shared" si="8"/>
        <v>id</v>
      </c>
      <c r="AJ31" s="2" t="s">
        <v>1568</v>
      </c>
      <c r="AK31" s="2">
        <f t="shared" si="19"/>
        <v>0</v>
      </c>
      <c r="AL31" s="2">
        <f t="shared" si="20"/>
        <v>0</v>
      </c>
      <c r="AM31" s="2" t="str">
        <f t="shared" si="9"/>
        <v>物品类型</v>
      </c>
      <c r="AN31" s="2" t="str">
        <f t="shared" si="10"/>
        <v>id</v>
      </c>
      <c r="AO31" s="234"/>
      <c r="AP31" s="2">
        <f t="shared" si="21"/>
        <v>0</v>
      </c>
    </row>
    <row r="32" spans="1:52" x14ac:dyDescent="0.45">
      <c r="A32" s="2">
        <v>28</v>
      </c>
      <c r="B32" s="2">
        <v>43200</v>
      </c>
      <c r="C32" s="1" t="str">
        <f t="shared" si="11"/>
        <v>1|1|58</v>
      </c>
      <c r="D32" s="1" t="str">
        <f t="shared" si="12"/>
        <v>2|1002|6</v>
      </c>
      <c r="E32" s="1" t="str">
        <f t="shared" si="13"/>
        <v>2|1004|6</v>
      </c>
      <c r="F32" s="1" t="str">
        <f t="shared" si="14"/>
        <v>1|2|800000</v>
      </c>
      <c r="G32" s="1" t="str">
        <f t="shared" si="15"/>
        <v>1|2|8000000</v>
      </c>
      <c r="H32" s="1"/>
      <c r="I32" s="1"/>
      <c r="J32" s="1"/>
      <c r="L32" s="2">
        <v>125</v>
      </c>
      <c r="M32" s="2">
        <f>SUM($L$5:L32)</f>
        <v>1357.5</v>
      </c>
      <c r="N32" s="2">
        <v>0.96</v>
      </c>
      <c r="O32" s="2">
        <f t="shared" si="0"/>
        <v>345.59999999999997</v>
      </c>
      <c r="P32" s="2">
        <f t="shared" si="16"/>
        <v>43200</v>
      </c>
      <c r="S32" s="9" t="s">
        <v>738</v>
      </c>
      <c r="T32" s="9">
        <f t="shared" si="1"/>
        <v>1</v>
      </c>
      <c r="U32" s="9">
        <f t="shared" si="2"/>
        <v>1</v>
      </c>
      <c r="V32" s="146">
        <f t="shared" si="17"/>
        <v>58</v>
      </c>
      <c r="W32" s="9" t="str">
        <f t="shared" si="23"/>
        <v>冰冻</v>
      </c>
      <c r="X32" s="9">
        <f t="shared" si="3"/>
        <v>2</v>
      </c>
      <c r="Y32" s="9">
        <f t="shared" si="4"/>
        <v>1002</v>
      </c>
      <c r="Z32" s="9">
        <v>6</v>
      </c>
      <c r="AA32" s="9" t="str">
        <f t="shared" si="24"/>
        <v>召唤</v>
      </c>
      <c r="AB32" s="9">
        <f t="shared" si="5"/>
        <v>2</v>
      </c>
      <c r="AC32" s="9">
        <f t="shared" si="6"/>
        <v>1004</v>
      </c>
      <c r="AD32" s="9">
        <f t="shared" si="18"/>
        <v>6</v>
      </c>
      <c r="AF32" s="47">
        <v>28</v>
      </c>
      <c r="AG32" s="2" t="s">
        <v>103</v>
      </c>
      <c r="AH32" s="2">
        <f t="shared" si="7"/>
        <v>1</v>
      </c>
      <c r="AI32" s="2">
        <f t="shared" si="8"/>
        <v>2</v>
      </c>
      <c r="AJ32" s="2">
        <v>800000</v>
      </c>
      <c r="AK32" s="2">
        <f t="shared" si="19"/>
        <v>800000</v>
      </c>
      <c r="AL32" s="2" t="str">
        <f t="shared" si="20"/>
        <v>金币</v>
      </c>
      <c r="AM32" s="2">
        <f t="shared" si="9"/>
        <v>1</v>
      </c>
      <c r="AN32" s="2">
        <f t="shared" si="10"/>
        <v>2</v>
      </c>
      <c r="AO32" s="234">
        <f>AJ32*10</f>
        <v>8000000</v>
      </c>
      <c r="AP32" s="2">
        <f t="shared" si="21"/>
        <v>8000000</v>
      </c>
    </row>
    <row r="33" spans="1:42" x14ac:dyDescent="0.45">
      <c r="A33" s="2">
        <v>29</v>
      </c>
      <c r="B33" s="2">
        <v>44930</v>
      </c>
      <c r="C33" s="1" t="str">
        <f t="shared" si="11"/>
        <v>1|1|60</v>
      </c>
      <c r="D33" s="1" t="str">
        <f t="shared" si="12"/>
        <v>2|1001|7</v>
      </c>
      <c r="E33" s="1" t="str">
        <f t="shared" si="13"/>
        <v>2|1003|4</v>
      </c>
      <c r="F33" s="1" t="str">
        <f t="shared" si="14"/>
        <v/>
      </c>
      <c r="G33" s="1" t="str">
        <f t="shared" si="15"/>
        <v/>
      </c>
      <c r="H33" s="1"/>
      <c r="I33" s="1"/>
      <c r="J33" s="1"/>
      <c r="L33" s="2">
        <v>130</v>
      </c>
      <c r="M33" s="2">
        <f>SUM($L$5:L33)</f>
        <v>1487.5</v>
      </c>
      <c r="N33" s="2">
        <v>0.96</v>
      </c>
      <c r="O33" s="2">
        <f t="shared" si="0"/>
        <v>345.59999999999997</v>
      </c>
      <c r="P33" s="2">
        <f t="shared" si="16"/>
        <v>44930</v>
      </c>
      <c r="S33" s="9" t="s">
        <v>738</v>
      </c>
      <c r="T33" s="9">
        <f t="shared" si="1"/>
        <v>1</v>
      </c>
      <c r="U33" s="9">
        <f t="shared" si="2"/>
        <v>1</v>
      </c>
      <c r="V33" s="146">
        <f t="shared" si="17"/>
        <v>60</v>
      </c>
      <c r="W33" s="9" t="str">
        <f t="shared" si="23"/>
        <v>锁定</v>
      </c>
      <c r="X33" s="9">
        <f t="shared" si="3"/>
        <v>2</v>
      </c>
      <c r="Y33" s="9">
        <f t="shared" si="4"/>
        <v>1001</v>
      </c>
      <c r="Z33" s="9">
        <v>7</v>
      </c>
      <c r="AA33" s="9" t="str">
        <f t="shared" si="24"/>
        <v>狂暴</v>
      </c>
      <c r="AB33" s="9">
        <f t="shared" si="5"/>
        <v>2</v>
      </c>
      <c r="AC33" s="9">
        <f t="shared" si="6"/>
        <v>1003</v>
      </c>
      <c r="AD33" s="9">
        <f t="shared" si="18"/>
        <v>4</v>
      </c>
      <c r="AF33" s="2">
        <v>29</v>
      </c>
      <c r="AH33" s="2" t="str">
        <f t="shared" si="7"/>
        <v>物品类型</v>
      </c>
      <c r="AI33" s="2" t="str">
        <f t="shared" si="8"/>
        <v>id</v>
      </c>
      <c r="AJ33" s="2" t="s">
        <v>1568</v>
      </c>
      <c r="AK33" s="2">
        <f t="shared" si="19"/>
        <v>0</v>
      </c>
      <c r="AL33" s="2">
        <f t="shared" si="20"/>
        <v>0</v>
      </c>
      <c r="AM33" s="2" t="str">
        <f t="shared" si="9"/>
        <v>物品类型</v>
      </c>
      <c r="AN33" s="2" t="str">
        <f t="shared" si="10"/>
        <v>id</v>
      </c>
      <c r="AO33" s="234"/>
      <c r="AP33" s="2">
        <f t="shared" si="21"/>
        <v>0</v>
      </c>
    </row>
    <row r="34" spans="1:42" x14ac:dyDescent="0.45">
      <c r="A34" s="2">
        <v>30</v>
      </c>
      <c r="B34" s="2">
        <v>46660</v>
      </c>
      <c r="C34" s="1" t="str">
        <f t="shared" si="11"/>
        <v>1|1|62</v>
      </c>
      <c r="D34" s="1" t="str">
        <f t="shared" si="12"/>
        <v>2|1002|7</v>
      </c>
      <c r="E34" s="1" t="str">
        <f t="shared" si="13"/>
        <v>2|1004|7</v>
      </c>
      <c r="F34" s="1" t="str">
        <f t="shared" si="14"/>
        <v>2|1005|1</v>
      </c>
      <c r="G34" s="1" t="str">
        <f t="shared" si="15"/>
        <v>2|1007|2</v>
      </c>
      <c r="H34" s="1"/>
      <c r="I34" s="1"/>
      <c r="J34" s="1"/>
      <c r="L34" s="2">
        <v>135</v>
      </c>
      <c r="M34" s="2">
        <f>SUM($L$5:L34)</f>
        <v>1622.5</v>
      </c>
      <c r="N34" s="2">
        <v>0.96</v>
      </c>
      <c r="O34" s="2">
        <f t="shared" si="0"/>
        <v>345.59999999999997</v>
      </c>
      <c r="P34" s="2">
        <f t="shared" si="16"/>
        <v>46660</v>
      </c>
      <c r="S34" s="9" t="s">
        <v>738</v>
      </c>
      <c r="T34" s="9">
        <f t="shared" si="1"/>
        <v>1</v>
      </c>
      <c r="U34" s="9">
        <f t="shared" si="2"/>
        <v>1</v>
      </c>
      <c r="V34" s="146">
        <f t="shared" si="17"/>
        <v>62</v>
      </c>
      <c r="W34" s="9" t="str">
        <f t="shared" si="23"/>
        <v>冰冻</v>
      </c>
      <c r="X34" s="9">
        <f t="shared" si="3"/>
        <v>2</v>
      </c>
      <c r="Y34" s="9">
        <f t="shared" si="4"/>
        <v>1002</v>
      </c>
      <c r="Z34" s="9">
        <v>7</v>
      </c>
      <c r="AA34" s="9" t="str">
        <f t="shared" si="24"/>
        <v>召唤</v>
      </c>
      <c r="AB34" s="9">
        <f t="shared" si="5"/>
        <v>2</v>
      </c>
      <c r="AC34" s="9">
        <f t="shared" si="6"/>
        <v>1004</v>
      </c>
      <c r="AD34" s="9">
        <f t="shared" si="18"/>
        <v>7</v>
      </c>
      <c r="AF34" s="47">
        <v>30</v>
      </c>
      <c r="AG34" s="2" t="s">
        <v>1493</v>
      </c>
      <c r="AH34" s="2">
        <f t="shared" si="7"/>
        <v>2</v>
      </c>
      <c r="AI34" s="2">
        <f t="shared" si="8"/>
        <v>1005</v>
      </c>
      <c r="AJ34" s="2">
        <v>1</v>
      </c>
      <c r="AK34" s="2">
        <f t="shared" si="19"/>
        <v>999999.99999999988</v>
      </c>
      <c r="AL34" s="2" t="s">
        <v>1549</v>
      </c>
      <c r="AM34" s="2">
        <f t="shared" si="9"/>
        <v>2</v>
      </c>
      <c r="AN34" s="2">
        <f t="shared" si="10"/>
        <v>1007</v>
      </c>
      <c r="AO34" s="235">
        <v>2</v>
      </c>
      <c r="AP34" s="2">
        <f t="shared" si="21"/>
        <v>10000000</v>
      </c>
    </row>
    <row r="35" spans="1:42" x14ac:dyDescent="0.45">
      <c r="A35" s="2">
        <v>31</v>
      </c>
      <c r="B35" s="2">
        <v>48380</v>
      </c>
      <c r="C35" s="1" t="str">
        <f t="shared" si="11"/>
        <v>1|1|64</v>
      </c>
      <c r="D35" s="1" t="str">
        <f t="shared" si="12"/>
        <v>2|1001|7</v>
      </c>
      <c r="E35" s="1" t="str">
        <f t="shared" si="13"/>
        <v>2|1002|7</v>
      </c>
      <c r="F35" s="1" t="str">
        <f t="shared" si="14"/>
        <v/>
      </c>
      <c r="G35" s="1" t="str">
        <f t="shared" si="15"/>
        <v/>
      </c>
      <c r="H35" s="1"/>
      <c r="I35" s="1"/>
      <c r="J35" s="1"/>
      <c r="L35" s="2">
        <v>140</v>
      </c>
      <c r="M35" s="2">
        <f>SUM($L$5:L35)</f>
        <v>1762.5</v>
      </c>
      <c r="N35" s="2">
        <v>0.96</v>
      </c>
      <c r="O35" s="2">
        <f t="shared" si="0"/>
        <v>345.59999999999997</v>
      </c>
      <c r="P35" s="2">
        <f t="shared" si="16"/>
        <v>48380</v>
      </c>
      <c r="S35" s="9" t="s">
        <v>738</v>
      </c>
      <c r="T35" s="9">
        <f t="shared" si="1"/>
        <v>1</v>
      </c>
      <c r="U35" s="9">
        <f t="shared" si="2"/>
        <v>1</v>
      </c>
      <c r="V35" s="146">
        <f t="shared" si="17"/>
        <v>64</v>
      </c>
      <c r="W35" s="9" t="str">
        <f t="shared" si="23"/>
        <v>锁定</v>
      </c>
      <c r="X35" s="9">
        <f t="shared" si="3"/>
        <v>2</v>
      </c>
      <c r="Y35" s="9">
        <f t="shared" si="4"/>
        <v>1001</v>
      </c>
      <c r="Z35" s="9">
        <v>7</v>
      </c>
      <c r="AA35" s="9" t="str">
        <f t="shared" si="24"/>
        <v>冰冻</v>
      </c>
      <c r="AB35" s="9">
        <f t="shared" si="5"/>
        <v>2</v>
      </c>
      <c r="AC35" s="9">
        <f t="shared" si="6"/>
        <v>1002</v>
      </c>
      <c r="AD35" s="9">
        <f t="shared" si="18"/>
        <v>7</v>
      </c>
      <c r="AF35" s="2">
        <v>31</v>
      </c>
      <c r="AH35" s="2" t="str">
        <f t="shared" si="7"/>
        <v>物品类型</v>
      </c>
      <c r="AI35" s="2" t="str">
        <f t="shared" si="8"/>
        <v>id</v>
      </c>
      <c r="AJ35" s="2" t="s">
        <v>1568</v>
      </c>
      <c r="AK35" s="2">
        <f t="shared" si="19"/>
        <v>0</v>
      </c>
      <c r="AL35" s="2">
        <f t="shared" si="20"/>
        <v>0</v>
      </c>
      <c r="AM35" s="2" t="str">
        <f t="shared" si="9"/>
        <v>物品类型</v>
      </c>
      <c r="AN35" s="2" t="str">
        <f t="shared" si="10"/>
        <v>id</v>
      </c>
      <c r="AO35" s="234"/>
      <c r="AP35" s="2">
        <f t="shared" si="21"/>
        <v>0</v>
      </c>
    </row>
    <row r="36" spans="1:42" x14ac:dyDescent="0.45">
      <c r="A36" s="2">
        <v>32</v>
      </c>
      <c r="B36" s="2">
        <v>50110</v>
      </c>
      <c r="C36" s="1" t="str">
        <f t="shared" si="11"/>
        <v>1|1|66</v>
      </c>
      <c r="D36" s="1" t="str">
        <f t="shared" si="12"/>
        <v>2|1002|7</v>
      </c>
      <c r="E36" s="1" t="str">
        <f t="shared" si="13"/>
        <v>2|1004|7</v>
      </c>
      <c r="F36" s="1" t="str">
        <f t="shared" si="14"/>
        <v/>
      </c>
      <c r="G36" s="1" t="str">
        <f t="shared" si="15"/>
        <v/>
      </c>
      <c r="H36" s="1"/>
      <c r="I36" s="1"/>
      <c r="J36" s="1"/>
      <c r="L36" s="2">
        <v>145</v>
      </c>
      <c r="M36" s="2">
        <f>SUM($L$5:L36)</f>
        <v>1907.5</v>
      </c>
      <c r="N36" s="2">
        <v>0.96</v>
      </c>
      <c r="O36" s="2">
        <f t="shared" si="0"/>
        <v>345.59999999999997</v>
      </c>
      <c r="P36" s="2">
        <f t="shared" si="16"/>
        <v>50110</v>
      </c>
      <c r="S36" s="9" t="s">
        <v>738</v>
      </c>
      <c r="T36" s="9">
        <f t="shared" si="1"/>
        <v>1</v>
      </c>
      <c r="U36" s="9">
        <f t="shared" si="2"/>
        <v>1</v>
      </c>
      <c r="V36" s="146">
        <f t="shared" si="17"/>
        <v>66</v>
      </c>
      <c r="W36" s="9" t="str">
        <f t="shared" si="23"/>
        <v>冰冻</v>
      </c>
      <c r="X36" s="9">
        <f t="shared" si="3"/>
        <v>2</v>
      </c>
      <c r="Y36" s="9">
        <f t="shared" si="4"/>
        <v>1002</v>
      </c>
      <c r="Z36" s="9">
        <v>7</v>
      </c>
      <c r="AA36" s="9" t="str">
        <f t="shared" si="24"/>
        <v>召唤</v>
      </c>
      <c r="AB36" s="9">
        <f t="shared" si="5"/>
        <v>2</v>
      </c>
      <c r="AC36" s="9">
        <f t="shared" si="6"/>
        <v>1004</v>
      </c>
      <c r="AD36" s="9">
        <f t="shared" si="18"/>
        <v>7</v>
      </c>
      <c r="AF36" s="2">
        <v>32</v>
      </c>
      <c r="AH36" s="2" t="str">
        <f t="shared" si="7"/>
        <v>物品类型</v>
      </c>
      <c r="AI36" s="2" t="str">
        <f t="shared" si="8"/>
        <v>id</v>
      </c>
      <c r="AJ36" s="2" t="s">
        <v>1568</v>
      </c>
      <c r="AK36" s="2">
        <f t="shared" si="19"/>
        <v>0</v>
      </c>
      <c r="AL36" s="2">
        <f t="shared" si="20"/>
        <v>0</v>
      </c>
      <c r="AM36" s="2" t="str">
        <f t="shared" si="9"/>
        <v>物品类型</v>
      </c>
      <c r="AN36" s="2" t="str">
        <f t="shared" si="10"/>
        <v>id</v>
      </c>
      <c r="AO36" s="234"/>
      <c r="AP36" s="2">
        <f t="shared" si="21"/>
        <v>0</v>
      </c>
    </row>
    <row r="37" spans="1:42" x14ac:dyDescent="0.45">
      <c r="A37" s="2">
        <v>33</v>
      </c>
      <c r="B37" s="2">
        <v>51840</v>
      </c>
      <c r="C37" s="1" t="str">
        <f t="shared" si="11"/>
        <v>1|1|68</v>
      </c>
      <c r="D37" s="1" t="str">
        <f t="shared" si="12"/>
        <v>2|1001|7</v>
      </c>
      <c r="E37" s="1" t="str">
        <f t="shared" si="13"/>
        <v>2|1004|7</v>
      </c>
      <c r="F37" s="1" t="str">
        <f t="shared" si="14"/>
        <v>1|2|1500000</v>
      </c>
      <c r="G37" s="1" t="str">
        <f t="shared" si="15"/>
        <v>1|2|15000000</v>
      </c>
      <c r="H37" s="1"/>
      <c r="I37" s="1"/>
      <c r="J37" s="1"/>
      <c r="L37" s="2">
        <v>150</v>
      </c>
      <c r="M37" s="2">
        <f>SUM($L$5:L37)</f>
        <v>2057.5</v>
      </c>
      <c r="N37" s="2">
        <v>0.96</v>
      </c>
      <c r="O37" s="2">
        <f t="shared" ref="O37:O68" si="25">$M$3*N37*60</f>
        <v>345.59999999999997</v>
      </c>
      <c r="P37" s="2">
        <f t="shared" si="16"/>
        <v>51840</v>
      </c>
      <c r="S37" s="9" t="s">
        <v>738</v>
      </c>
      <c r="T37" s="9">
        <f t="shared" si="1"/>
        <v>1</v>
      </c>
      <c r="U37" s="9">
        <f t="shared" si="2"/>
        <v>1</v>
      </c>
      <c r="V37" s="146">
        <f t="shared" si="17"/>
        <v>68</v>
      </c>
      <c r="W37" s="9" t="str">
        <f t="shared" si="23"/>
        <v>锁定</v>
      </c>
      <c r="X37" s="9">
        <f t="shared" si="3"/>
        <v>2</v>
      </c>
      <c r="Y37" s="9">
        <f t="shared" si="4"/>
        <v>1001</v>
      </c>
      <c r="Z37" s="9">
        <v>7</v>
      </c>
      <c r="AA37" s="9" t="str">
        <f t="shared" si="24"/>
        <v>召唤</v>
      </c>
      <c r="AB37" s="9">
        <f t="shared" si="5"/>
        <v>2</v>
      </c>
      <c r="AC37" s="9">
        <f t="shared" si="6"/>
        <v>1004</v>
      </c>
      <c r="AD37" s="9">
        <f t="shared" si="18"/>
        <v>7</v>
      </c>
      <c r="AF37" s="47">
        <v>33</v>
      </c>
      <c r="AG37" s="2" t="s">
        <v>103</v>
      </c>
      <c r="AH37" s="2">
        <f t="shared" si="7"/>
        <v>1</v>
      </c>
      <c r="AI37" s="2">
        <f t="shared" si="8"/>
        <v>2</v>
      </c>
      <c r="AJ37" s="2">
        <v>1500000</v>
      </c>
      <c r="AK37" s="2">
        <f t="shared" si="19"/>
        <v>1500000</v>
      </c>
      <c r="AL37" s="2" t="str">
        <f t="shared" si="20"/>
        <v>金币</v>
      </c>
      <c r="AM37" s="2">
        <f t="shared" si="9"/>
        <v>1</v>
      </c>
      <c r="AN37" s="2">
        <f t="shared" si="10"/>
        <v>2</v>
      </c>
      <c r="AO37" s="234">
        <f>AJ37*10</f>
        <v>15000000</v>
      </c>
      <c r="AP37" s="2">
        <f t="shared" si="21"/>
        <v>15000000</v>
      </c>
    </row>
    <row r="38" spans="1:42" x14ac:dyDescent="0.45">
      <c r="A38" s="2">
        <v>34</v>
      </c>
      <c r="B38" s="2">
        <v>53570</v>
      </c>
      <c r="C38" s="1" t="str">
        <f t="shared" si="11"/>
        <v>1|1|70</v>
      </c>
      <c r="D38" s="1" t="str">
        <f t="shared" si="12"/>
        <v>2|1002|8</v>
      </c>
      <c r="E38" s="1" t="str">
        <f t="shared" si="13"/>
        <v>2|1003|4</v>
      </c>
      <c r="F38" s="1" t="str">
        <f t="shared" si="14"/>
        <v/>
      </c>
      <c r="G38" s="1" t="str">
        <f t="shared" si="15"/>
        <v/>
      </c>
      <c r="H38" s="1"/>
      <c r="I38" s="1"/>
      <c r="J38" s="1"/>
      <c r="L38" s="2">
        <v>155</v>
      </c>
      <c r="M38" s="2">
        <f>SUM($L$5:L38)</f>
        <v>2212.5</v>
      </c>
      <c r="N38" s="2">
        <v>0.96</v>
      </c>
      <c r="O38" s="2">
        <f t="shared" si="25"/>
        <v>345.59999999999997</v>
      </c>
      <c r="P38" s="2">
        <f t="shared" si="16"/>
        <v>53570</v>
      </c>
      <c r="S38" s="9" t="s">
        <v>738</v>
      </c>
      <c r="T38" s="9">
        <f t="shared" si="1"/>
        <v>1</v>
      </c>
      <c r="U38" s="9">
        <f t="shared" si="2"/>
        <v>1</v>
      </c>
      <c r="V38" s="146">
        <f t="shared" si="17"/>
        <v>70</v>
      </c>
      <c r="W38" s="9" t="str">
        <f t="shared" si="23"/>
        <v>冰冻</v>
      </c>
      <c r="X38" s="9">
        <f t="shared" si="3"/>
        <v>2</v>
      </c>
      <c r="Y38" s="9">
        <f t="shared" si="4"/>
        <v>1002</v>
      </c>
      <c r="Z38" s="9">
        <v>8</v>
      </c>
      <c r="AA38" s="9" t="str">
        <f t="shared" si="24"/>
        <v>狂暴</v>
      </c>
      <c r="AB38" s="9">
        <f t="shared" si="5"/>
        <v>2</v>
      </c>
      <c r="AC38" s="9">
        <f t="shared" si="6"/>
        <v>1003</v>
      </c>
      <c r="AD38" s="9">
        <f t="shared" si="18"/>
        <v>4</v>
      </c>
      <c r="AF38" s="2">
        <v>34</v>
      </c>
      <c r="AH38" s="2" t="str">
        <f t="shared" si="7"/>
        <v>物品类型</v>
      </c>
      <c r="AI38" s="2" t="str">
        <f t="shared" si="8"/>
        <v>id</v>
      </c>
      <c r="AJ38" s="2" t="s">
        <v>1568</v>
      </c>
      <c r="AK38" s="2">
        <f t="shared" si="19"/>
        <v>0</v>
      </c>
      <c r="AM38" s="2" t="str">
        <f t="shared" si="9"/>
        <v>物品类型</v>
      </c>
      <c r="AN38" s="2" t="str">
        <f t="shared" si="10"/>
        <v>id</v>
      </c>
      <c r="AO38" s="234"/>
      <c r="AP38" s="2">
        <f t="shared" si="21"/>
        <v>0</v>
      </c>
    </row>
    <row r="39" spans="1:42" x14ac:dyDescent="0.45">
      <c r="A39" s="2">
        <v>35</v>
      </c>
      <c r="B39" s="2">
        <v>55300</v>
      </c>
      <c r="C39" s="1" t="str">
        <f t="shared" si="11"/>
        <v>1|1|72</v>
      </c>
      <c r="D39" s="1" t="str">
        <f t="shared" si="12"/>
        <v>2|1001|8</v>
      </c>
      <c r="E39" s="1" t="str">
        <f t="shared" si="13"/>
        <v>2|1002|8</v>
      </c>
      <c r="F39" s="1" t="str">
        <f t="shared" si="14"/>
        <v>1|1|100</v>
      </c>
      <c r="G39" s="1" t="str">
        <f t="shared" si="15"/>
        <v>2|1003|50</v>
      </c>
      <c r="H39" s="1"/>
      <c r="I39" s="1"/>
      <c r="J39" s="1"/>
      <c r="L39" s="2">
        <v>160</v>
      </c>
      <c r="M39" s="2">
        <f>SUM($L$5:L39)</f>
        <v>2372.5</v>
      </c>
      <c r="N39" s="2">
        <v>0.96</v>
      </c>
      <c r="O39" s="2">
        <f t="shared" si="25"/>
        <v>345.59999999999997</v>
      </c>
      <c r="P39" s="2">
        <f t="shared" si="16"/>
        <v>55300</v>
      </c>
      <c r="S39" s="9" t="s">
        <v>738</v>
      </c>
      <c r="T39" s="9">
        <f t="shared" si="1"/>
        <v>1</v>
      </c>
      <c r="U39" s="9">
        <f t="shared" si="2"/>
        <v>1</v>
      </c>
      <c r="V39" s="146">
        <f t="shared" si="17"/>
        <v>72</v>
      </c>
      <c r="W39" s="9" t="str">
        <f t="shared" si="23"/>
        <v>锁定</v>
      </c>
      <c r="X39" s="9">
        <f t="shared" si="3"/>
        <v>2</v>
      </c>
      <c r="Y39" s="9">
        <f t="shared" si="4"/>
        <v>1001</v>
      </c>
      <c r="Z39" s="9">
        <v>8</v>
      </c>
      <c r="AA39" s="9" t="str">
        <f t="shared" si="24"/>
        <v>冰冻</v>
      </c>
      <c r="AB39" s="9">
        <f t="shared" si="5"/>
        <v>2</v>
      </c>
      <c r="AC39" s="9">
        <f t="shared" si="6"/>
        <v>1002</v>
      </c>
      <c r="AD39" s="9">
        <f t="shared" si="18"/>
        <v>8</v>
      </c>
      <c r="AF39" s="47">
        <v>35</v>
      </c>
      <c r="AG39" s="2" t="s">
        <v>738</v>
      </c>
      <c r="AH39" s="2">
        <f t="shared" si="7"/>
        <v>1</v>
      </c>
      <c r="AI39" s="2">
        <f t="shared" si="8"/>
        <v>1</v>
      </c>
      <c r="AJ39" s="2">
        <v>100</v>
      </c>
      <c r="AK39" s="2">
        <f t="shared" si="19"/>
        <v>2000000</v>
      </c>
      <c r="AL39" s="2" t="s">
        <v>764</v>
      </c>
      <c r="AM39" s="2">
        <f t="shared" si="9"/>
        <v>2</v>
      </c>
      <c r="AN39" s="2">
        <f t="shared" si="10"/>
        <v>1003</v>
      </c>
      <c r="AO39" s="235">
        <v>50</v>
      </c>
      <c r="AP39" s="2">
        <f t="shared" si="21"/>
        <v>19999999.999999996</v>
      </c>
    </row>
    <row r="40" spans="1:42" x14ac:dyDescent="0.45">
      <c r="A40" s="2">
        <v>36</v>
      </c>
      <c r="B40" s="2">
        <v>57020</v>
      </c>
      <c r="C40" s="1" t="str">
        <f t="shared" si="11"/>
        <v>1|1|74</v>
      </c>
      <c r="D40" s="1" t="str">
        <f t="shared" si="12"/>
        <v>2|1002|8</v>
      </c>
      <c r="E40" s="1" t="str">
        <f t="shared" si="13"/>
        <v>2|1002|8</v>
      </c>
      <c r="F40" s="1" t="str">
        <f t="shared" si="14"/>
        <v/>
      </c>
      <c r="G40" s="1" t="str">
        <f t="shared" si="15"/>
        <v/>
      </c>
      <c r="H40" s="1"/>
      <c r="I40" s="1"/>
      <c r="J40" s="1"/>
      <c r="L40" s="2">
        <v>165</v>
      </c>
      <c r="M40" s="2">
        <f>SUM($L$5:L40)</f>
        <v>2537.5</v>
      </c>
      <c r="N40" s="2">
        <v>0.96</v>
      </c>
      <c r="O40" s="2">
        <f t="shared" si="25"/>
        <v>345.59999999999997</v>
      </c>
      <c r="P40" s="2">
        <f t="shared" si="16"/>
        <v>57020</v>
      </c>
      <c r="S40" s="9" t="s">
        <v>738</v>
      </c>
      <c r="T40" s="9">
        <f t="shared" si="1"/>
        <v>1</v>
      </c>
      <c r="U40" s="9">
        <f t="shared" si="2"/>
        <v>1</v>
      </c>
      <c r="V40" s="146">
        <f t="shared" si="17"/>
        <v>74</v>
      </c>
      <c r="W40" s="9" t="str">
        <f t="shared" si="23"/>
        <v>冰冻</v>
      </c>
      <c r="X40" s="9">
        <f t="shared" si="3"/>
        <v>2</v>
      </c>
      <c r="Y40" s="9">
        <f t="shared" si="4"/>
        <v>1002</v>
      </c>
      <c r="Z40" s="9">
        <v>8</v>
      </c>
      <c r="AA40" s="9" t="str">
        <f t="shared" si="24"/>
        <v>冰冻</v>
      </c>
      <c r="AB40" s="9">
        <f t="shared" si="5"/>
        <v>2</v>
      </c>
      <c r="AC40" s="9">
        <f t="shared" si="6"/>
        <v>1002</v>
      </c>
      <c r="AD40" s="9">
        <f t="shared" si="18"/>
        <v>8</v>
      </c>
      <c r="AF40" s="2">
        <v>36</v>
      </c>
      <c r="AH40" s="2" t="str">
        <f t="shared" si="7"/>
        <v>物品类型</v>
      </c>
      <c r="AI40" s="2" t="str">
        <f t="shared" si="8"/>
        <v>id</v>
      </c>
      <c r="AJ40" s="2" t="s">
        <v>1568</v>
      </c>
      <c r="AK40" s="2">
        <f t="shared" si="19"/>
        <v>0</v>
      </c>
      <c r="AL40" s="2">
        <f t="shared" si="20"/>
        <v>0</v>
      </c>
      <c r="AM40" s="2" t="str">
        <f t="shared" si="9"/>
        <v>物品类型</v>
      </c>
      <c r="AN40" s="2" t="str">
        <f t="shared" si="10"/>
        <v>id</v>
      </c>
      <c r="AO40" s="234"/>
      <c r="AP40" s="2">
        <f t="shared" si="21"/>
        <v>0</v>
      </c>
    </row>
    <row r="41" spans="1:42" x14ac:dyDescent="0.45">
      <c r="A41" s="2">
        <v>37</v>
      </c>
      <c r="B41" s="2">
        <v>58750</v>
      </c>
      <c r="C41" s="1" t="str">
        <f t="shared" si="11"/>
        <v>1|1|76</v>
      </c>
      <c r="D41" s="1" t="str">
        <f t="shared" si="12"/>
        <v>2|1001|8</v>
      </c>
      <c r="E41" s="1" t="str">
        <f t="shared" si="13"/>
        <v>2|1004|8</v>
      </c>
      <c r="F41" s="1" t="str">
        <f t="shared" si="14"/>
        <v/>
      </c>
      <c r="G41" s="1" t="str">
        <f t="shared" si="15"/>
        <v/>
      </c>
      <c r="H41" s="1"/>
      <c r="I41" s="1"/>
      <c r="J41" s="1"/>
      <c r="L41" s="2">
        <v>170</v>
      </c>
      <c r="M41" s="2">
        <f>SUM($L$5:L41)</f>
        <v>2707.5</v>
      </c>
      <c r="N41" s="2">
        <v>0.96</v>
      </c>
      <c r="O41" s="2">
        <f t="shared" si="25"/>
        <v>345.59999999999997</v>
      </c>
      <c r="P41" s="2">
        <f t="shared" si="16"/>
        <v>58750</v>
      </c>
      <c r="S41" s="9" t="s">
        <v>738</v>
      </c>
      <c r="T41" s="9">
        <f t="shared" si="1"/>
        <v>1</v>
      </c>
      <c r="U41" s="9">
        <f t="shared" si="2"/>
        <v>1</v>
      </c>
      <c r="V41" s="146">
        <f t="shared" si="17"/>
        <v>76</v>
      </c>
      <c r="W41" s="9" t="str">
        <f t="shared" si="23"/>
        <v>锁定</v>
      </c>
      <c r="X41" s="9">
        <f t="shared" si="3"/>
        <v>2</v>
      </c>
      <c r="Y41" s="9">
        <f t="shared" si="4"/>
        <v>1001</v>
      </c>
      <c r="Z41" s="9">
        <v>8</v>
      </c>
      <c r="AA41" s="9" t="str">
        <f t="shared" si="24"/>
        <v>召唤</v>
      </c>
      <c r="AB41" s="9">
        <f t="shared" si="5"/>
        <v>2</v>
      </c>
      <c r="AC41" s="9">
        <f t="shared" si="6"/>
        <v>1004</v>
      </c>
      <c r="AD41" s="9">
        <f t="shared" si="18"/>
        <v>8</v>
      </c>
      <c r="AF41" s="2">
        <v>37</v>
      </c>
      <c r="AH41" s="2" t="str">
        <f t="shared" si="7"/>
        <v>物品类型</v>
      </c>
      <c r="AI41" s="2" t="str">
        <f t="shared" si="8"/>
        <v>id</v>
      </c>
      <c r="AJ41" s="2" t="s">
        <v>1568</v>
      </c>
      <c r="AK41" s="2">
        <f t="shared" si="19"/>
        <v>0</v>
      </c>
      <c r="AM41" s="2" t="str">
        <f t="shared" si="9"/>
        <v>物品类型</v>
      </c>
      <c r="AN41" s="2" t="str">
        <f t="shared" si="10"/>
        <v>id</v>
      </c>
      <c r="AO41" s="234"/>
      <c r="AP41" s="2">
        <f t="shared" si="21"/>
        <v>0</v>
      </c>
    </row>
    <row r="42" spans="1:42" x14ac:dyDescent="0.45">
      <c r="A42" s="2">
        <v>38</v>
      </c>
      <c r="B42" s="2">
        <v>60480</v>
      </c>
      <c r="C42" s="1" t="str">
        <f t="shared" si="11"/>
        <v>1|1|78</v>
      </c>
      <c r="D42" s="1" t="str">
        <f t="shared" si="12"/>
        <v>2|1002|8</v>
      </c>
      <c r="E42" s="1" t="str">
        <f t="shared" si="13"/>
        <v>2|1004|8</v>
      </c>
      <c r="F42" s="1" t="str">
        <f t="shared" si="14"/>
        <v>1|2|3000000</v>
      </c>
      <c r="G42" s="1" t="str">
        <f t="shared" si="15"/>
        <v>1|2|30000000</v>
      </c>
      <c r="H42" s="1"/>
      <c r="I42" s="1"/>
      <c r="J42" s="1"/>
      <c r="L42" s="2">
        <v>175</v>
      </c>
      <c r="M42" s="2">
        <f>SUM($L$5:L42)</f>
        <v>2882.5</v>
      </c>
      <c r="N42" s="2">
        <v>0.96</v>
      </c>
      <c r="O42" s="2">
        <f t="shared" si="25"/>
        <v>345.59999999999997</v>
      </c>
      <c r="P42" s="2">
        <f t="shared" si="16"/>
        <v>60480</v>
      </c>
      <c r="S42" s="9" t="s">
        <v>738</v>
      </c>
      <c r="T42" s="9">
        <f t="shared" si="1"/>
        <v>1</v>
      </c>
      <c r="U42" s="9">
        <f t="shared" si="2"/>
        <v>1</v>
      </c>
      <c r="V42" s="146">
        <f t="shared" si="17"/>
        <v>78</v>
      </c>
      <c r="W42" s="9" t="str">
        <f t="shared" si="23"/>
        <v>冰冻</v>
      </c>
      <c r="X42" s="9">
        <f t="shared" si="3"/>
        <v>2</v>
      </c>
      <c r="Y42" s="9">
        <f t="shared" si="4"/>
        <v>1002</v>
      </c>
      <c r="Z42" s="9">
        <v>8</v>
      </c>
      <c r="AA42" s="9" t="str">
        <f t="shared" si="24"/>
        <v>召唤</v>
      </c>
      <c r="AB42" s="9">
        <f t="shared" si="5"/>
        <v>2</v>
      </c>
      <c r="AC42" s="9">
        <f t="shared" si="6"/>
        <v>1004</v>
      </c>
      <c r="AD42" s="9">
        <f t="shared" si="18"/>
        <v>8</v>
      </c>
      <c r="AF42" s="47">
        <v>38</v>
      </c>
      <c r="AG42" s="2" t="s">
        <v>103</v>
      </c>
      <c r="AH42" s="2">
        <f t="shared" si="7"/>
        <v>1</v>
      </c>
      <c r="AI42" s="2">
        <f t="shared" si="8"/>
        <v>2</v>
      </c>
      <c r="AJ42" s="2">
        <v>3000000</v>
      </c>
      <c r="AK42" s="2">
        <f t="shared" si="19"/>
        <v>3000000</v>
      </c>
      <c r="AL42" s="2" t="str">
        <f t="shared" si="20"/>
        <v>金币</v>
      </c>
      <c r="AM42" s="2">
        <f t="shared" si="9"/>
        <v>1</v>
      </c>
      <c r="AN42" s="2">
        <f t="shared" si="10"/>
        <v>2</v>
      </c>
      <c r="AO42" s="234">
        <f>AJ42*10</f>
        <v>30000000</v>
      </c>
      <c r="AP42" s="2">
        <f t="shared" si="21"/>
        <v>30000000</v>
      </c>
    </row>
    <row r="43" spans="1:42" x14ac:dyDescent="0.45">
      <c r="A43" s="2">
        <v>39</v>
      </c>
      <c r="B43" s="2">
        <v>62210</v>
      </c>
      <c r="C43" s="1" t="str">
        <f t="shared" si="11"/>
        <v>1|1|80</v>
      </c>
      <c r="D43" s="1" t="str">
        <f t="shared" si="12"/>
        <v>2|1001|9</v>
      </c>
      <c r="E43" s="1" t="str">
        <f t="shared" si="13"/>
        <v>2|1003|5</v>
      </c>
      <c r="F43" s="1" t="str">
        <f t="shared" si="14"/>
        <v/>
      </c>
      <c r="G43" s="1" t="str">
        <f t="shared" si="15"/>
        <v/>
      </c>
      <c r="H43" s="1"/>
      <c r="I43" s="1"/>
      <c r="J43" s="1"/>
      <c r="L43" s="2">
        <v>180</v>
      </c>
      <c r="M43" s="2">
        <f>SUM($L$5:L43)</f>
        <v>3062.5</v>
      </c>
      <c r="N43" s="2">
        <v>0.96</v>
      </c>
      <c r="O43" s="2">
        <f t="shared" si="25"/>
        <v>345.59999999999997</v>
      </c>
      <c r="P43" s="2">
        <f t="shared" si="16"/>
        <v>62210</v>
      </c>
      <c r="S43" s="9" t="s">
        <v>738</v>
      </c>
      <c r="T43" s="9">
        <f t="shared" si="1"/>
        <v>1</v>
      </c>
      <c r="U43" s="9">
        <f t="shared" si="2"/>
        <v>1</v>
      </c>
      <c r="V43" s="146">
        <f t="shared" si="17"/>
        <v>80</v>
      </c>
      <c r="W43" s="9" t="str">
        <f t="shared" si="23"/>
        <v>锁定</v>
      </c>
      <c r="X43" s="9">
        <f t="shared" si="3"/>
        <v>2</v>
      </c>
      <c r="Y43" s="9">
        <f t="shared" si="4"/>
        <v>1001</v>
      </c>
      <c r="Z43" s="9">
        <v>9</v>
      </c>
      <c r="AA43" s="9" t="str">
        <f t="shared" si="24"/>
        <v>狂暴</v>
      </c>
      <c r="AB43" s="9">
        <f t="shared" si="5"/>
        <v>2</v>
      </c>
      <c r="AC43" s="9">
        <f t="shared" si="6"/>
        <v>1003</v>
      </c>
      <c r="AD43" s="9">
        <f t="shared" si="18"/>
        <v>5</v>
      </c>
      <c r="AF43" s="2">
        <v>39</v>
      </c>
      <c r="AH43" s="2" t="str">
        <f t="shared" si="7"/>
        <v>物品类型</v>
      </c>
      <c r="AI43" s="2" t="str">
        <f t="shared" si="8"/>
        <v>id</v>
      </c>
      <c r="AJ43" s="2" t="s">
        <v>1568</v>
      </c>
      <c r="AK43" s="2">
        <f t="shared" si="19"/>
        <v>0</v>
      </c>
      <c r="AL43" s="2">
        <f t="shared" si="20"/>
        <v>0</v>
      </c>
      <c r="AM43" s="2" t="str">
        <f t="shared" si="9"/>
        <v>物品类型</v>
      </c>
      <c r="AN43" s="2" t="str">
        <f t="shared" si="10"/>
        <v>id</v>
      </c>
      <c r="AO43" s="234"/>
      <c r="AP43" s="2">
        <f t="shared" si="21"/>
        <v>0</v>
      </c>
    </row>
    <row r="44" spans="1:42" x14ac:dyDescent="0.45">
      <c r="A44" s="2">
        <v>40</v>
      </c>
      <c r="B44" s="2">
        <v>63940</v>
      </c>
      <c r="C44" s="1" t="str">
        <f t="shared" si="11"/>
        <v>1|1|82</v>
      </c>
      <c r="D44" s="1" t="str">
        <f t="shared" si="12"/>
        <v>2|1002|9</v>
      </c>
      <c r="E44" s="1" t="str">
        <f t="shared" si="13"/>
        <v>2|1004|9</v>
      </c>
      <c r="F44" s="1" t="str">
        <f t="shared" si="14"/>
        <v>2|1006|2</v>
      </c>
      <c r="G44" s="1" t="str">
        <f t="shared" si="15"/>
        <v>2|1007|8</v>
      </c>
      <c r="H44" s="1"/>
      <c r="I44" s="1"/>
      <c r="J44" s="1"/>
      <c r="L44" s="2">
        <v>185</v>
      </c>
      <c r="M44" s="2">
        <f>SUM($L$5:L44)</f>
        <v>3247.5</v>
      </c>
      <c r="N44" s="2">
        <v>0.96</v>
      </c>
      <c r="O44" s="2">
        <f t="shared" si="25"/>
        <v>345.59999999999997</v>
      </c>
      <c r="P44" s="2">
        <f t="shared" si="16"/>
        <v>63940</v>
      </c>
      <c r="S44" s="9" t="s">
        <v>738</v>
      </c>
      <c r="T44" s="9">
        <f t="shared" si="1"/>
        <v>1</v>
      </c>
      <c r="U44" s="9">
        <f t="shared" si="2"/>
        <v>1</v>
      </c>
      <c r="V44" s="146">
        <f t="shared" si="17"/>
        <v>82</v>
      </c>
      <c r="W44" s="9" t="str">
        <f t="shared" si="23"/>
        <v>冰冻</v>
      </c>
      <c r="X44" s="9">
        <f t="shared" si="3"/>
        <v>2</v>
      </c>
      <c r="Y44" s="9">
        <f t="shared" si="4"/>
        <v>1002</v>
      </c>
      <c r="Z44" s="9">
        <v>9</v>
      </c>
      <c r="AA44" s="9" t="str">
        <f t="shared" si="24"/>
        <v>召唤</v>
      </c>
      <c r="AB44" s="9">
        <f t="shared" si="5"/>
        <v>2</v>
      </c>
      <c r="AC44" s="9">
        <f t="shared" si="6"/>
        <v>1004</v>
      </c>
      <c r="AD44" s="9">
        <f t="shared" si="18"/>
        <v>9</v>
      </c>
      <c r="AF44" s="47">
        <v>40</v>
      </c>
      <c r="AG44" s="2" t="s">
        <v>1540</v>
      </c>
      <c r="AH44" s="2">
        <f t="shared" si="7"/>
        <v>2</v>
      </c>
      <c r="AI44" s="2">
        <f t="shared" si="8"/>
        <v>1006</v>
      </c>
      <c r="AJ44" s="2">
        <v>2</v>
      </c>
      <c r="AK44" s="2">
        <f t="shared" si="19"/>
        <v>3999999.9999999995</v>
      </c>
      <c r="AL44" s="2" t="s">
        <v>1549</v>
      </c>
      <c r="AM44" s="2">
        <f t="shared" si="9"/>
        <v>2</v>
      </c>
      <c r="AN44" s="2">
        <f t="shared" si="10"/>
        <v>1007</v>
      </c>
      <c r="AO44" s="235">
        <v>8</v>
      </c>
      <c r="AP44" s="2">
        <f t="shared" si="21"/>
        <v>40000000</v>
      </c>
    </row>
    <row r="45" spans="1:42" x14ac:dyDescent="0.45">
      <c r="A45" s="2">
        <v>41</v>
      </c>
      <c r="B45" s="2">
        <v>65660</v>
      </c>
      <c r="C45" s="1" t="str">
        <f t="shared" si="11"/>
        <v>1|1|84</v>
      </c>
      <c r="D45" s="1" t="str">
        <f t="shared" ref="D45:D103" si="26">X45&amp;"|"&amp;Y45&amp;"|"&amp;Z45</f>
        <v>2|1001|9</v>
      </c>
      <c r="E45" s="1" t="str">
        <f t="shared" ref="E45:E103" si="27">AB45&amp;"|"&amp;AC45&amp;"|"&amp;AD45</f>
        <v>2|1002|9</v>
      </c>
      <c r="F45" s="1" t="str">
        <f t="shared" ref="F45:F54" si="28">TRIM(IF(AG45&lt;&gt;"",AH45&amp;"|"&amp;AI45&amp;"|"&amp;AJ45,""))</f>
        <v/>
      </c>
      <c r="G45" s="1" t="str">
        <f t="shared" si="15"/>
        <v/>
      </c>
      <c r="L45" s="2">
        <v>190</v>
      </c>
      <c r="M45" s="2">
        <f>SUM($L$5:L45)</f>
        <v>3437.5</v>
      </c>
      <c r="N45" s="2">
        <v>0.96</v>
      </c>
      <c r="O45" s="2">
        <f t="shared" si="25"/>
        <v>345.59999999999997</v>
      </c>
      <c r="P45" s="2">
        <f t="shared" si="16"/>
        <v>65660</v>
      </c>
      <c r="S45" s="9" t="s">
        <v>738</v>
      </c>
      <c r="T45" s="9">
        <f t="shared" ref="T45:T84" si="29">VLOOKUP(S45,AT:AY,4,0)</f>
        <v>1</v>
      </c>
      <c r="U45" s="9">
        <f t="shared" ref="U45:U84" si="30">VLOOKUP(S45,AT:AY,5,0)</f>
        <v>1</v>
      </c>
      <c r="V45" s="146">
        <f t="shared" si="17"/>
        <v>84</v>
      </c>
      <c r="W45" s="9" t="str">
        <f t="shared" si="23"/>
        <v>锁定</v>
      </c>
      <c r="X45" s="9">
        <f t="shared" ref="X45:X84" si="31">VLOOKUP(W45,AT:AY,4,0)</f>
        <v>2</v>
      </c>
      <c r="Y45" s="9">
        <f t="shared" ref="Y45:Y84" si="32">VLOOKUP(W45,AT:AY,5,0)</f>
        <v>1001</v>
      </c>
      <c r="Z45" s="9">
        <v>9</v>
      </c>
      <c r="AA45" s="9" t="str">
        <f t="shared" si="24"/>
        <v>冰冻</v>
      </c>
      <c r="AB45" s="9">
        <f t="shared" ref="AB45:AB84" si="33">VLOOKUP(AA45,AT:AY,4,0)</f>
        <v>2</v>
      </c>
      <c r="AC45" s="9">
        <f t="shared" ref="AC45:AC84" si="34">VLOOKUP(AA45,AT:AY,5,0)</f>
        <v>1002</v>
      </c>
      <c r="AD45" s="9">
        <f t="shared" si="18"/>
        <v>9</v>
      </c>
      <c r="AF45" s="2">
        <v>41</v>
      </c>
      <c r="AH45" s="2" t="str">
        <f t="shared" si="7"/>
        <v>物品类型</v>
      </c>
      <c r="AI45" s="2" t="str">
        <f t="shared" si="8"/>
        <v>id</v>
      </c>
      <c r="AJ45" s="2" t="s">
        <v>1568</v>
      </c>
      <c r="AK45" s="2">
        <f t="shared" si="19"/>
        <v>0</v>
      </c>
      <c r="AL45" s="2">
        <f t="shared" ref="AL45:AL52" si="35">AG45</f>
        <v>0</v>
      </c>
      <c r="AM45" s="2" t="str">
        <f t="shared" si="9"/>
        <v>物品类型</v>
      </c>
      <c r="AN45" s="2" t="str">
        <f t="shared" si="10"/>
        <v>id</v>
      </c>
      <c r="AO45" s="234"/>
      <c r="AP45" s="2">
        <f t="shared" si="21"/>
        <v>0</v>
      </c>
    </row>
    <row r="46" spans="1:42" x14ac:dyDescent="0.45">
      <c r="A46" s="2">
        <v>42</v>
      </c>
      <c r="B46" s="2">
        <v>67390</v>
      </c>
      <c r="C46" s="1" t="str">
        <f t="shared" si="11"/>
        <v>1|1|86</v>
      </c>
      <c r="D46" s="1" t="str">
        <f t="shared" si="26"/>
        <v>2|1002|9</v>
      </c>
      <c r="E46" s="1" t="str">
        <f t="shared" si="27"/>
        <v>2|1004|9</v>
      </c>
      <c r="F46" s="1" t="str">
        <f t="shared" si="28"/>
        <v/>
      </c>
      <c r="G46" s="1" t="str">
        <f t="shared" si="15"/>
        <v/>
      </c>
      <c r="L46" s="2">
        <v>195</v>
      </c>
      <c r="M46" s="2">
        <f>SUM($L$5:L46)</f>
        <v>3632.5</v>
      </c>
      <c r="N46" s="2">
        <v>0.96</v>
      </c>
      <c r="O46" s="2">
        <f t="shared" si="25"/>
        <v>345.59999999999997</v>
      </c>
      <c r="P46" s="2">
        <f t="shared" si="16"/>
        <v>67390</v>
      </c>
      <c r="S46" s="9" t="s">
        <v>738</v>
      </c>
      <c r="T46" s="9">
        <f t="shared" si="29"/>
        <v>1</v>
      </c>
      <c r="U46" s="9">
        <f t="shared" si="30"/>
        <v>1</v>
      </c>
      <c r="V46" s="146">
        <f t="shared" si="17"/>
        <v>86</v>
      </c>
      <c r="W46" s="9" t="str">
        <f t="shared" si="23"/>
        <v>冰冻</v>
      </c>
      <c r="X46" s="9">
        <f t="shared" si="31"/>
        <v>2</v>
      </c>
      <c r="Y46" s="9">
        <f t="shared" si="32"/>
        <v>1002</v>
      </c>
      <c r="Z46" s="9">
        <v>9</v>
      </c>
      <c r="AA46" s="9" t="str">
        <f t="shared" si="24"/>
        <v>召唤</v>
      </c>
      <c r="AB46" s="9">
        <f t="shared" si="33"/>
        <v>2</v>
      </c>
      <c r="AC46" s="9">
        <f t="shared" si="34"/>
        <v>1004</v>
      </c>
      <c r="AD46" s="9">
        <f t="shared" si="18"/>
        <v>9</v>
      </c>
      <c r="AF46" s="2">
        <v>42</v>
      </c>
      <c r="AH46" s="2" t="str">
        <f t="shared" si="7"/>
        <v>物品类型</v>
      </c>
      <c r="AI46" s="2" t="str">
        <f t="shared" si="8"/>
        <v>id</v>
      </c>
      <c r="AJ46" s="2" t="s">
        <v>1568</v>
      </c>
      <c r="AK46" s="2">
        <f t="shared" si="19"/>
        <v>0</v>
      </c>
      <c r="AL46" s="2">
        <f t="shared" si="35"/>
        <v>0</v>
      </c>
      <c r="AM46" s="2" t="str">
        <f t="shared" si="9"/>
        <v>物品类型</v>
      </c>
      <c r="AN46" s="2" t="str">
        <f t="shared" si="10"/>
        <v>id</v>
      </c>
      <c r="AO46" s="234"/>
      <c r="AP46" s="2">
        <f t="shared" si="21"/>
        <v>0</v>
      </c>
    </row>
    <row r="47" spans="1:42" x14ac:dyDescent="0.45">
      <c r="A47" s="2">
        <v>43</v>
      </c>
      <c r="B47" s="2">
        <v>69120</v>
      </c>
      <c r="C47" s="1" t="str">
        <f t="shared" si="11"/>
        <v>1|1|88</v>
      </c>
      <c r="D47" s="1" t="str">
        <f t="shared" si="26"/>
        <v>2|1001|9</v>
      </c>
      <c r="E47" s="1" t="str">
        <f t="shared" si="27"/>
        <v>2|1004|9</v>
      </c>
      <c r="F47" s="1" t="str">
        <f t="shared" si="28"/>
        <v>1|2|4000000</v>
      </c>
      <c r="G47" s="1" t="str">
        <f t="shared" si="15"/>
        <v>1|2|40000000</v>
      </c>
      <c r="L47" s="2">
        <v>200</v>
      </c>
      <c r="M47" s="2">
        <f>SUM($L$5:L47)</f>
        <v>3832.5</v>
      </c>
      <c r="N47" s="2">
        <v>0.96</v>
      </c>
      <c r="O47" s="2">
        <f t="shared" si="25"/>
        <v>345.59999999999997</v>
      </c>
      <c r="P47" s="2">
        <f t="shared" si="16"/>
        <v>69120</v>
      </c>
      <c r="S47" s="9" t="s">
        <v>738</v>
      </c>
      <c r="T47" s="9">
        <f t="shared" si="29"/>
        <v>1</v>
      </c>
      <c r="U47" s="9">
        <f t="shared" si="30"/>
        <v>1</v>
      </c>
      <c r="V47" s="146">
        <f t="shared" si="17"/>
        <v>88</v>
      </c>
      <c r="W47" s="9" t="str">
        <f t="shared" si="23"/>
        <v>锁定</v>
      </c>
      <c r="X47" s="9">
        <f t="shared" si="31"/>
        <v>2</v>
      </c>
      <c r="Y47" s="9">
        <f t="shared" si="32"/>
        <v>1001</v>
      </c>
      <c r="Z47" s="9">
        <v>9</v>
      </c>
      <c r="AA47" s="9" t="str">
        <f t="shared" si="24"/>
        <v>召唤</v>
      </c>
      <c r="AB47" s="9">
        <f t="shared" si="33"/>
        <v>2</v>
      </c>
      <c r="AC47" s="9">
        <f t="shared" si="34"/>
        <v>1004</v>
      </c>
      <c r="AD47" s="9">
        <f t="shared" si="18"/>
        <v>9</v>
      </c>
      <c r="AF47" s="47">
        <v>43</v>
      </c>
      <c r="AG47" s="2" t="s">
        <v>103</v>
      </c>
      <c r="AH47" s="2">
        <f t="shared" si="7"/>
        <v>1</v>
      </c>
      <c r="AI47" s="2">
        <f t="shared" si="8"/>
        <v>2</v>
      </c>
      <c r="AJ47" s="2">
        <v>4000000</v>
      </c>
      <c r="AK47" s="2">
        <f t="shared" si="19"/>
        <v>4000000</v>
      </c>
      <c r="AL47" s="2" t="str">
        <f t="shared" si="35"/>
        <v>金币</v>
      </c>
      <c r="AM47" s="2">
        <f t="shared" si="9"/>
        <v>1</v>
      </c>
      <c r="AN47" s="2">
        <f t="shared" si="10"/>
        <v>2</v>
      </c>
      <c r="AO47" s="234">
        <f>AJ47*10</f>
        <v>40000000</v>
      </c>
      <c r="AP47" s="2">
        <f t="shared" si="21"/>
        <v>40000000</v>
      </c>
    </row>
    <row r="48" spans="1:42" x14ac:dyDescent="0.45">
      <c r="A48" s="2">
        <v>44</v>
      </c>
      <c r="B48" s="2">
        <v>70850</v>
      </c>
      <c r="C48" s="1" t="str">
        <f t="shared" si="11"/>
        <v>1|1|90</v>
      </c>
      <c r="D48" s="1" t="str">
        <f t="shared" si="26"/>
        <v>2|1002|10</v>
      </c>
      <c r="E48" s="1" t="str">
        <f t="shared" si="27"/>
        <v>2|1003|5</v>
      </c>
      <c r="F48" s="1" t="str">
        <f t="shared" si="28"/>
        <v/>
      </c>
      <c r="G48" s="1" t="str">
        <f t="shared" si="15"/>
        <v/>
      </c>
      <c r="L48" s="2">
        <v>205</v>
      </c>
      <c r="M48" s="2">
        <f>SUM($L$5:L48)</f>
        <v>4037.5</v>
      </c>
      <c r="N48" s="2">
        <v>0.96</v>
      </c>
      <c r="O48" s="2">
        <f t="shared" si="25"/>
        <v>345.59999999999997</v>
      </c>
      <c r="P48" s="2">
        <f t="shared" si="16"/>
        <v>70850</v>
      </c>
      <c r="S48" s="9" t="s">
        <v>738</v>
      </c>
      <c r="T48" s="9">
        <f t="shared" si="29"/>
        <v>1</v>
      </c>
      <c r="U48" s="9">
        <f t="shared" si="30"/>
        <v>1</v>
      </c>
      <c r="V48" s="146">
        <f t="shared" si="17"/>
        <v>90</v>
      </c>
      <c r="W48" s="9" t="str">
        <f t="shared" si="23"/>
        <v>冰冻</v>
      </c>
      <c r="X48" s="9">
        <f t="shared" si="31"/>
        <v>2</v>
      </c>
      <c r="Y48" s="9">
        <f t="shared" si="32"/>
        <v>1002</v>
      </c>
      <c r="Z48" s="9">
        <v>10</v>
      </c>
      <c r="AA48" s="9" t="str">
        <f t="shared" si="24"/>
        <v>狂暴</v>
      </c>
      <c r="AB48" s="9">
        <f t="shared" si="33"/>
        <v>2</v>
      </c>
      <c r="AC48" s="9">
        <f t="shared" si="34"/>
        <v>1003</v>
      </c>
      <c r="AD48" s="9">
        <f t="shared" si="18"/>
        <v>5</v>
      </c>
      <c r="AF48" s="2">
        <v>44</v>
      </c>
      <c r="AH48" s="2" t="str">
        <f t="shared" si="7"/>
        <v>物品类型</v>
      </c>
      <c r="AI48" s="2" t="str">
        <f t="shared" si="8"/>
        <v>id</v>
      </c>
      <c r="AK48" s="2">
        <f t="shared" si="19"/>
        <v>0</v>
      </c>
      <c r="AL48" s="2">
        <f t="shared" si="35"/>
        <v>0</v>
      </c>
      <c r="AM48" s="2" t="str">
        <f t="shared" si="9"/>
        <v>物品类型</v>
      </c>
      <c r="AN48" s="2" t="str">
        <f t="shared" si="10"/>
        <v>id</v>
      </c>
      <c r="AO48" s="234"/>
      <c r="AP48" s="2">
        <f t="shared" si="21"/>
        <v>0</v>
      </c>
    </row>
    <row r="49" spans="1:42" x14ac:dyDescent="0.45">
      <c r="A49" s="2">
        <v>45</v>
      </c>
      <c r="B49" s="2">
        <v>72580</v>
      </c>
      <c r="C49" s="1" t="str">
        <f t="shared" si="11"/>
        <v>1|1|92</v>
      </c>
      <c r="D49" s="1" t="str">
        <f t="shared" si="26"/>
        <v>2|1001|10</v>
      </c>
      <c r="E49" s="1" t="str">
        <f t="shared" si="27"/>
        <v>2|1002|10</v>
      </c>
      <c r="F49" s="1" t="str">
        <f t="shared" si="28"/>
        <v>2|1003|10</v>
      </c>
      <c r="G49" s="1" t="str">
        <f t="shared" si="15"/>
        <v>2|1003|100</v>
      </c>
      <c r="L49" s="2">
        <v>210</v>
      </c>
      <c r="M49" s="2">
        <f>SUM($L$5:L49)</f>
        <v>4247.5</v>
      </c>
      <c r="N49" s="2">
        <v>0.96</v>
      </c>
      <c r="O49" s="2">
        <f t="shared" si="25"/>
        <v>345.59999999999997</v>
      </c>
      <c r="P49" s="2">
        <f t="shared" si="16"/>
        <v>72580</v>
      </c>
      <c r="S49" s="9" t="s">
        <v>738</v>
      </c>
      <c r="T49" s="9">
        <f t="shared" si="29"/>
        <v>1</v>
      </c>
      <c r="U49" s="9">
        <f t="shared" si="30"/>
        <v>1</v>
      </c>
      <c r="V49" s="146">
        <f t="shared" si="17"/>
        <v>92</v>
      </c>
      <c r="W49" s="9" t="str">
        <f t="shared" si="23"/>
        <v>锁定</v>
      </c>
      <c r="X49" s="9">
        <f t="shared" si="31"/>
        <v>2</v>
      </c>
      <c r="Y49" s="9">
        <f t="shared" si="32"/>
        <v>1001</v>
      </c>
      <c r="Z49" s="9">
        <v>10</v>
      </c>
      <c r="AA49" s="9" t="str">
        <f t="shared" si="24"/>
        <v>冰冻</v>
      </c>
      <c r="AB49" s="9">
        <f t="shared" si="33"/>
        <v>2</v>
      </c>
      <c r="AC49" s="9">
        <f t="shared" si="34"/>
        <v>1002</v>
      </c>
      <c r="AD49" s="9">
        <f t="shared" si="18"/>
        <v>10</v>
      </c>
      <c r="AF49" s="47">
        <v>45</v>
      </c>
      <c r="AG49" s="2" t="s">
        <v>764</v>
      </c>
      <c r="AH49" s="2">
        <f t="shared" si="7"/>
        <v>2</v>
      </c>
      <c r="AI49" s="2">
        <f t="shared" si="8"/>
        <v>1003</v>
      </c>
      <c r="AJ49" s="2">
        <v>10</v>
      </c>
      <c r="AK49" s="2">
        <f t="shared" si="19"/>
        <v>3999999.9999999995</v>
      </c>
      <c r="AL49" s="2" t="str">
        <f t="shared" si="35"/>
        <v>狂暴</v>
      </c>
      <c r="AM49" s="2">
        <f t="shared" si="9"/>
        <v>2</v>
      </c>
      <c r="AN49" s="2">
        <f t="shared" si="10"/>
        <v>1003</v>
      </c>
      <c r="AO49" s="234">
        <f>AJ49*10</f>
        <v>100</v>
      </c>
      <c r="AP49" s="2">
        <f t="shared" si="21"/>
        <v>39999999.999999993</v>
      </c>
    </row>
    <row r="50" spans="1:42" x14ac:dyDescent="0.45">
      <c r="A50" s="2">
        <v>46</v>
      </c>
      <c r="B50" s="2">
        <v>74300</v>
      </c>
      <c r="C50" s="1" t="str">
        <f t="shared" si="11"/>
        <v>1|1|94</v>
      </c>
      <c r="D50" s="1" t="str">
        <f t="shared" si="26"/>
        <v>2|1002|10</v>
      </c>
      <c r="E50" s="1" t="str">
        <f t="shared" si="27"/>
        <v>2|1002|10</v>
      </c>
      <c r="F50" s="1" t="str">
        <f t="shared" si="28"/>
        <v/>
      </c>
      <c r="G50" s="1" t="str">
        <f t="shared" si="15"/>
        <v/>
      </c>
      <c r="L50" s="2">
        <v>215</v>
      </c>
      <c r="M50" s="2">
        <f>SUM($L$5:L50)</f>
        <v>4462.5</v>
      </c>
      <c r="N50" s="2">
        <v>0.96</v>
      </c>
      <c r="O50" s="2">
        <f t="shared" si="25"/>
        <v>345.59999999999997</v>
      </c>
      <c r="P50" s="2">
        <f t="shared" si="16"/>
        <v>74300</v>
      </c>
      <c r="S50" s="9" t="s">
        <v>738</v>
      </c>
      <c r="T50" s="9">
        <f t="shared" si="29"/>
        <v>1</v>
      </c>
      <c r="U50" s="9">
        <f t="shared" si="30"/>
        <v>1</v>
      </c>
      <c r="V50" s="146">
        <f t="shared" si="17"/>
        <v>94</v>
      </c>
      <c r="W50" s="9" t="str">
        <f t="shared" si="23"/>
        <v>冰冻</v>
      </c>
      <c r="X50" s="9">
        <f t="shared" si="31"/>
        <v>2</v>
      </c>
      <c r="Y50" s="9">
        <f t="shared" si="32"/>
        <v>1002</v>
      </c>
      <c r="Z50" s="9">
        <v>10</v>
      </c>
      <c r="AA50" s="9" t="str">
        <f t="shared" si="24"/>
        <v>冰冻</v>
      </c>
      <c r="AB50" s="9">
        <f t="shared" si="33"/>
        <v>2</v>
      </c>
      <c r="AC50" s="9">
        <f t="shared" si="34"/>
        <v>1002</v>
      </c>
      <c r="AD50" s="9">
        <f t="shared" si="18"/>
        <v>10</v>
      </c>
      <c r="AF50" s="2">
        <v>46</v>
      </c>
      <c r="AH50" s="2" t="str">
        <f t="shared" si="7"/>
        <v>物品类型</v>
      </c>
      <c r="AI50" s="2" t="str">
        <f t="shared" si="8"/>
        <v>id</v>
      </c>
      <c r="AJ50" s="2" t="s">
        <v>1568</v>
      </c>
      <c r="AK50" s="2">
        <f t="shared" si="19"/>
        <v>0</v>
      </c>
      <c r="AL50" s="2">
        <f t="shared" si="35"/>
        <v>0</v>
      </c>
      <c r="AM50" s="2" t="str">
        <f t="shared" si="9"/>
        <v>物品类型</v>
      </c>
      <c r="AN50" s="2" t="str">
        <f t="shared" si="10"/>
        <v>id</v>
      </c>
      <c r="AO50" s="234"/>
      <c r="AP50" s="2">
        <f t="shared" si="21"/>
        <v>0</v>
      </c>
    </row>
    <row r="51" spans="1:42" x14ac:dyDescent="0.45">
      <c r="A51" s="2">
        <v>47</v>
      </c>
      <c r="B51" s="2">
        <v>76030</v>
      </c>
      <c r="C51" s="1" t="str">
        <f t="shared" si="11"/>
        <v>1|1|96</v>
      </c>
      <c r="D51" s="1" t="str">
        <f t="shared" si="26"/>
        <v>2|1001|10</v>
      </c>
      <c r="E51" s="1" t="str">
        <f t="shared" si="27"/>
        <v>2|1004|10</v>
      </c>
      <c r="F51" s="1" t="str">
        <f t="shared" si="28"/>
        <v/>
      </c>
      <c r="G51" s="1" t="str">
        <f t="shared" si="15"/>
        <v/>
      </c>
      <c r="L51" s="2">
        <v>220</v>
      </c>
      <c r="M51" s="2">
        <f>SUM($L$5:L51)</f>
        <v>4682.5</v>
      </c>
      <c r="N51" s="2">
        <v>0.96</v>
      </c>
      <c r="O51" s="2">
        <f t="shared" si="25"/>
        <v>345.59999999999997</v>
      </c>
      <c r="P51" s="2">
        <f t="shared" si="16"/>
        <v>76030</v>
      </c>
      <c r="S51" s="9" t="s">
        <v>738</v>
      </c>
      <c r="T51" s="9">
        <f t="shared" si="29"/>
        <v>1</v>
      </c>
      <c r="U51" s="9">
        <f t="shared" si="30"/>
        <v>1</v>
      </c>
      <c r="V51" s="146">
        <f t="shared" si="17"/>
        <v>96</v>
      </c>
      <c r="W51" s="9" t="str">
        <f t="shared" si="23"/>
        <v>锁定</v>
      </c>
      <c r="X51" s="9">
        <f t="shared" si="31"/>
        <v>2</v>
      </c>
      <c r="Y51" s="9">
        <f t="shared" si="32"/>
        <v>1001</v>
      </c>
      <c r="Z51" s="9">
        <v>10</v>
      </c>
      <c r="AA51" s="9" t="str">
        <f t="shared" si="24"/>
        <v>召唤</v>
      </c>
      <c r="AB51" s="9">
        <f t="shared" si="33"/>
        <v>2</v>
      </c>
      <c r="AC51" s="9">
        <f t="shared" si="34"/>
        <v>1004</v>
      </c>
      <c r="AD51" s="9">
        <f t="shared" si="18"/>
        <v>10</v>
      </c>
      <c r="AF51" s="2">
        <v>47</v>
      </c>
      <c r="AH51" s="2" t="str">
        <f t="shared" si="7"/>
        <v>物品类型</v>
      </c>
      <c r="AI51" s="2" t="str">
        <f t="shared" si="8"/>
        <v>id</v>
      </c>
      <c r="AJ51" s="2" t="s">
        <v>1568</v>
      </c>
      <c r="AK51" s="2">
        <f t="shared" si="19"/>
        <v>0</v>
      </c>
      <c r="AL51" s="2">
        <f t="shared" si="35"/>
        <v>0</v>
      </c>
      <c r="AM51" s="2" t="str">
        <f t="shared" si="9"/>
        <v>物品类型</v>
      </c>
      <c r="AN51" s="2" t="str">
        <f t="shared" si="10"/>
        <v>id</v>
      </c>
      <c r="AO51" s="234"/>
      <c r="AP51" s="2">
        <f t="shared" si="21"/>
        <v>0</v>
      </c>
    </row>
    <row r="52" spans="1:42" x14ac:dyDescent="0.45">
      <c r="A52" s="2">
        <v>48</v>
      </c>
      <c r="B52" s="2">
        <v>77760</v>
      </c>
      <c r="C52" s="1" t="str">
        <f t="shared" si="11"/>
        <v>1|1|98</v>
      </c>
      <c r="D52" s="1" t="str">
        <f t="shared" si="26"/>
        <v>2|1002|10</v>
      </c>
      <c r="E52" s="1" t="str">
        <f t="shared" si="27"/>
        <v>2|1004|10</v>
      </c>
      <c r="F52" s="1" t="str">
        <f t="shared" si="28"/>
        <v>1|2|4500000</v>
      </c>
      <c r="G52" s="1" t="str">
        <f t="shared" si="15"/>
        <v>1|2|45000000</v>
      </c>
      <c r="L52" s="2">
        <v>225</v>
      </c>
      <c r="M52" s="2">
        <f>SUM($L$5:L52)</f>
        <v>4907.5</v>
      </c>
      <c r="N52" s="2">
        <v>0.96</v>
      </c>
      <c r="O52" s="2">
        <f t="shared" si="25"/>
        <v>345.59999999999997</v>
      </c>
      <c r="P52" s="2">
        <f t="shared" si="16"/>
        <v>77760</v>
      </c>
      <c r="S52" s="9" t="s">
        <v>738</v>
      </c>
      <c r="T52" s="9">
        <f t="shared" si="29"/>
        <v>1</v>
      </c>
      <c r="U52" s="9">
        <f t="shared" si="30"/>
        <v>1</v>
      </c>
      <c r="V52" s="146">
        <f t="shared" si="17"/>
        <v>98</v>
      </c>
      <c r="W52" s="9" t="str">
        <f t="shared" si="23"/>
        <v>冰冻</v>
      </c>
      <c r="X52" s="9">
        <f t="shared" si="31"/>
        <v>2</v>
      </c>
      <c r="Y52" s="9">
        <f t="shared" si="32"/>
        <v>1002</v>
      </c>
      <c r="Z52" s="9">
        <v>10</v>
      </c>
      <c r="AA52" s="9" t="str">
        <f t="shared" si="24"/>
        <v>召唤</v>
      </c>
      <c r="AB52" s="9">
        <f t="shared" si="33"/>
        <v>2</v>
      </c>
      <c r="AC52" s="9">
        <f t="shared" si="34"/>
        <v>1004</v>
      </c>
      <c r="AD52" s="9">
        <f t="shared" si="18"/>
        <v>10</v>
      </c>
      <c r="AF52" s="47">
        <v>48</v>
      </c>
      <c r="AG52" s="2" t="s">
        <v>103</v>
      </c>
      <c r="AH52" s="2">
        <f t="shared" si="7"/>
        <v>1</v>
      </c>
      <c r="AI52" s="2">
        <f t="shared" si="8"/>
        <v>2</v>
      </c>
      <c r="AJ52" s="2">
        <v>4500000</v>
      </c>
      <c r="AK52" s="2">
        <f t="shared" si="19"/>
        <v>4500000</v>
      </c>
      <c r="AL52" s="2" t="str">
        <f t="shared" si="35"/>
        <v>金币</v>
      </c>
      <c r="AM52" s="2">
        <f t="shared" si="9"/>
        <v>1</v>
      </c>
      <c r="AN52" s="2">
        <f t="shared" si="10"/>
        <v>2</v>
      </c>
      <c r="AO52" s="234">
        <f>AJ52*10</f>
        <v>45000000</v>
      </c>
      <c r="AP52" s="2">
        <f t="shared" si="21"/>
        <v>45000000</v>
      </c>
    </row>
    <row r="53" spans="1:42" x14ac:dyDescent="0.45">
      <c r="A53" s="2">
        <v>49</v>
      </c>
      <c r="B53" s="2">
        <v>79490</v>
      </c>
      <c r="C53" s="1" t="str">
        <f t="shared" si="11"/>
        <v>1|1|100</v>
      </c>
      <c r="D53" s="1" t="str">
        <f t="shared" si="26"/>
        <v>2|1001|11</v>
      </c>
      <c r="E53" s="1" t="str">
        <f t="shared" si="27"/>
        <v>2|1003|6</v>
      </c>
      <c r="F53" s="1" t="str">
        <f t="shared" si="28"/>
        <v/>
      </c>
      <c r="G53" s="1" t="str">
        <f t="shared" si="15"/>
        <v/>
      </c>
      <c r="L53" s="2">
        <v>230</v>
      </c>
      <c r="M53" s="2">
        <f>SUM($L$5:L53)</f>
        <v>5137.5</v>
      </c>
      <c r="N53" s="2">
        <v>0.96</v>
      </c>
      <c r="O53" s="2">
        <f t="shared" si="25"/>
        <v>345.59999999999997</v>
      </c>
      <c r="P53" s="2">
        <f t="shared" si="16"/>
        <v>79490</v>
      </c>
      <c r="S53" s="9" t="s">
        <v>738</v>
      </c>
      <c r="T53" s="9">
        <f t="shared" si="29"/>
        <v>1</v>
      </c>
      <c r="U53" s="9">
        <f t="shared" si="30"/>
        <v>1</v>
      </c>
      <c r="V53" s="146">
        <f t="shared" si="17"/>
        <v>100</v>
      </c>
      <c r="W53" s="9" t="str">
        <f t="shared" si="23"/>
        <v>锁定</v>
      </c>
      <c r="X53" s="9">
        <f t="shared" si="31"/>
        <v>2</v>
      </c>
      <c r="Y53" s="9">
        <f t="shared" si="32"/>
        <v>1001</v>
      </c>
      <c r="Z53" s="9">
        <v>11</v>
      </c>
      <c r="AA53" s="9" t="str">
        <f t="shared" si="24"/>
        <v>狂暴</v>
      </c>
      <c r="AB53" s="9">
        <f t="shared" si="33"/>
        <v>2</v>
      </c>
      <c r="AC53" s="9">
        <f t="shared" si="34"/>
        <v>1003</v>
      </c>
      <c r="AD53" s="9">
        <f t="shared" si="18"/>
        <v>6</v>
      </c>
      <c r="AF53" s="2">
        <v>49</v>
      </c>
      <c r="AH53" s="2" t="str">
        <f t="shared" ref="AH53" si="36">VLOOKUP(AG53,AT:AY,4,0)</f>
        <v>物品类型</v>
      </c>
      <c r="AI53" s="2" t="str">
        <f t="shared" ref="AI53" si="37">VLOOKUP(AG53,AT:AY,5,0)</f>
        <v>id</v>
      </c>
      <c r="AK53" s="2">
        <f t="shared" ref="AK53" si="38">IF(AG53&lt;&gt;"",AJ53*VLOOKUP(AG53,AT:AZ,7,0),0)</f>
        <v>0</v>
      </c>
      <c r="AL53" s="2">
        <f t="shared" ref="AL53" si="39">AG53</f>
        <v>0</v>
      </c>
      <c r="AM53" s="2" t="str">
        <f t="shared" ref="AM53" si="40">VLOOKUP(AL53,AT:AY,4,0)</f>
        <v>物品类型</v>
      </c>
      <c r="AN53" s="2" t="str">
        <f t="shared" ref="AN53" si="41">VLOOKUP(AL53,AT:AY,5,0)</f>
        <v>id</v>
      </c>
      <c r="AO53" s="234">
        <f>AJ53*10</f>
        <v>0</v>
      </c>
      <c r="AP53" s="2">
        <f t="shared" ref="AP53" si="42">IF(OR(AL53=0,AL53=""),0,AO53*VLOOKUP(AL53,AT:AZ,7,0))</f>
        <v>0</v>
      </c>
    </row>
    <row r="54" spans="1:42" x14ac:dyDescent="0.45">
      <c r="A54" s="2">
        <v>50</v>
      </c>
      <c r="B54" s="2">
        <v>81220</v>
      </c>
      <c r="C54" s="1" t="str">
        <f t="shared" si="11"/>
        <v>1|1|102</v>
      </c>
      <c r="D54" s="1" t="str">
        <f t="shared" si="26"/>
        <v>2|1002|11</v>
      </c>
      <c r="E54" s="1" t="str">
        <f t="shared" si="27"/>
        <v>2|1004|11</v>
      </c>
      <c r="F54" s="1" t="str">
        <f t="shared" si="28"/>
        <v>2|1007|1</v>
      </c>
      <c r="G54" s="1" t="str">
        <f t="shared" si="15"/>
        <v>2|1008|5</v>
      </c>
      <c r="L54" s="2">
        <v>235</v>
      </c>
      <c r="M54" s="2">
        <f>SUM($L$5:L54)</f>
        <v>5372.5</v>
      </c>
      <c r="N54" s="2">
        <v>0.96</v>
      </c>
      <c r="O54" s="2">
        <f t="shared" si="25"/>
        <v>345.59999999999997</v>
      </c>
      <c r="P54" s="2">
        <f t="shared" si="16"/>
        <v>81220</v>
      </c>
      <c r="S54" s="9" t="s">
        <v>738</v>
      </c>
      <c r="T54" s="9">
        <f t="shared" si="29"/>
        <v>1</v>
      </c>
      <c r="U54" s="9">
        <f t="shared" si="30"/>
        <v>1</v>
      </c>
      <c r="V54" s="146">
        <f t="shared" si="17"/>
        <v>102</v>
      </c>
      <c r="W54" s="9" t="str">
        <f t="shared" si="23"/>
        <v>冰冻</v>
      </c>
      <c r="X54" s="9">
        <f t="shared" si="31"/>
        <v>2</v>
      </c>
      <c r="Y54" s="9">
        <f t="shared" si="32"/>
        <v>1002</v>
      </c>
      <c r="Z54" s="9">
        <v>11</v>
      </c>
      <c r="AA54" s="9" t="str">
        <f t="shared" si="24"/>
        <v>召唤</v>
      </c>
      <c r="AB54" s="9">
        <f t="shared" si="33"/>
        <v>2</v>
      </c>
      <c r="AC54" s="9">
        <f t="shared" si="34"/>
        <v>1004</v>
      </c>
      <c r="AD54" s="9">
        <f t="shared" si="18"/>
        <v>11</v>
      </c>
      <c r="AF54" s="47">
        <v>50</v>
      </c>
      <c r="AG54" s="2" t="s">
        <v>1549</v>
      </c>
      <c r="AH54" s="2">
        <f t="shared" si="7"/>
        <v>2</v>
      </c>
      <c r="AI54" s="2">
        <f t="shared" si="8"/>
        <v>1007</v>
      </c>
      <c r="AJ54" s="2">
        <v>1</v>
      </c>
      <c r="AK54" s="2">
        <f t="shared" si="19"/>
        <v>5000000</v>
      </c>
      <c r="AL54" s="2" t="s">
        <v>1539</v>
      </c>
      <c r="AM54" s="2">
        <f t="shared" si="9"/>
        <v>2</v>
      </c>
      <c r="AN54" s="2">
        <f t="shared" si="10"/>
        <v>1008</v>
      </c>
      <c r="AO54" s="235">
        <v>5</v>
      </c>
      <c r="AP54" s="2">
        <f t="shared" si="21"/>
        <v>50000000</v>
      </c>
    </row>
    <row r="55" spans="1:42" x14ac:dyDescent="0.45">
      <c r="A55" s="2">
        <v>51</v>
      </c>
      <c r="B55" s="2">
        <v>82940</v>
      </c>
      <c r="C55" s="1" t="str">
        <f t="shared" si="11"/>
        <v>1|1|104</v>
      </c>
      <c r="D55" s="1" t="str">
        <f t="shared" si="26"/>
        <v>2|1001|11</v>
      </c>
      <c r="E55" s="1" t="str">
        <f t="shared" si="27"/>
        <v>2|1002|11</v>
      </c>
      <c r="F55" s="1" t="str">
        <f t="shared" ref="F55" si="43">TRIM(IF(AG55&lt;&gt;"",AH55&amp;"|"&amp;AI55&amp;"|"&amp;AJ55,""))</f>
        <v/>
      </c>
      <c r="G55" s="1" t="str">
        <f t="shared" ref="G55" si="44">TRIM(IF(OR(AL55="",AL55=0),"",AM55&amp;"|"&amp;AN55&amp;"|"&amp;AO55))</f>
        <v/>
      </c>
      <c r="L55" s="2">
        <v>240</v>
      </c>
      <c r="M55" s="2">
        <f>SUM($L$5:L55)</f>
        <v>5612.5</v>
      </c>
      <c r="N55" s="2">
        <v>0.96</v>
      </c>
      <c r="O55" s="2">
        <f t="shared" si="25"/>
        <v>345.59999999999997</v>
      </c>
      <c r="P55" s="2">
        <f t="shared" si="16"/>
        <v>82940</v>
      </c>
      <c r="S55" s="9" t="s">
        <v>738</v>
      </c>
      <c r="T55" s="9">
        <f t="shared" si="29"/>
        <v>1</v>
      </c>
      <c r="U55" s="9">
        <f t="shared" si="30"/>
        <v>1</v>
      </c>
      <c r="V55" s="146">
        <f t="shared" si="17"/>
        <v>104</v>
      </c>
      <c r="W55" s="9" t="str">
        <f t="shared" si="23"/>
        <v>锁定</v>
      </c>
      <c r="X55" s="9">
        <f t="shared" si="31"/>
        <v>2</v>
      </c>
      <c r="Y55" s="9">
        <f t="shared" si="32"/>
        <v>1001</v>
      </c>
      <c r="Z55" s="9">
        <v>11</v>
      </c>
      <c r="AA55" s="9" t="str">
        <f t="shared" si="24"/>
        <v>冰冻</v>
      </c>
      <c r="AB55" s="9">
        <f t="shared" si="33"/>
        <v>2</v>
      </c>
      <c r="AC55" s="9">
        <f t="shared" si="34"/>
        <v>1002</v>
      </c>
      <c r="AD55" s="9">
        <f t="shared" si="18"/>
        <v>11</v>
      </c>
      <c r="AO55" s="234"/>
    </row>
    <row r="56" spans="1:42" x14ac:dyDescent="0.45">
      <c r="A56" s="2">
        <v>52</v>
      </c>
      <c r="B56" s="2">
        <v>84670</v>
      </c>
      <c r="C56" s="1" t="str">
        <f t="shared" si="11"/>
        <v>1|1|106</v>
      </c>
      <c r="D56" s="1" t="str">
        <f t="shared" si="26"/>
        <v>2|1002|11</v>
      </c>
      <c r="E56" s="1" t="str">
        <f t="shared" si="27"/>
        <v>2|1004|11</v>
      </c>
      <c r="F56" s="1" t="str">
        <f t="shared" ref="F56:F103" si="45">TRIM(IF(AG56&lt;&gt;"",AH56&amp;"|"&amp;AI56&amp;"|"&amp;AJ56,""))</f>
        <v/>
      </c>
      <c r="G56" s="1" t="str">
        <f t="shared" ref="G56:G103" si="46">TRIM(IF(OR(AL56="",AL56=0),"",AM56&amp;"|"&amp;AN56&amp;"|"&amp;AO56))</f>
        <v/>
      </c>
      <c r="L56" s="2">
        <v>245</v>
      </c>
      <c r="M56" s="2">
        <f>SUM($L$5:L56)</f>
        <v>5857.5</v>
      </c>
      <c r="N56" s="2">
        <v>0.96</v>
      </c>
      <c r="O56" s="2">
        <f t="shared" si="25"/>
        <v>345.59999999999997</v>
      </c>
      <c r="P56" s="2">
        <f t="shared" si="16"/>
        <v>84670</v>
      </c>
      <c r="S56" s="9" t="s">
        <v>738</v>
      </c>
      <c r="T56" s="9">
        <f t="shared" si="29"/>
        <v>1</v>
      </c>
      <c r="U56" s="9">
        <f t="shared" si="30"/>
        <v>1</v>
      </c>
      <c r="V56" s="146">
        <f t="shared" si="17"/>
        <v>106</v>
      </c>
      <c r="W56" s="9" t="str">
        <f t="shared" si="23"/>
        <v>冰冻</v>
      </c>
      <c r="X56" s="9">
        <f t="shared" si="31"/>
        <v>2</v>
      </c>
      <c r="Y56" s="9">
        <f t="shared" si="32"/>
        <v>1002</v>
      </c>
      <c r="Z56" s="9">
        <v>11</v>
      </c>
      <c r="AA56" s="9" t="str">
        <f t="shared" si="24"/>
        <v>召唤</v>
      </c>
      <c r="AB56" s="9">
        <f t="shared" si="33"/>
        <v>2</v>
      </c>
      <c r="AC56" s="9">
        <f t="shared" si="34"/>
        <v>1004</v>
      </c>
      <c r="AD56" s="9">
        <f t="shared" si="18"/>
        <v>11</v>
      </c>
    </row>
    <row r="57" spans="1:42" x14ac:dyDescent="0.45">
      <c r="A57" s="2">
        <v>53</v>
      </c>
      <c r="B57" s="2">
        <v>86400</v>
      </c>
      <c r="C57" s="1" t="str">
        <f t="shared" si="11"/>
        <v>1|1|108</v>
      </c>
      <c r="D57" s="1" t="str">
        <f t="shared" si="26"/>
        <v>2|1001|11</v>
      </c>
      <c r="E57" s="1" t="str">
        <f t="shared" si="27"/>
        <v>2|1004|11</v>
      </c>
      <c r="F57" s="1" t="str">
        <f t="shared" si="45"/>
        <v/>
      </c>
      <c r="G57" s="1" t="str">
        <f t="shared" si="46"/>
        <v/>
      </c>
      <c r="L57" s="2">
        <v>250</v>
      </c>
      <c r="M57" s="2">
        <f>SUM($L$5:L57)</f>
        <v>6107.5</v>
      </c>
      <c r="N57" s="2">
        <v>0.96</v>
      </c>
      <c r="O57" s="2">
        <f t="shared" si="25"/>
        <v>345.59999999999997</v>
      </c>
      <c r="P57" s="2">
        <f t="shared" si="16"/>
        <v>86400</v>
      </c>
      <c r="S57" s="9" t="s">
        <v>738</v>
      </c>
      <c r="T57" s="9">
        <f t="shared" si="29"/>
        <v>1</v>
      </c>
      <c r="U57" s="9">
        <f t="shared" si="30"/>
        <v>1</v>
      </c>
      <c r="V57" s="146">
        <f t="shared" si="17"/>
        <v>108</v>
      </c>
      <c r="W57" s="9" t="str">
        <f t="shared" si="23"/>
        <v>锁定</v>
      </c>
      <c r="X57" s="9">
        <f t="shared" si="31"/>
        <v>2</v>
      </c>
      <c r="Y57" s="9">
        <f t="shared" si="32"/>
        <v>1001</v>
      </c>
      <c r="Z57" s="9">
        <v>11</v>
      </c>
      <c r="AA57" s="9" t="str">
        <f t="shared" si="24"/>
        <v>召唤</v>
      </c>
      <c r="AB57" s="9">
        <f t="shared" si="33"/>
        <v>2</v>
      </c>
      <c r="AC57" s="9">
        <f t="shared" si="34"/>
        <v>1004</v>
      </c>
      <c r="AD57" s="9">
        <f t="shared" si="18"/>
        <v>11</v>
      </c>
    </row>
    <row r="58" spans="1:42" x14ac:dyDescent="0.45">
      <c r="A58" s="2">
        <v>54</v>
      </c>
      <c r="B58" s="2">
        <v>88130</v>
      </c>
      <c r="C58" s="1" t="str">
        <f t="shared" si="11"/>
        <v>1|1|110</v>
      </c>
      <c r="D58" s="1" t="str">
        <f t="shared" si="26"/>
        <v>2|1002|12</v>
      </c>
      <c r="E58" s="1" t="str">
        <f t="shared" si="27"/>
        <v>2|1003|6</v>
      </c>
      <c r="F58" s="1" t="str">
        <f t="shared" si="45"/>
        <v/>
      </c>
      <c r="G58" s="1" t="str">
        <f t="shared" si="46"/>
        <v/>
      </c>
      <c r="L58" s="2">
        <v>255</v>
      </c>
      <c r="M58" s="2">
        <f>SUM($L$5:L58)</f>
        <v>6362.5</v>
      </c>
      <c r="N58" s="2">
        <v>0.96</v>
      </c>
      <c r="O58" s="2">
        <f t="shared" si="25"/>
        <v>345.59999999999997</v>
      </c>
      <c r="P58" s="2">
        <f t="shared" si="16"/>
        <v>88130</v>
      </c>
      <c r="S58" s="9" t="s">
        <v>738</v>
      </c>
      <c r="T58" s="9">
        <f t="shared" si="29"/>
        <v>1</v>
      </c>
      <c r="U58" s="9">
        <f t="shared" si="30"/>
        <v>1</v>
      </c>
      <c r="V58" s="146">
        <f t="shared" si="17"/>
        <v>110</v>
      </c>
      <c r="W58" s="9" t="str">
        <f t="shared" si="23"/>
        <v>冰冻</v>
      </c>
      <c r="X58" s="9">
        <f t="shared" si="31"/>
        <v>2</v>
      </c>
      <c r="Y58" s="9">
        <f t="shared" si="32"/>
        <v>1002</v>
      </c>
      <c r="Z58" s="9">
        <v>12</v>
      </c>
      <c r="AA58" s="9" t="str">
        <f t="shared" si="24"/>
        <v>狂暴</v>
      </c>
      <c r="AB58" s="9">
        <f t="shared" si="33"/>
        <v>2</v>
      </c>
      <c r="AC58" s="9">
        <f t="shared" si="34"/>
        <v>1003</v>
      </c>
      <c r="AD58" s="9">
        <f t="shared" si="18"/>
        <v>6</v>
      </c>
    </row>
    <row r="59" spans="1:42" x14ac:dyDescent="0.45">
      <c r="A59" s="2">
        <v>55</v>
      </c>
      <c r="B59" s="2">
        <v>89860</v>
      </c>
      <c r="C59" s="1" t="str">
        <f t="shared" si="11"/>
        <v>1|1|112</v>
      </c>
      <c r="D59" s="1" t="str">
        <f t="shared" si="26"/>
        <v>2|1001|12</v>
      </c>
      <c r="E59" s="1" t="str">
        <f t="shared" si="27"/>
        <v>2|1002|12</v>
      </c>
      <c r="F59" s="1" t="str">
        <f t="shared" si="45"/>
        <v/>
      </c>
      <c r="G59" s="1" t="str">
        <f t="shared" si="46"/>
        <v/>
      </c>
      <c r="L59" s="2">
        <v>260</v>
      </c>
      <c r="M59" s="2">
        <f>SUM($L$5:L59)</f>
        <v>6622.5</v>
      </c>
      <c r="N59" s="2">
        <v>0.96</v>
      </c>
      <c r="O59" s="2">
        <f t="shared" si="25"/>
        <v>345.59999999999997</v>
      </c>
      <c r="P59" s="2">
        <f t="shared" si="16"/>
        <v>89860</v>
      </c>
      <c r="S59" s="9" t="s">
        <v>738</v>
      </c>
      <c r="T59" s="9">
        <f t="shared" si="29"/>
        <v>1</v>
      </c>
      <c r="U59" s="9">
        <f t="shared" si="30"/>
        <v>1</v>
      </c>
      <c r="V59" s="146">
        <f t="shared" si="17"/>
        <v>112</v>
      </c>
      <c r="W59" s="9" t="str">
        <f t="shared" si="23"/>
        <v>锁定</v>
      </c>
      <c r="X59" s="9">
        <f t="shared" si="31"/>
        <v>2</v>
      </c>
      <c r="Y59" s="9">
        <f t="shared" si="32"/>
        <v>1001</v>
      </c>
      <c r="Z59" s="9">
        <v>12</v>
      </c>
      <c r="AA59" s="9" t="str">
        <f t="shared" si="24"/>
        <v>冰冻</v>
      </c>
      <c r="AB59" s="9">
        <f t="shared" si="33"/>
        <v>2</v>
      </c>
      <c r="AC59" s="9">
        <f t="shared" si="34"/>
        <v>1002</v>
      </c>
      <c r="AD59" s="9">
        <f t="shared" si="18"/>
        <v>12</v>
      </c>
    </row>
    <row r="60" spans="1:42" x14ac:dyDescent="0.45">
      <c r="A60" s="2">
        <v>56</v>
      </c>
      <c r="B60" s="2">
        <v>91580</v>
      </c>
      <c r="C60" s="1" t="str">
        <f t="shared" si="11"/>
        <v>1|1|114</v>
      </c>
      <c r="D60" s="1" t="str">
        <f t="shared" si="26"/>
        <v>2|1002|12</v>
      </c>
      <c r="E60" s="1" t="str">
        <f t="shared" si="27"/>
        <v>2|1002|12</v>
      </c>
      <c r="F60" s="1" t="str">
        <f t="shared" si="45"/>
        <v/>
      </c>
      <c r="G60" s="1" t="str">
        <f t="shared" si="46"/>
        <v/>
      </c>
      <c r="L60" s="2">
        <v>265</v>
      </c>
      <c r="M60" s="2">
        <f>SUM($L$5:L60)</f>
        <v>6887.5</v>
      </c>
      <c r="N60" s="2">
        <v>0.96</v>
      </c>
      <c r="O60" s="2">
        <f t="shared" si="25"/>
        <v>345.59999999999997</v>
      </c>
      <c r="P60" s="2">
        <f t="shared" si="16"/>
        <v>91580</v>
      </c>
      <c r="S60" s="9" t="s">
        <v>738</v>
      </c>
      <c r="T60" s="9">
        <f t="shared" si="29"/>
        <v>1</v>
      </c>
      <c r="U60" s="9">
        <f t="shared" si="30"/>
        <v>1</v>
      </c>
      <c r="V60" s="146">
        <f t="shared" si="17"/>
        <v>114</v>
      </c>
      <c r="W60" s="9" t="str">
        <f t="shared" si="23"/>
        <v>冰冻</v>
      </c>
      <c r="X60" s="9">
        <f t="shared" si="31"/>
        <v>2</v>
      </c>
      <c r="Y60" s="9">
        <f t="shared" si="32"/>
        <v>1002</v>
      </c>
      <c r="Z60" s="9">
        <v>12</v>
      </c>
      <c r="AA60" s="9" t="str">
        <f t="shared" si="24"/>
        <v>冰冻</v>
      </c>
      <c r="AB60" s="9">
        <f t="shared" si="33"/>
        <v>2</v>
      </c>
      <c r="AC60" s="9">
        <f t="shared" si="34"/>
        <v>1002</v>
      </c>
      <c r="AD60" s="9">
        <f t="shared" si="18"/>
        <v>12</v>
      </c>
    </row>
    <row r="61" spans="1:42" x14ac:dyDescent="0.45">
      <c r="A61" s="2">
        <v>57</v>
      </c>
      <c r="B61" s="2">
        <v>93310</v>
      </c>
      <c r="C61" s="1" t="str">
        <f t="shared" si="11"/>
        <v>1|1|116</v>
      </c>
      <c r="D61" s="1" t="str">
        <f t="shared" si="26"/>
        <v>2|1001|12</v>
      </c>
      <c r="E61" s="1" t="str">
        <f t="shared" si="27"/>
        <v>2|1004|12</v>
      </c>
      <c r="F61" s="1" t="str">
        <f t="shared" si="45"/>
        <v/>
      </c>
      <c r="G61" s="1" t="str">
        <f t="shared" si="46"/>
        <v/>
      </c>
      <c r="L61" s="2">
        <v>270</v>
      </c>
      <c r="M61" s="2">
        <f>SUM($L$5:L61)</f>
        <v>7157.5</v>
      </c>
      <c r="N61" s="2">
        <v>0.96</v>
      </c>
      <c r="O61" s="2">
        <f t="shared" si="25"/>
        <v>345.59999999999997</v>
      </c>
      <c r="P61" s="2">
        <f t="shared" si="16"/>
        <v>93310</v>
      </c>
      <c r="S61" s="9" t="s">
        <v>738</v>
      </c>
      <c r="T61" s="9">
        <f t="shared" si="29"/>
        <v>1</v>
      </c>
      <c r="U61" s="9">
        <f t="shared" si="30"/>
        <v>1</v>
      </c>
      <c r="V61" s="146">
        <f t="shared" si="17"/>
        <v>116</v>
      </c>
      <c r="W61" s="9" t="str">
        <f t="shared" si="23"/>
        <v>锁定</v>
      </c>
      <c r="X61" s="9">
        <f t="shared" si="31"/>
        <v>2</v>
      </c>
      <c r="Y61" s="9">
        <f t="shared" si="32"/>
        <v>1001</v>
      </c>
      <c r="Z61" s="9">
        <v>12</v>
      </c>
      <c r="AA61" s="9" t="str">
        <f t="shared" si="24"/>
        <v>召唤</v>
      </c>
      <c r="AB61" s="9">
        <f t="shared" si="33"/>
        <v>2</v>
      </c>
      <c r="AC61" s="9">
        <f t="shared" si="34"/>
        <v>1004</v>
      </c>
      <c r="AD61" s="9">
        <f t="shared" si="18"/>
        <v>12</v>
      </c>
    </row>
    <row r="62" spans="1:42" x14ac:dyDescent="0.45">
      <c r="A62" s="2">
        <v>58</v>
      </c>
      <c r="B62" s="2">
        <v>95040</v>
      </c>
      <c r="C62" s="1" t="str">
        <f t="shared" si="11"/>
        <v>1|1|118</v>
      </c>
      <c r="D62" s="1" t="str">
        <f t="shared" si="26"/>
        <v>2|1002|12</v>
      </c>
      <c r="E62" s="1" t="str">
        <f t="shared" si="27"/>
        <v>2|1004|12</v>
      </c>
      <c r="F62" s="1" t="str">
        <f t="shared" si="45"/>
        <v/>
      </c>
      <c r="G62" s="1" t="str">
        <f t="shared" si="46"/>
        <v/>
      </c>
      <c r="L62" s="2">
        <v>275</v>
      </c>
      <c r="M62" s="2">
        <f>SUM($L$5:L62)</f>
        <v>7432.5</v>
      </c>
      <c r="N62" s="2">
        <v>0.96</v>
      </c>
      <c r="O62" s="2">
        <f t="shared" si="25"/>
        <v>345.59999999999997</v>
      </c>
      <c r="P62" s="2">
        <f t="shared" si="16"/>
        <v>95040</v>
      </c>
      <c r="S62" s="9" t="s">
        <v>738</v>
      </c>
      <c r="T62" s="9">
        <f t="shared" si="29"/>
        <v>1</v>
      </c>
      <c r="U62" s="9">
        <f t="shared" si="30"/>
        <v>1</v>
      </c>
      <c r="V62" s="146">
        <f t="shared" si="17"/>
        <v>118</v>
      </c>
      <c r="W62" s="9" t="str">
        <f t="shared" si="23"/>
        <v>冰冻</v>
      </c>
      <c r="X62" s="9">
        <f t="shared" si="31"/>
        <v>2</v>
      </c>
      <c r="Y62" s="9">
        <f t="shared" si="32"/>
        <v>1002</v>
      </c>
      <c r="Z62" s="9">
        <v>12</v>
      </c>
      <c r="AA62" s="9" t="str">
        <f t="shared" si="24"/>
        <v>召唤</v>
      </c>
      <c r="AB62" s="9">
        <f t="shared" si="33"/>
        <v>2</v>
      </c>
      <c r="AC62" s="9">
        <f t="shared" si="34"/>
        <v>1004</v>
      </c>
      <c r="AD62" s="9">
        <f t="shared" si="18"/>
        <v>12</v>
      </c>
    </row>
    <row r="63" spans="1:42" x14ac:dyDescent="0.45">
      <c r="A63" s="2">
        <v>59</v>
      </c>
      <c r="B63" s="2">
        <v>96770</v>
      </c>
      <c r="C63" s="1" t="str">
        <f t="shared" si="11"/>
        <v>1|1|120</v>
      </c>
      <c r="D63" s="1" t="str">
        <f t="shared" si="26"/>
        <v>2|1001|13</v>
      </c>
      <c r="E63" s="1" t="str">
        <f t="shared" si="27"/>
        <v>2|1003|7</v>
      </c>
      <c r="F63" s="1" t="str">
        <f t="shared" si="45"/>
        <v/>
      </c>
      <c r="G63" s="1" t="str">
        <f t="shared" si="46"/>
        <v/>
      </c>
      <c r="L63" s="2">
        <v>280</v>
      </c>
      <c r="M63" s="2">
        <f>SUM($L$5:L63)</f>
        <v>7712.5</v>
      </c>
      <c r="N63" s="2">
        <v>0.96</v>
      </c>
      <c r="O63" s="2">
        <f t="shared" si="25"/>
        <v>345.59999999999997</v>
      </c>
      <c r="P63" s="2">
        <f t="shared" si="16"/>
        <v>96770</v>
      </c>
      <c r="S63" s="9" t="s">
        <v>738</v>
      </c>
      <c r="T63" s="9">
        <f t="shared" si="29"/>
        <v>1</v>
      </c>
      <c r="U63" s="9">
        <f t="shared" si="30"/>
        <v>1</v>
      </c>
      <c r="V63" s="146">
        <f t="shared" si="17"/>
        <v>120</v>
      </c>
      <c r="W63" s="9" t="str">
        <f t="shared" si="23"/>
        <v>锁定</v>
      </c>
      <c r="X63" s="9">
        <f t="shared" si="31"/>
        <v>2</v>
      </c>
      <c r="Y63" s="9">
        <f t="shared" si="32"/>
        <v>1001</v>
      </c>
      <c r="Z63" s="9">
        <v>13</v>
      </c>
      <c r="AA63" s="9" t="str">
        <f t="shared" si="24"/>
        <v>狂暴</v>
      </c>
      <c r="AB63" s="9">
        <f t="shared" si="33"/>
        <v>2</v>
      </c>
      <c r="AC63" s="9">
        <f t="shared" si="34"/>
        <v>1003</v>
      </c>
      <c r="AD63" s="9">
        <f t="shared" si="18"/>
        <v>7</v>
      </c>
    </row>
    <row r="64" spans="1:42" x14ac:dyDescent="0.45">
      <c r="A64" s="2">
        <v>60</v>
      </c>
      <c r="B64" s="2">
        <v>98500</v>
      </c>
      <c r="C64" s="1" t="str">
        <f t="shared" si="11"/>
        <v>1|1|122</v>
      </c>
      <c r="D64" s="1" t="str">
        <f t="shared" si="26"/>
        <v>2|1002|13</v>
      </c>
      <c r="E64" s="1" t="str">
        <f t="shared" si="27"/>
        <v>2|1004|13</v>
      </c>
      <c r="F64" s="1" t="str">
        <f t="shared" si="45"/>
        <v/>
      </c>
      <c r="G64" s="1" t="str">
        <f t="shared" si="46"/>
        <v/>
      </c>
      <c r="L64" s="2">
        <v>285</v>
      </c>
      <c r="M64" s="2">
        <f>SUM($L$5:L64)</f>
        <v>7997.5</v>
      </c>
      <c r="N64" s="2">
        <v>0.96</v>
      </c>
      <c r="O64" s="2">
        <f t="shared" si="25"/>
        <v>345.59999999999997</v>
      </c>
      <c r="P64" s="2">
        <f t="shared" si="16"/>
        <v>98500</v>
      </c>
      <c r="S64" s="9" t="s">
        <v>738</v>
      </c>
      <c r="T64" s="9">
        <f t="shared" si="29"/>
        <v>1</v>
      </c>
      <c r="U64" s="9">
        <f t="shared" si="30"/>
        <v>1</v>
      </c>
      <c r="V64" s="146">
        <f t="shared" si="17"/>
        <v>122</v>
      </c>
      <c r="W64" s="9" t="str">
        <f t="shared" si="23"/>
        <v>冰冻</v>
      </c>
      <c r="X64" s="9">
        <f t="shared" si="31"/>
        <v>2</v>
      </c>
      <c r="Y64" s="9">
        <f t="shared" si="32"/>
        <v>1002</v>
      </c>
      <c r="Z64" s="9">
        <v>13</v>
      </c>
      <c r="AA64" s="9" t="str">
        <f t="shared" si="24"/>
        <v>召唤</v>
      </c>
      <c r="AB64" s="9">
        <f t="shared" si="33"/>
        <v>2</v>
      </c>
      <c r="AC64" s="9">
        <f t="shared" si="34"/>
        <v>1004</v>
      </c>
      <c r="AD64" s="9">
        <f t="shared" si="18"/>
        <v>13</v>
      </c>
    </row>
    <row r="65" spans="1:30" x14ac:dyDescent="0.45">
      <c r="A65" s="2">
        <v>61</v>
      </c>
      <c r="B65" s="2">
        <v>100220</v>
      </c>
      <c r="C65" s="1" t="str">
        <f t="shared" si="11"/>
        <v>1|1|124</v>
      </c>
      <c r="D65" s="1" t="str">
        <f t="shared" si="26"/>
        <v>2|1001|13</v>
      </c>
      <c r="E65" s="1" t="str">
        <f t="shared" si="27"/>
        <v>2|1002|13</v>
      </c>
      <c r="F65" s="1" t="str">
        <f t="shared" si="45"/>
        <v/>
      </c>
      <c r="G65" s="1" t="str">
        <f t="shared" si="46"/>
        <v/>
      </c>
      <c r="L65" s="2">
        <v>290</v>
      </c>
      <c r="M65" s="2">
        <f>SUM($L$5:L65)</f>
        <v>8287.5</v>
      </c>
      <c r="N65" s="2">
        <v>0.96</v>
      </c>
      <c r="O65" s="2">
        <f t="shared" si="25"/>
        <v>345.59999999999997</v>
      </c>
      <c r="P65" s="2">
        <f t="shared" si="16"/>
        <v>100220</v>
      </c>
      <c r="S65" s="9" t="s">
        <v>738</v>
      </c>
      <c r="T65" s="9">
        <f t="shared" si="29"/>
        <v>1</v>
      </c>
      <c r="U65" s="9">
        <f t="shared" si="30"/>
        <v>1</v>
      </c>
      <c r="V65" s="146">
        <f t="shared" si="17"/>
        <v>124</v>
      </c>
      <c r="W65" s="9" t="str">
        <f t="shared" si="23"/>
        <v>锁定</v>
      </c>
      <c r="X65" s="9">
        <f t="shared" si="31"/>
        <v>2</v>
      </c>
      <c r="Y65" s="9">
        <f t="shared" si="32"/>
        <v>1001</v>
      </c>
      <c r="Z65" s="9">
        <v>13</v>
      </c>
      <c r="AA65" s="9" t="str">
        <f t="shared" si="24"/>
        <v>冰冻</v>
      </c>
      <c r="AB65" s="9">
        <f t="shared" si="33"/>
        <v>2</v>
      </c>
      <c r="AC65" s="9">
        <f t="shared" si="34"/>
        <v>1002</v>
      </c>
      <c r="AD65" s="9">
        <f t="shared" si="18"/>
        <v>13</v>
      </c>
    </row>
    <row r="66" spans="1:30" x14ac:dyDescent="0.45">
      <c r="A66" s="2">
        <v>62</v>
      </c>
      <c r="B66" s="2">
        <v>101950</v>
      </c>
      <c r="C66" s="1" t="str">
        <f t="shared" si="11"/>
        <v>1|1|126</v>
      </c>
      <c r="D66" s="1" t="str">
        <f t="shared" si="26"/>
        <v>2|1002|13</v>
      </c>
      <c r="E66" s="1" t="str">
        <f t="shared" si="27"/>
        <v>2|1004|13</v>
      </c>
      <c r="F66" s="1" t="str">
        <f t="shared" si="45"/>
        <v/>
      </c>
      <c r="G66" s="1" t="str">
        <f t="shared" si="46"/>
        <v/>
      </c>
      <c r="L66" s="2">
        <v>295</v>
      </c>
      <c r="M66" s="2">
        <f>SUM($L$5:L66)</f>
        <v>8582.5</v>
      </c>
      <c r="N66" s="2">
        <v>0.96</v>
      </c>
      <c r="O66" s="2">
        <f t="shared" si="25"/>
        <v>345.59999999999997</v>
      </c>
      <c r="P66" s="2">
        <f t="shared" si="16"/>
        <v>101950</v>
      </c>
      <c r="S66" s="9" t="s">
        <v>738</v>
      </c>
      <c r="T66" s="9">
        <f t="shared" si="29"/>
        <v>1</v>
      </c>
      <c r="U66" s="9">
        <f t="shared" si="30"/>
        <v>1</v>
      </c>
      <c r="V66" s="146">
        <f t="shared" si="17"/>
        <v>126</v>
      </c>
      <c r="W66" s="9" t="str">
        <f t="shared" si="23"/>
        <v>冰冻</v>
      </c>
      <c r="X66" s="9">
        <f t="shared" si="31"/>
        <v>2</v>
      </c>
      <c r="Y66" s="9">
        <f t="shared" si="32"/>
        <v>1002</v>
      </c>
      <c r="Z66" s="9">
        <v>13</v>
      </c>
      <c r="AA66" s="9" t="str">
        <f t="shared" si="24"/>
        <v>召唤</v>
      </c>
      <c r="AB66" s="9">
        <f t="shared" si="33"/>
        <v>2</v>
      </c>
      <c r="AC66" s="9">
        <f t="shared" si="34"/>
        <v>1004</v>
      </c>
      <c r="AD66" s="9">
        <f t="shared" si="18"/>
        <v>13</v>
      </c>
    </row>
    <row r="67" spans="1:30" x14ac:dyDescent="0.45">
      <c r="A67" s="2">
        <v>63</v>
      </c>
      <c r="B67" s="2">
        <v>103680</v>
      </c>
      <c r="C67" s="1" t="str">
        <f t="shared" si="11"/>
        <v>1|1|128</v>
      </c>
      <c r="D67" s="1" t="str">
        <f t="shared" si="26"/>
        <v>2|1001|13</v>
      </c>
      <c r="E67" s="1" t="str">
        <f t="shared" si="27"/>
        <v>2|1004|13</v>
      </c>
      <c r="F67" s="1" t="str">
        <f t="shared" si="45"/>
        <v/>
      </c>
      <c r="G67" s="1" t="str">
        <f t="shared" si="46"/>
        <v/>
      </c>
      <c r="L67" s="2">
        <v>300</v>
      </c>
      <c r="M67" s="2">
        <f>SUM($L$5:L67)</f>
        <v>8882.5</v>
      </c>
      <c r="N67" s="2">
        <v>0.96</v>
      </c>
      <c r="O67" s="2">
        <f t="shared" si="25"/>
        <v>345.59999999999997</v>
      </c>
      <c r="P67" s="2">
        <f t="shared" si="16"/>
        <v>103680</v>
      </c>
      <c r="S67" s="9" t="s">
        <v>738</v>
      </c>
      <c r="T67" s="9">
        <f t="shared" si="29"/>
        <v>1</v>
      </c>
      <c r="U67" s="9">
        <f t="shared" si="30"/>
        <v>1</v>
      </c>
      <c r="V67" s="146">
        <f t="shared" si="17"/>
        <v>128</v>
      </c>
      <c r="W67" s="9" t="str">
        <f t="shared" si="23"/>
        <v>锁定</v>
      </c>
      <c r="X67" s="9">
        <f t="shared" si="31"/>
        <v>2</v>
      </c>
      <c r="Y67" s="9">
        <f t="shared" si="32"/>
        <v>1001</v>
      </c>
      <c r="Z67" s="9">
        <v>13</v>
      </c>
      <c r="AA67" s="9" t="str">
        <f t="shared" si="24"/>
        <v>召唤</v>
      </c>
      <c r="AB67" s="9">
        <f t="shared" si="33"/>
        <v>2</v>
      </c>
      <c r="AC67" s="9">
        <f t="shared" si="34"/>
        <v>1004</v>
      </c>
      <c r="AD67" s="9">
        <f t="shared" si="18"/>
        <v>13</v>
      </c>
    </row>
    <row r="68" spans="1:30" x14ac:dyDescent="0.45">
      <c r="A68" s="2">
        <v>64</v>
      </c>
      <c r="B68" s="2">
        <v>105410</v>
      </c>
      <c r="C68" s="1" t="str">
        <f t="shared" si="11"/>
        <v>1|1|130</v>
      </c>
      <c r="D68" s="1" t="str">
        <f t="shared" si="26"/>
        <v>2|1002|14</v>
      </c>
      <c r="E68" s="1" t="str">
        <f t="shared" si="27"/>
        <v>2|1003|7</v>
      </c>
      <c r="F68" s="1" t="str">
        <f t="shared" si="45"/>
        <v/>
      </c>
      <c r="G68" s="1" t="str">
        <f t="shared" si="46"/>
        <v/>
      </c>
      <c r="L68" s="2">
        <v>305</v>
      </c>
      <c r="M68" s="2">
        <f>SUM($L$5:L68)</f>
        <v>9187.5</v>
      </c>
      <c r="N68" s="2">
        <v>0.96</v>
      </c>
      <c r="O68" s="2">
        <f t="shared" si="25"/>
        <v>345.59999999999997</v>
      </c>
      <c r="P68" s="2">
        <f t="shared" si="16"/>
        <v>105410</v>
      </c>
      <c r="S68" s="9" t="s">
        <v>738</v>
      </c>
      <c r="T68" s="9">
        <f t="shared" si="29"/>
        <v>1</v>
      </c>
      <c r="U68" s="9">
        <f t="shared" si="30"/>
        <v>1</v>
      </c>
      <c r="V68" s="146">
        <f t="shared" si="17"/>
        <v>130</v>
      </c>
      <c r="W68" s="9" t="str">
        <f t="shared" si="23"/>
        <v>冰冻</v>
      </c>
      <c r="X68" s="9">
        <f t="shared" si="31"/>
        <v>2</v>
      </c>
      <c r="Y68" s="9">
        <f t="shared" si="32"/>
        <v>1002</v>
      </c>
      <c r="Z68" s="9">
        <v>14</v>
      </c>
      <c r="AA68" s="9" t="str">
        <f t="shared" si="24"/>
        <v>狂暴</v>
      </c>
      <c r="AB68" s="9">
        <f t="shared" si="33"/>
        <v>2</v>
      </c>
      <c r="AC68" s="9">
        <f t="shared" si="34"/>
        <v>1003</v>
      </c>
      <c r="AD68" s="9">
        <f t="shared" si="18"/>
        <v>7</v>
      </c>
    </row>
    <row r="69" spans="1:30" x14ac:dyDescent="0.45">
      <c r="A69" s="2">
        <v>65</v>
      </c>
      <c r="B69" s="2">
        <v>107140</v>
      </c>
      <c r="C69" s="1" t="str">
        <f t="shared" si="11"/>
        <v>1|1|132</v>
      </c>
      <c r="D69" s="1" t="str">
        <f t="shared" si="26"/>
        <v>2|1001|14</v>
      </c>
      <c r="E69" s="1" t="str">
        <f t="shared" si="27"/>
        <v>2|1002|14</v>
      </c>
      <c r="F69" s="1" t="str">
        <f t="shared" si="45"/>
        <v/>
      </c>
      <c r="G69" s="1" t="str">
        <f t="shared" si="46"/>
        <v/>
      </c>
      <c r="L69" s="2">
        <v>310</v>
      </c>
      <c r="M69" s="2">
        <f>SUM($L$5:L69)</f>
        <v>9497.5</v>
      </c>
      <c r="N69" s="2">
        <v>0.96</v>
      </c>
      <c r="O69" s="2">
        <f t="shared" ref="O69:O100" si="47">$M$3*N69*60</f>
        <v>345.59999999999997</v>
      </c>
      <c r="P69" s="2">
        <f t="shared" si="16"/>
        <v>107140</v>
      </c>
      <c r="S69" s="9" t="s">
        <v>738</v>
      </c>
      <c r="T69" s="9">
        <f t="shared" si="29"/>
        <v>1</v>
      </c>
      <c r="U69" s="9">
        <f t="shared" si="30"/>
        <v>1</v>
      </c>
      <c r="V69" s="146">
        <f t="shared" si="17"/>
        <v>132</v>
      </c>
      <c r="W69" s="9" t="str">
        <f t="shared" si="23"/>
        <v>锁定</v>
      </c>
      <c r="X69" s="9">
        <f t="shared" si="31"/>
        <v>2</v>
      </c>
      <c r="Y69" s="9">
        <f t="shared" si="32"/>
        <v>1001</v>
      </c>
      <c r="Z69" s="9">
        <v>14</v>
      </c>
      <c r="AA69" s="9" t="str">
        <f t="shared" si="24"/>
        <v>冰冻</v>
      </c>
      <c r="AB69" s="9">
        <f t="shared" si="33"/>
        <v>2</v>
      </c>
      <c r="AC69" s="9">
        <f t="shared" si="34"/>
        <v>1002</v>
      </c>
      <c r="AD69" s="9">
        <f t="shared" si="18"/>
        <v>14</v>
      </c>
    </row>
    <row r="70" spans="1:30" x14ac:dyDescent="0.45">
      <c r="A70" s="2">
        <v>66</v>
      </c>
      <c r="B70" s="2">
        <v>108860</v>
      </c>
      <c r="C70" s="1" t="str">
        <f t="shared" ref="C70:C103" si="48">T70&amp;"|"&amp;U70&amp;"|"&amp;V70</f>
        <v>1|1|134</v>
      </c>
      <c r="D70" s="1" t="str">
        <f t="shared" si="26"/>
        <v>2|1002|14</v>
      </c>
      <c r="E70" s="1" t="str">
        <f t="shared" si="27"/>
        <v>2|1002|14</v>
      </c>
      <c r="F70" s="1" t="str">
        <f t="shared" si="45"/>
        <v/>
      </c>
      <c r="G70" s="1" t="str">
        <f t="shared" si="46"/>
        <v/>
      </c>
      <c r="L70" s="2">
        <v>315</v>
      </c>
      <c r="M70" s="2">
        <f>SUM($L$5:L70)</f>
        <v>9812.5</v>
      </c>
      <c r="N70" s="2">
        <v>0.96</v>
      </c>
      <c r="O70" s="2">
        <f t="shared" si="47"/>
        <v>345.59999999999997</v>
      </c>
      <c r="P70" s="2">
        <f t="shared" ref="P70:P103" si="49">ROUND(L70*O70/10,0)*10</f>
        <v>108860</v>
      </c>
      <c r="S70" s="9" t="s">
        <v>738</v>
      </c>
      <c r="T70" s="9">
        <f t="shared" si="29"/>
        <v>1</v>
      </c>
      <c r="U70" s="9">
        <f t="shared" si="30"/>
        <v>1</v>
      </c>
      <c r="V70" s="146">
        <f t="shared" ref="V70:V103" si="50">A70*2+2</f>
        <v>134</v>
      </c>
      <c r="W70" s="9" t="str">
        <f t="shared" si="23"/>
        <v>冰冻</v>
      </c>
      <c r="X70" s="9">
        <f t="shared" si="31"/>
        <v>2</v>
      </c>
      <c r="Y70" s="9">
        <f t="shared" si="32"/>
        <v>1002</v>
      </c>
      <c r="Z70" s="9">
        <v>14</v>
      </c>
      <c r="AA70" s="9" t="str">
        <f t="shared" si="24"/>
        <v>冰冻</v>
      </c>
      <c r="AB70" s="9">
        <f t="shared" si="33"/>
        <v>2</v>
      </c>
      <c r="AC70" s="9">
        <f t="shared" si="34"/>
        <v>1002</v>
      </c>
      <c r="AD70" s="9">
        <f t="shared" ref="AD70:AD103" si="51">IF(AA70="狂暴",ROUNDUP(Z70/2,0),Z70)</f>
        <v>14</v>
      </c>
    </row>
    <row r="71" spans="1:30" x14ac:dyDescent="0.45">
      <c r="A71" s="2">
        <v>67</v>
      </c>
      <c r="B71" s="2">
        <v>110590</v>
      </c>
      <c r="C71" s="1" t="str">
        <f t="shared" si="48"/>
        <v>1|1|136</v>
      </c>
      <c r="D71" s="1" t="str">
        <f t="shared" si="26"/>
        <v>2|1001|14</v>
      </c>
      <c r="E71" s="1" t="str">
        <f t="shared" si="27"/>
        <v>2|1004|14</v>
      </c>
      <c r="F71" s="1" t="str">
        <f t="shared" si="45"/>
        <v/>
      </c>
      <c r="G71" s="1" t="str">
        <f t="shared" si="46"/>
        <v/>
      </c>
      <c r="L71" s="2">
        <v>320</v>
      </c>
      <c r="M71" s="2">
        <f>SUM($L$5:L71)</f>
        <v>10132.5</v>
      </c>
      <c r="N71" s="2">
        <v>0.96</v>
      </c>
      <c r="O71" s="2">
        <f t="shared" si="47"/>
        <v>345.59999999999997</v>
      </c>
      <c r="P71" s="2">
        <f t="shared" si="49"/>
        <v>110590</v>
      </c>
      <c r="S71" s="9" t="s">
        <v>738</v>
      </c>
      <c r="T71" s="9">
        <f t="shared" si="29"/>
        <v>1</v>
      </c>
      <c r="U71" s="9">
        <f t="shared" si="30"/>
        <v>1</v>
      </c>
      <c r="V71" s="146">
        <f t="shared" si="50"/>
        <v>136</v>
      </c>
      <c r="W71" s="9" t="str">
        <f t="shared" si="23"/>
        <v>锁定</v>
      </c>
      <c r="X71" s="9">
        <f t="shared" si="31"/>
        <v>2</v>
      </c>
      <c r="Y71" s="9">
        <f t="shared" si="32"/>
        <v>1001</v>
      </c>
      <c r="Z71" s="9">
        <v>14</v>
      </c>
      <c r="AA71" s="9" t="str">
        <f t="shared" si="24"/>
        <v>召唤</v>
      </c>
      <c r="AB71" s="9">
        <f t="shared" si="33"/>
        <v>2</v>
      </c>
      <c r="AC71" s="9">
        <f t="shared" si="34"/>
        <v>1004</v>
      </c>
      <c r="AD71" s="9">
        <f t="shared" si="51"/>
        <v>14</v>
      </c>
    </row>
    <row r="72" spans="1:30" x14ac:dyDescent="0.45">
      <c r="A72" s="2">
        <v>68</v>
      </c>
      <c r="B72" s="2">
        <v>112320</v>
      </c>
      <c r="C72" s="1" t="str">
        <f t="shared" si="48"/>
        <v>1|1|138</v>
      </c>
      <c r="D72" s="1" t="str">
        <f t="shared" si="26"/>
        <v>2|1002|14</v>
      </c>
      <c r="E72" s="1" t="str">
        <f t="shared" si="27"/>
        <v>2|1004|14</v>
      </c>
      <c r="F72" s="1" t="str">
        <f t="shared" si="45"/>
        <v/>
      </c>
      <c r="G72" s="1" t="str">
        <f t="shared" si="46"/>
        <v/>
      </c>
      <c r="L72" s="2">
        <v>325</v>
      </c>
      <c r="M72" s="2">
        <f>SUM($L$5:L72)</f>
        <v>10457.5</v>
      </c>
      <c r="N72" s="2">
        <v>0.96</v>
      </c>
      <c r="O72" s="2">
        <f t="shared" si="47"/>
        <v>345.59999999999997</v>
      </c>
      <c r="P72" s="2">
        <f t="shared" si="49"/>
        <v>112320</v>
      </c>
      <c r="S72" s="9" t="s">
        <v>738</v>
      </c>
      <c r="T72" s="9">
        <f t="shared" si="29"/>
        <v>1</v>
      </c>
      <c r="U72" s="9">
        <f t="shared" si="30"/>
        <v>1</v>
      </c>
      <c r="V72" s="146">
        <f t="shared" si="50"/>
        <v>138</v>
      </c>
      <c r="W72" s="9" t="str">
        <f t="shared" si="23"/>
        <v>冰冻</v>
      </c>
      <c r="X72" s="9">
        <f t="shared" si="31"/>
        <v>2</v>
      </c>
      <c r="Y72" s="9">
        <f t="shared" si="32"/>
        <v>1002</v>
      </c>
      <c r="Z72" s="9">
        <v>14</v>
      </c>
      <c r="AA72" s="9" t="str">
        <f t="shared" si="24"/>
        <v>召唤</v>
      </c>
      <c r="AB72" s="9">
        <f t="shared" si="33"/>
        <v>2</v>
      </c>
      <c r="AC72" s="9">
        <f t="shared" si="34"/>
        <v>1004</v>
      </c>
      <c r="AD72" s="9">
        <f t="shared" si="51"/>
        <v>14</v>
      </c>
    </row>
    <row r="73" spans="1:30" x14ac:dyDescent="0.45">
      <c r="A73" s="2">
        <v>69</v>
      </c>
      <c r="B73" s="2">
        <v>114050</v>
      </c>
      <c r="C73" s="1" t="str">
        <f t="shared" si="48"/>
        <v>1|1|140</v>
      </c>
      <c r="D73" s="1" t="str">
        <f t="shared" si="26"/>
        <v>2|1001|15</v>
      </c>
      <c r="E73" s="1" t="str">
        <f t="shared" si="27"/>
        <v>2|1003|8</v>
      </c>
      <c r="F73" s="1" t="str">
        <f t="shared" si="45"/>
        <v/>
      </c>
      <c r="G73" s="1" t="str">
        <f t="shared" si="46"/>
        <v/>
      </c>
      <c r="L73" s="2">
        <v>330</v>
      </c>
      <c r="M73" s="2">
        <f>SUM($L$5:L73)</f>
        <v>10787.5</v>
      </c>
      <c r="N73" s="2">
        <v>0.96</v>
      </c>
      <c r="O73" s="2">
        <f t="shared" si="47"/>
        <v>345.59999999999997</v>
      </c>
      <c r="P73" s="2">
        <f t="shared" si="49"/>
        <v>114050</v>
      </c>
      <c r="S73" s="9" t="s">
        <v>738</v>
      </c>
      <c r="T73" s="9">
        <f t="shared" si="29"/>
        <v>1</v>
      </c>
      <c r="U73" s="9">
        <f t="shared" si="30"/>
        <v>1</v>
      </c>
      <c r="V73" s="146">
        <f t="shared" si="50"/>
        <v>140</v>
      </c>
      <c r="W73" s="9" t="str">
        <f t="shared" si="23"/>
        <v>锁定</v>
      </c>
      <c r="X73" s="9">
        <f t="shared" si="31"/>
        <v>2</v>
      </c>
      <c r="Y73" s="9">
        <f t="shared" si="32"/>
        <v>1001</v>
      </c>
      <c r="Z73" s="9">
        <v>15</v>
      </c>
      <c r="AA73" s="9" t="str">
        <f t="shared" si="24"/>
        <v>狂暴</v>
      </c>
      <c r="AB73" s="9">
        <f t="shared" si="33"/>
        <v>2</v>
      </c>
      <c r="AC73" s="9">
        <f t="shared" si="34"/>
        <v>1003</v>
      </c>
      <c r="AD73" s="9">
        <f t="shared" si="51"/>
        <v>8</v>
      </c>
    </row>
    <row r="74" spans="1:30" x14ac:dyDescent="0.45">
      <c r="A74" s="2">
        <v>70</v>
      </c>
      <c r="B74" s="2">
        <v>115780</v>
      </c>
      <c r="C74" s="1" t="str">
        <f t="shared" si="48"/>
        <v>1|1|142</v>
      </c>
      <c r="D74" s="1" t="str">
        <f t="shared" si="26"/>
        <v>2|1002|15</v>
      </c>
      <c r="E74" s="1" t="str">
        <f t="shared" si="27"/>
        <v>2|1004|15</v>
      </c>
      <c r="F74" s="1" t="str">
        <f t="shared" si="45"/>
        <v/>
      </c>
      <c r="G74" s="1" t="str">
        <f t="shared" si="46"/>
        <v/>
      </c>
      <c r="L74" s="2">
        <v>335</v>
      </c>
      <c r="M74" s="2">
        <f>SUM($L$5:L74)</f>
        <v>11122.5</v>
      </c>
      <c r="N74" s="2">
        <v>0.96</v>
      </c>
      <c r="O74" s="2">
        <f t="shared" si="47"/>
        <v>345.59999999999997</v>
      </c>
      <c r="P74" s="2">
        <f t="shared" si="49"/>
        <v>115780</v>
      </c>
      <c r="S74" s="9" t="s">
        <v>738</v>
      </c>
      <c r="T74" s="9">
        <f t="shared" si="29"/>
        <v>1</v>
      </c>
      <c r="U74" s="9">
        <f t="shared" si="30"/>
        <v>1</v>
      </c>
      <c r="V74" s="146">
        <f t="shared" si="50"/>
        <v>142</v>
      </c>
      <c r="W74" s="9" t="str">
        <f t="shared" si="23"/>
        <v>冰冻</v>
      </c>
      <c r="X74" s="9">
        <f t="shared" si="31"/>
        <v>2</v>
      </c>
      <c r="Y74" s="9">
        <f t="shared" si="32"/>
        <v>1002</v>
      </c>
      <c r="Z74" s="9">
        <v>15</v>
      </c>
      <c r="AA74" s="9" t="str">
        <f t="shared" si="24"/>
        <v>召唤</v>
      </c>
      <c r="AB74" s="9">
        <f t="shared" si="33"/>
        <v>2</v>
      </c>
      <c r="AC74" s="9">
        <f t="shared" si="34"/>
        <v>1004</v>
      </c>
      <c r="AD74" s="9">
        <f t="shared" si="51"/>
        <v>15</v>
      </c>
    </row>
    <row r="75" spans="1:30" x14ac:dyDescent="0.45">
      <c r="A75" s="2">
        <v>71</v>
      </c>
      <c r="B75" s="2">
        <v>117500</v>
      </c>
      <c r="C75" s="1" t="str">
        <f t="shared" si="48"/>
        <v>1|1|144</v>
      </c>
      <c r="D75" s="1" t="str">
        <f t="shared" si="26"/>
        <v>2|1001|15</v>
      </c>
      <c r="E75" s="1" t="str">
        <f t="shared" si="27"/>
        <v>2|1002|15</v>
      </c>
      <c r="F75" s="1" t="str">
        <f t="shared" si="45"/>
        <v/>
      </c>
      <c r="G75" s="1" t="str">
        <f t="shared" si="46"/>
        <v/>
      </c>
      <c r="L75" s="2">
        <v>340</v>
      </c>
      <c r="M75" s="2">
        <f>SUM($L$5:L75)</f>
        <v>11462.5</v>
      </c>
      <c r="N75" s="2">
        <v>0.96</v>
      </c>
      <c r="O75" s="2">
        <f t="shared" si="47"/>
        <v>345.59999999999997</v>
      </c>
      <c r="P75" s="2">
        <f t="shared" si="49"/>
        <v>117500</v>
      </c>
      <c r="S75" s="9" t="s">
        <v>738</v>
      </c>
      <c r="T75" s="9">
        <f t="shared" si="29"/>
        <v>1</v>
      </c>
      <c r="U75" s="9">
        <f t="shared" si="30"/>
        <v>1</v>
      </c>
      <c r="V75" s="146">
        <f t="shared" si="50"/>
        <v>144</v>
      </c>
      <c r="W75" s="9" t="str">
        <f t="shared" si="23"/>
        <v>锁定</v>
      </c>
      <c r="X75" s="9">
        <f t="shared" si="31"/>
        <v>2</v>
      </c>
      <c r="Y75" s="9">
        <f t="shared" si="32"/>
        <v>1001</v>
      </c>
      <c r="Z75" s="9">
        <v>15</v>
      </c>
      <c r="AA75" s="9" t="str">
        <f t="shared" si="24"/>
        <v>冰冻</v>
      </c>
      <c r="AB75" s="9">
        <f t="shared" si="33"/>
        <v>2</v>
      </c>
      <c r="AC75" s="9">
        <f t="shared" si="34"/>
        <v>1002</v>
      </c>
      <c r="AD75" s="9">
        <f t="shared" si="51"/>
        <v>15</v>
      </c>
    </row>
    <row r="76" spans="1:30" x14ac:dyDescent="0.45">
      <c r="A76" s="2">
        <v>72</v>
      </c>
      <c r="B76" s="2">
        <v>119230</v>
      </c>
      <c r="C76" s="1" t="str">
        <f t="shared" si="48"/>
        <v>1|1|146</v>
      </c>
      <c r="D76" s="1" t="str">
        <f t="shared" si="26"/>
        <v>2|1002|15</v>
      </c>
      <c r="E76" s="1" t="str">
        <f t="shared" si="27"/>
        <v>2|1004|15</v>
      </c>
      <c r="F76" s="1" t="str">
        <f t="shared" si="45"/>
        <v/>
      </c>
      <c r="G76" s="1" t="str">
        <f t="shared" si="46"/>
        <v/>
      </c>
      <c r="L76" s="2">
        <v>345</v>
      </c>
      <c r="M76" s="2">
        <f>SUM($L$5:L76)</f>
        <v>11807.5</v>
      </c>
      <c r="N76" s="2">
        <v>0.96</v>
      </c>
      <c r="O76" s="2">
        <f t="shared" si="47"/>
        <v>345.59999999999997</v>
      </c>
      <c r="P76" s="2">
        <f t="shared" si="49"/>
        <v>119230</v>
      </c>
      <c r="S76" s="9" t="s">
        <v>738</v>
      </c>
      <c r="T76" s="9">
        <f t="shared" si="29"/>
        <v>1</v>
      </c>
      <c r="U76" s="9">
        <f t="shared" si="30"/>
        <v>1</v>
      </c>
      <c r="V76" s="146">
        <f t="shared" si="50"/>
        <v>146</v>
      </c>
      <c r="W76" s="9" t="str">
        <f t="shared" si="23"/>
        <v>冰冻</v>
      </c>
      <c r="X76" s="9">
        <f t="shared" si="31"/>
        <v>2</v>
      </c>
      <c r="Y76" s="9">
        <f t="shared" si="32"/>
        <v>1002</v>
      </c>
      <c r="Z76" s="9">
        <v>15</v>
      </c>
      <c r="AA76" s="9" t="str">
        <f t="shared" si="24"/>
        <v>召唤</v>
      </c>
      <c r="AB76" s="9">
        <f t="shared" si="33"/>
        <v>2</v>
      </c>
      <c r="AC76" s="9">
        <f t="shared" si="34"/>
        <v>1004</v>
      </c>
      <c r="AD76" s="9">
        <f t="shared" si="51"/>
        <v>15</v>
      </c>
    </row>
    <row r="77" spans="1:30" x14ac:dyDescent="0.45">
      <c r="A77" s="2">
        <v>73</v>
      </c>
      <c r="B77" s="2">
        <v>120960</v>
      </c>
      <c r="C77" s="1" t="str">
        <f t="shared" si="48"/>
        <v>1|1|148</v>
      </c>
      <c r="D77" s="1" t="str">
        <f t="shared" si="26"/>
        <v>2|1001|15</v>
      </c>
      <c r="E77" s="1" t="str">
        <f t="shared" si="27"/>
        <v>2|1004|15</v>
      </c>
      <c r="F77" s="1" t="str">
        <f t="shared" si="45"/>
        <v/>
      </c>
      <c r="G77" s="1" t="str">
        <f t="shared" si="46"/>
        <v/>
      </c>
      <c r="L77" s="2">
        <v>350</v>
      </c>
      <c r="M77" s="2">
        <f>SUM($L$5:L77)</f>
        <v>12157.5</v>
      </c>
      <c r="N77" s="2">
        <v>0.96</v>
      </c>
      <c r="O77" s="2">
        <f t="shared" si="47"/>
        <v>345.59999999999997</v>
      </c>
      <c r="P77" s="2">
        <f t="shared" si="49"/>
        <v>120960</v>
      </c>
      <c r="S77" s="9" t="s">
        <v>738</v>
      </c>
      <c r="T77" s="9">
        <f t="shared" si="29"/>
        <v>1</v>
      </c>
      <c r="U77" s="9">
        <f t="shared" si="30"/>
        <v>1</v>
      </c>
      <c r="V77" s="146">
        <f t="shared" si="50"/>
        <v>148</v>
      </c>
      <c r="W77" s="9" t="str">
        <f t="shared" si="23"/>
        <v>锁定</v>
      </c>
      <c r="X77" s="9">
        <f t="shared" si="31"/>
        <v>2</v>
      </c>
      <c r="Y77" s="9">
        <f t="shared" si="32"/>
        <v>1001</v>
      </c>
      <c r="Z77" s="9">
        <v>15</v>
      </c>
      <c r="AA77" s="9" t="str">
        <f t="shared" si="24"/>
        <v>召唤</v>
      </c>
      <c r="AB77" s="9">
        <f t="shared" si="33"/>
        <v>2</v>
      </c>
      <c r="AC77" s="9">
        <f t="shared" si="34"/>
        <v>1004</v>
      </c>
      <c r="AD77" s="9">
        <f t="shared" si="51"/>
        <v>15</v>
      </c>
    </row>
    <row r="78" spans="1:30" x14ac:dyDescent="0.45">
      <c r="A78" s="2">
        <v>74</v>
      </c>
      <c r="B78" s="2">
        <v>122690</v>
      </c>
      <c r="C78" s="1" t="str">
        <f t="shared" si="48"/>
        <v>1|1|150</v>
      </c>
      <c r="D78" s="1" t="str">
        <f t="shared" si="26"/>
        <v>2|1002|16</v>
      </c>
      <c r="E78" s="1" t="str">
        <f t="shared" si="27"/>
        <v>2|1003|8</v>
      </c>
      <c r="F78" s="1" t="str">
        <f t="shared" si="45"/>
        <v/>
      </c>
      <c r="G78" s="1" t="str">
        <f t="shared" si="46"/>
        <v/>
      </c>
      <c r="L78" s="2">
        <v>355</v>
      </c>
      <c r="M78" s="2">
        <f>SUM($L$5:L78)</f>
        <v>12512.5</v>
      </c>
      <c r="N78" s="2">
        <v>0.96</v>
      </c>
      <c r="O78" s="2">
        <f t="shared" si="47"/>
        <v>345.59999999999997</v>
      </c>
      <c r="P78" s="2">
        <f t="shared" si="49"/>
        <v>122690</v>
      </c>
      <c r="S78" s="9" t="s">
        <v>738</v>
      </c>
      <c r="T78" s="9">
        <f t="shared" si="29"/>
        <v>1</v>
      </c>
      <c r="U78" s="9">
        <f t="shared" si="30"/>
        <v>1</v>
      </c>
      <c r="V78" s="146">
        <f t="shared" si="50"/>
        <v>150</v>
      </c>
      <c r="W78" s="9" t="str">
        <f t="shared" si="23"/>
        <v>冰冻</v>
      </c>
      <c r="X78" s="9">
        <f t="shared" si="31"/>
        <v>2</v>
      </c>
      <c r="Y78" s="9">
        <f t="shared" si="32"/>
        <v>1002</v>
      </c>
      <c r="Z78" s="9">
        <v>16</v>
      </c>
      <c r="AA78" s="9" t="str">
        <f t="shared" si="24"/>
        <v>狂暴</v>
      </c>
      <c r="AB78" s="9">
        <f t="shared" si="33"/>
        <v>2</v>
      </c>
      <c r="AC78" s="9">
        <f t="shared" si="34"/>
        <v>1003</v>
      </c>
      <c r="AD78" s="9">
        <f t="shared" si="51"/>
        <v>8</v>
      </c>
    </row>
    <row r="79" spans="1:30" x14ac:dyDescent="0.45">
      <c r="A79" s="2">
        <v>75</v>
      </c>
      <c r="B79" s="2">
        <v>124420</v>
      </c>
      <c r="C79" s="1" t="str">
        <f t="shared" si="48"/>
        <v>1|1|152</v>
      </c>
      <c r="D79" s="1" t="str">
        <f t="shared" si="26"/>
        <v>2|1001|16</v>
      </c>
      <c r="E79" s="1" t="str">
        <f t="shared" si="27"/>
        <v>2|1002|16</v>
      </c>
      <c r="F79" s="1" t="str">
        <f t="shared" si="45"/>
        <v/>
      </c>
      <c r="G79" s="1" t="str">
        <f t="shared" si="46"/>
        <v/>
      </c>
      <c r="L79" s="2">
        <v>360</v>
      </c>
      <c r="M79" s="2">
        <f>SUM($L$5:L79)</f>
        <v>12872.5</v>
      </c>
      <c r="N79" s="2">
        <v>0.96</v>
      </c>
      <c r="O79" s="2">
        <f t="shared" si="47"/>
        <v>345.59999999999997</v>
      </c>
      <c r="P79" s="2">
        <f t="shared" si="49"/>
        <v>124420</v>
      </c>
      <c r="S79" s="9" t="s">
        <v>738</v>
      </c>
      <c r="T79" s="9">
        <f t="shared" si="29"/>
        <v>1</v>
      </c>
      <c r="U79" s="9">
        <f t="shared" si="30"/>
        <v>1</v>
      </c>
      <c r="V79" s="146">
        <f t="shared" si="50"/>
        <v>152</v>
      </c>
      <c r="W79" s="9" t="str">
        <f t="shared" si="23"/>
        <v>锁定</v>
      </c>
      <c r="X79" s="9">
        <f t="shared" si="31"/>
        <v>2</v>
      </c>
      <c r="Y79" s="9">
        <f t="shared" si="32"/>
        <v>1001</v>
      </c>
      <c r="Z79" s="9">
        <v>16</v>
      </c>
      <c r="AA79" s="9" t="str">
        <f t="shared" si="24"/>
        <v>冰冻</v>
      </c>
      <c r="AB79" s="9">
        <f t="shared" si="33"/>
        <v>2</v>
      </c>
      <c r="AC79" s="9">
        <f t="shared" si="34"/>
        <v>1002</v>
      </c>
      <c r="AD79" s="9">
        <f t="shared" si="51"/>
        <v>16</v>
      </c>
    </row>
    <row r="80" spans="1:30" x14ac:dyDescent="0.45">
      <c r="A80" s="2">
        <v>76</v>
      </c>
      <c r="B80" s="2">
        <v>126140</v>
      </c>
      <c r="C80" s="1" t="str">
        <f t="shared" si="48"/>
        <v>1|1|154</v>
      </c>
      <c r="D80" s="1" t="str">
        <f t="shared" si="26"/>
        <v>2|1002|16</v>
      </c>
      <c r="E80" s="1" t="str">
        <f t="shared" si="27"/>
        <v>2|1002|16</v>
      </c>
      <c r="F80" s="1" t="str">
        <f t="shared" si="45"/>
        <v/>
      </c>
      <c r="G80" s="1" t="str">
        <f t="shared" si="46"/>
        <v/>
      </c>
      <c r="L80" s="2">
        <v>365</v>
      </c>
      <c r="M80" s="2">
        <f>SUM($L$5:L80)</f>
        <v>13237.5</v>
      </c>
      <c r="N80" s="2">
        <v>0.96</v>
      </c>
      <c r="O80" s="2">
        <f t="shared" si="47"/>
        <v>345.59999999999997</v>
      </c>
      <c r="P80" s="2">
        <f t="shared" si="49"/>
        <v>126140</v>
      </c>
      <c r="S80" s="9" t="s">
        <v>738</v>
      </c>
      <c r="T80" s="9">
        <f t="shared" si="29"/>
        <v>1</v>
      </c>
      <c r="U80" s="9">
        <f t="shared" si="30"/>
        <v>1</v>
      </c>
      <c r="V80" s="146">
        <f t="shared" si="50"/>
        <v>154</v>
      </c>
      <c r="W80" s="9" t="str">
        <f t="shared" si="23"/>
        <v>冰冻</v>
      </c>
      <c r="X80" s="9">
        <f t="shared" si="31"/>
        <v>2</v>
      </c>
      <c r="Y80" s="9">
        <f t="shared" si="32"/>
        <v>1002</v>
      </c>
      <c r="Z80" s="9">
        <v>16</v>
      </c>
      <c r="AA80" s="9" t="str">
        <f t="shared" si="24"/>
        <v>冰冻</v>
      </c>
      <c r="AB80" s="9">
        <f t="shared" si="33"/>
        <v>2</v>
      </c>
      <c r="AC80" s="9">
        <f t="shared" si="34"/>
        <v>1002</v>
      </c>
      <c r="AD80" s="9">
        <f t="shared" si="51"/>
        <v>16</v>
      </c>
    </row>
    <row r="81" spans="1:30" x14ac:dyDescent="0.45">
      <c r="A81" s="2">
        <v>77</v>
      </c>
      <c r="B81" s="2">
        <v>127870</v>
      </c>
      <c r="C81" s="1" t="str">
        <f t="shared" si="48"/>
        <v>1|1|156</v>
      </c>
      <c r="D81" s="1" t="str">
        <f t="shared" si="26"/>
        <v>2|1001|16</v>
      </c>
      <c r="E81" s="1" t="str">
        <f t="shared" si="27"/>
        <v>2|1004|16</v>
      </c>
      <c r="F81" s="1" t="str">
        <f t="shared" si="45"/>
        <v/>
      </c>
      <c r="G81" s="1" t="str">
        <f t="shared" si="46"/>
        <v/>
      </c>
      <c r="L81" s="2">
        <v>370</v>
      </c>
      <c r="M81" s="2">
        <f>SUM($L$5:L81)</f>
        <v>13607.5</v>
      </c>
      <c r="N81" s="2">
        <v>0.96</v>
      </c>
      <c r="O81" s="2">
        <f t="shared" si="47"/>
        <v>345.59999999999997</v>
      </c>
      <c r="P81" s="2">
        <f t="shared" si="49"/>
        <v>127870</v>
      </c>
      <c r="S81" s="9" t="s">
        <v>738</v>
      </c>
      <c r="T81" s="9">
        <f t="shared" si="29"/>
        <v>1</v>
      </c>
      <c r="U81" s="9">
        <f t="shared" si="30"/>
        <v>1</v>
      </c>
      <c r="V81" s="146">
        <f t="shared" si="50"/>
        <v>156</v>
      </c>
      <c r="W81" s="9" t="str">
        <f t="shared" si="23"/>
        <v>锁定</v>
      </c>
      <c r="X81" s="9">
        <f t="shared" si="31"/>
        <v>2</v>
      </c>
      <c r="Y81" s="9">
        <f t="shared" si="32"/>
        <v>1001</v>
      </c>
      <c r="Z81" s="9">
        <v>16</v>
      </c>
      <c r="AA81" s="9" t="str">
        <f t="shared" si="24"/>
        <v>召唤</v>
      </c>
      <c r="AB81" s="9">
        <f t="shared" si="33"/>
        <v>2</v>
      </c>
      <c r="AC81" s="9">
        <f t="shared" si="34"/>
        <v>1004</v>
      </c>
      <c r="AD81" s="9">
        <f t="shared" si="51"/>
        <v>16</v>
      </c>
    </row>
    <row r="82" spans="1:30" x14ac:dyDescent="0.45">
      <c r="A82" s="2">
        <v>78</v>
      </c>
      <c r="B82" s="2">
        <v>129600</v>
      </c>
      <c r="C82" s="1" t="str">
        <f t="shared" si="48"/>
        <v>1|1|158</v>
      </c>
      <c r="D82" s="1" t="str">
        <f t="shared" si="26"/>
        <v>2|1002|16</v>
      </c>
      <c r="E82" s="1" t="str">
        <f t="shared" si="27"/>
        <v>2|1004|16</v>
      </c>
      <c r="F82" s="1" t="str">
        <f t="shared" si="45"/>
        <v/>
      </c>
      <c r="G82" s="1" t="str">
        <f t="shared" si="46"/>
        <v/>
      </c>
      <c r="L82" s="2">
        <v>375</v>
      </c>
      <c r="M82" s="2">
        <f>SUM($L$5:L82)</f>
        <v>13982.5</v>
      </c>
      <c r="N82" s="2">
        <v>0.96</v>
      </c>
      <c r="O82" s="2">
        <f t="shared" si="47"/>
        <v>345.59999999999997</v>
      </c>
      <c r="P82" s="2">
        <f t="shared" si="49"/>
        <v>129600</v>
      </c>
      <c r="S82" s="9" t="s">
        <v>738</v>
      </c>
      <c r="T82" s="9">
        <f t="shared" si="29"/>
        <v>1</v>
      </c>
      <c r="U82" s="9">
        <f t="shared" si="30"/>
        <v>1</v>
      </c>
      <c r="V82" s="146">
        <f t="shared" si="50"/>
        <v>158</v>
      </c>
      <c r="W82" s="9" t="str">
        <f t="shared" si="23"/>
        <v>冰冻</v>
      </c>
      <c r="X82" s="9">
        <f t="shared" si="31"/>
        <v>2</v>
      </c>
      <c r="Y82" s="9">
        <f t="shared" si="32"/>
        <v>1002</v>
      </c>
      <c r="Z82" s="9">
        <v>16</v>
      </c>
      <c r="AA82" s="9" t="str">
        <f t="shared" si="24"/>
        <v>召唤</v>
      </c>
      <c r="AB82" s="9">
        <f t="shared" si="33"/>
        <v>2</v>
      </c>
      <c r="AC82" s="9">
        <f t="shared" si="34"/>
        <v>1004</v>
      </c>
      <c r="AD82" s="9">
        <f t="shared" si="51"/>
        <v>16</v>
      </c>
    </row>
    <row r="83" spans="1:30" x14ac:dyDescent="0.45">
      <c r="A83" s="2">
        <v>79</v>
      </c>
      <c r="B83" s="2">
        <v>131330</v>
      </c>
      <c r="C83" s="1" t="str">
        <f t="shared" si="48"/>
        <v>1|1|160</v>
      </c>
      <c r="D83" s="1" t="str">
        <f t="shared" si="26"/>
        <v>2|1001|17</v>
      </c>
      <c r="E83" s="1" t="str">
        <f t="shared" si="27"/>
        <v>2|1003|9</v>
      </c>
      <c r="F83" s="1" t="str">
        <f t="shared" si="45"/>
        <v/>
      </c>
      <c r="G83" s="1" t="str">
        <f t="shared" si="46"/>
        <v/>
      </c>
      <c r="L83" s="2">
        <v>380</v>
      </c>
      <c r="M83" s="2">
        <f>SUM($L$5:L83)</f>
        <v>14362.5</v>
      </c>
      <c r="N83" s="2">
        <v>0.96</v>
      </c>
      <c r="O83" s="2">
        <f t="shared" si="47"/>
        <v>345.59999999999997</v>
      </c>
      <c r="P83" s="2">
        <f t="shared" si="49"/>
        <v>131330</v>
      </c>
      <c r="S83" s="9" t="s">
        <v>738</v>
      </c>
      <c r="T83" s="9">
        <f t="shared" si="29"/>
        <v>1</v>
      </c>
      <c r="U83" s="9">
        <f t="shared" si="30"/>
        <v>1</v>
      </c>
      <c r="V83" s="146">
        <f t="shared" si="50"/>
        <v>160</v>
      </c>
      <c r="W83" s="9" t="str">
        <f t="shared" si="23"/>
        <v>锁定</v>
      </c>
      <c r="X83" s="9">
        <f t="shared" si="31"/>
        <v>2</v>
      </c>
      <c r="Y83" s="9">
        <f t="shared" si="32"/>
        <v>1001</v>
      </c>
      <c r="Z83" s="9">
        <v>17</v>
      </c>
      <c r="AA83" s="9" t="str">
        <f t="shared" si="24"/>
        <v>狂暴</v>
      </c>
      <c r="AB83" s="9">
        <f t="shared" si="33"/>
        <v>2</v>
      </c>
      <c r="AC83" s="9">
        <f t="shared" si="34"/>
        <v>1003</v>
      </c>
      <c r="AD83" s="9">
        <f t="shared" si="51"/>
        <v>9</v>
      </c>
    </row>
    <row r="84" spans="1:30" x14ac:dyDescent="0.45">
      <c r="A84" s="2">
        <v>80</v>
      </c>
      <c r="B84" s="2">
        <v>133060</v>
      </c>
      <c r="C84" s="1" t="str">
        <f t="shared" si="48"/>
        <v>1|1|162</v>
      </c>
      <c r="D84" s="1" t="str">
        <f t="shared" si="26"/>
        <v>2|1002|17</v>
      </c>
      <c r="E84" s="1" t="str">
        <f t="shared" si="27"/>
        <v>2|1004|17</v>
      </c>
      <c r="F84" s="1" t="str">
        <f t="shared" si="45"/>
        <v/>
      </c>
      <c r="G84" s="1" t="str">
        <f t="shared" si="46"/>
        <v/>
      </c>
      <c r="L84" s="2">
        <v>385</v>
      </c>
      <c r="M84" s="2">
        <f>SUM($L$5:L84)</f>
        <v>14747.5</v>
      </c>
      <c r="N84" s="2">
        <v>0.96</v>
      </c>
      <c r="O84" s="2">
        <f t="shared" si="47"/>
        <v>345.59999999999997</v>
      </c>
      <c r="P84" s="2">
        <f t="shared" si="49"/>
        <v>133060</v>
      </c>
      <c r="S84" s="9" t="s">
        <v>738</v>
      </c>
      <c r="T84" s="9">
        <f t="shared" si="29"/>
        <v>1</v>
      </c>
      <c r="U84" s="9">
        <f t="shared" si="30"/>
        <v>1</v>
      </c>
      <c r="V84" s="146">
        <f t="shared" si="50"/>
        <v>162</v>
      </c>
      <c r="W84" s="9" t="str">
        <f t="shared" si="23"/>
        <v>冰冻</v>
      </c>
      <c r="X84" s="9">
        <f t="shared" si="31"/>
        <v>2</v>
      </c>
      <c r="Y84" s="9">
        <f t="shared" si="32"/>
        <v>1002</v>
      </c>
      <c r="Z84" s="9">
        <v>17</v>
      </c>
      <c r="AA84" s="9" t="str">
        <f t="shared" si="24"/>
        <v>召唤</v>
      </c>
      <c r="AB84" s="9">
        <f t="shared" si="33"/>
        <v>2</v>
      </c>
      <c r="AC84" s="9">
        <f t="shared" si="34"/>
        <v>1004</v>
      </c>
      <c r="AD84" s="9">
        <f t="shared" si="51"/>
        <v>17</v>
      </c>
    </row>
    <row r="85" spans="1:30" x14ac:dyDescent="0.45">
      <c r="A85" s="2">
        <v>81</v>
      </c>
      <c r="B85" s="2">
        <v>134780</v>
      </c>
      <c r="C85" s="1" t="str">
        <f t="shared" si="48"/>
        <v>1|1|164</v>
      </c>
      <c r="D85" s="1" t="str">
        <f t="shared" si="26"/>
        <v>2|1001|17</v>
      </c>
      <c r="E85" s="1" t="str">
        <f t="shared" si="27"/>
        <v>2|1002|17</v>
      </c>
      <c r="F85" s="1" t="str">
        <f t="shared" si="45"/>
        <v/>
      </c>
      <c r="G85" s="1" t="str">
        <f t="shared" si="46"/>
        <v/>
      </c>
      <c r="L85" s="2">
        <v>390</v>
      </c>
      <c r="M85" s="2">
        <f>SUM($L$5:L85)</f>
        <v>15137.5</v>
      </c>
      <c r="N85" s="2">
        <v>0.96</v>
      </c>
      <c r="O85" s="2">
        <f t="shared" si="47"/>
        <v>345.59999999999997</v>
      </c>
      <c r="P85" s="2">
        <f t="shared" si="49"/>
        <v>134780</v>
      </c>
      <c r="S85" s="9" t="s">
        <v>738</v>
      </c>
      <c r="T85" s="9">
        <f t="shared" ref="T85:T94" si="52">VLOOKUP(S85,AT:AY,4,0)</f>
        <v>1</v>
      </c>
      <c r="U85" s="9">
        <f t="shared" ref="U85:U94" si="53">VLOOKUP(S85,AT:AY,5,0)</f>
        <v>1</v>
      </c>
      <c r="V85" s="146">
        <f t="shared" si="50"/>
        <v>164</v>
      </c>
      <c r="W85" s="9" t="str">
        <f t="shared" si="23"/>
        <v>锁定</v>
      </c>
      <c r="X85" s="9">
        <f t="shared" ref="X85:X94" si="54">VLOOKUP(W85,AT:AY,4,0)</f>
        <v>2</v>
      </c>
      <c r="Y85" s="9">
        <f t="shared" ref="Y85:Y94" si="55">VLOOKUP(W85,AT:AY,5,0)</f>
        <v>1001</v>
      </c>
      <c r="Z85" s="9">
        <v>17</v>
      </c>
      <c r="AA85" s="9" t="str">
        <f t="shared" si="24"/>
        <v>冰冻</v>
      </c>
      <c r="AB85" s="9">
        <f t="shared" ref="AB85:AB94" si="56">VLOOKUP(AA85,AT:AY,4,0)</f>
        <v>2</v>
      </c>
      <c r="AC85" s="9">
        <f t="shared" ref="AC85:AC94" si="57">VLOOKUP(AA85,AT:AY,5,0)</f>
        <v>1002</v>
      </c>
      <c r="AD85" s="9">
        <f t="shared" si="51"/>
        <v>17</v>
      </c>
    </row>
    <row r="86" spans="1:30" x14ac:dyDescent="0.45">
      <c r="A86" s="2">
        <v>82</v>
      </c>
      <c r="B86" s="2">
        <v>136510</v>
      </c>
      <c r="C86" s="1" t="str">
        <f t="shared" si="48"/>
        <v>1|1|166</v>
      </c>
      <c r="D86" s="1" t="str">
        <f t="shared" si="26"/>
        <v>2|1002|17</v>
      </c>
      <c r="E86" s="1" t="str">
        <f t="shared" si="27"/>
        <v>2|1004|17</v>
      </c>
      <c r="F86" s="1" t="str">
        <f t="shared" si="45"/>
        <v/>
      </c>
      <c r="G86" s="1" t="str">
        <f t="shared" si="46"/>
        <v/>
      </c>
      <c r="L86" s="2">
        <v>395</v>
      </c>
      <c r="M86" s="2">
        <f>SUM($L$5:L86)</f>
        <v>15532.5</v>
      </c>
      <c r="N86" s="2">
        <v>0.96</v>
      </c>
      <c r="O86" s="2">
        <f t="shared" si="47"/>
        <v>345.59999999999997</v>
      </c>
      <c r="P86" s="2">
        <f t="shared" si="49"/>
        <v>136510</v>
      </c>
      <c r="S86" s="9" t="s">
        <v>738</v>
      </c>
      <c r="T86" s="9">
        <f t="shared" si="52"/>
        <v>1</v>
      </c>
      <c r="U86" s="9">
        <f t="shared" si="53"/>
        <v>1</v>
      </c>
      <c r="V86" s="146">
        <f t="shared" si="50"/>
        <v>166</v>
      </c>
      <c r="W86" s="9" t="str">
        <f t="shared" si="23"/>
        <v>冰冻</v>
      </c>
      <c r="X86" s="9">
        <f t="shared" si="54"/>
        <v>2</v>
      </c>
      <c r="Y86" s="9">
        <f t="shared" si="55"/>
        <v>1002</v>
      </c>
      <c r="Z86" s="9">
        <v>17</v>
      </c>
      <c r="AA86" s="9" t="str">
        <f t="shared" si="24"/>
        <v>召唤</v>
      </c>
      <c r="AB86" s="9">
        <f t="shared" si="56"/>
        <v>2</v>
      </c>
      <c r="AC86" s="9">
        <f t="shared" si="57"/>
        <v>1004</v>
      </c>
      <c r="AD86" s="9">
        <f t="shared" si="51"/>
        <v>17</v>
      </c>
    </row>
    <row r="87" spans="1:30" x14ac:dyDescent="0.45">
      <c r="A87" s="2">
        <v>83</v>
      </c>
      <c r="B87" s="2">
        <v>138240</v>
      </c>
      <c r="C87" s="1" t="str">
        <f t="shared" si="48"/>
        <v>1|1|168</v>
      </c>
      <c r="D87" s="1" t="str">
        <f t="shared" si="26"/>
        <v>2|1001|17</v>
      </c>
      <c r="E87" s="1" t="str">
        <f t="shared" si="27"/>
        <v>2|1004|17</v>
      </c>
      <c r="F87" s="1" t="str">
        <f t="shared" si="45"/>
        <v/>
      </c>
      <c r="G87" s="1" t="str">
        <f t="shared" si="46"/>
        <v/>
      </c>
      <c r="L87" s="2">
        <v>400</v>
      </c>
      <c r="M87" s="2">
        <f>SUM($L$5:L87)</f>
        <v>15932.5</v>
      </c>
      <c r="N87" s="2">
        <v>0.96</v>
      </c>
      <c r="O87" s="2">
        <f t="shared" si="47"/>
        <v>345.59999999999997</v>
      </c>
      <c r="P87" s="2">
        <f t="shared" si="49"/>
        <v>138240</v>
      </c>
      <c r="S87" s="9" t="s">
        <v>738</v>
      </c>
      <c r="T87" s="9">
        <f t="shared" si="52"/>
        <v>1</v>
      </c>
      <c r="U87" s="9">
        <f t="shared" si="53"/>
        <v>1</v>
      </c>
      <c r="V87" s="146">
        <f t="shared" si="50"/>
        <v>168</v>
      </c>
      <c r="W87" s="9" t="str">
        <f t="shared" si="23"/>
        <v>锁定</v>
      </c>
      <c r="X87" s="9">
        <f t="shared" si="54"/>
        <v>2</v>
      </c>
      <c r="Y87" s="9">
        <f t="shared" si="55"/>
        <v>1001</v>
      </c>
      <c r="Z87" s="9">
        <v>17</v>
      </c>
      <c r="AA87" s="9" t="str">
        <f t="shared" si="24"/>
        <v>召唤</v>
      </c>
      <c r="AB87" s="9">
        <f t="shared" si="56"/>
        <v>2</v>
      </c>
      <c r="AC87" s="9">
        <f t="shared" si="57"/>
        <v>1004</v>
      </c>
      <c r="AD87" s="9">
        <f t="shared" si="51"/>
        <v>17</v>
      </c>
    </row>
    <row r="88" spans="1:30" x14ac:dyDescent="0.45">
      <c r="A88" s="2">
        <v>84</v>
      </c>
      <c r="B88" s="2">
        <v>139970</v>
      </c>
      <c r="C88" s="1" t="str">
        <f t="shared" si="48"/>
        <v>1|1|170</v>
      </c>
      <c r="D88" s="1" t="str">
        <f t="shared" si="26"/>
        <v>2|1002|18</v>
      </c>
      <c r="E88" s="1" t="str">
        <f t="shared" si="27"/>
        <v>2|1003|9</v>
      </c>
      <c r="F88" s="1" t="str">
        <f t="shared" si="45"/>
        <v/>
      </c>
      <c r="G88" s="1" t="str">
        <f t="shared" si="46"/>
        <v/>
      </c>
      <c r="L88" s="2">
        <v>405</v>
      </c>
      <c r="M88" s="2">
        <f>SUM($L$5:L88)</f>
        <v>16337.5</v>
      </c>
      <c r="N88" s="2">
        <v>0.96</v>
      </c>
      <c r="O88" s="2">
        <f t="shared" si="47"/>
        <v>345.59999999999997</v>
      </c>
      <c r="P88" s="2">
        <f t="shared" si="49"/>
        <v>139970</v>
      </c>
      <c r="S88" s="9" t="s">
        <v>738</v>
      </c>
      <c r="T88" s="9">
        <f t="shared" si="52"/>
        <v>1</v>
      </c>
      <c r="U88" s="9">
        <f t="shared" si="53"/>
        <v>1</v>
      </c>
      <c r="V88" s="146">
        <f t="shared" si="50"/>
        <v>170</v>
      </c>
      <c r="W88" s="9" t="str">
        <f t="shared" si="23"/>
        <v>冰冻</v>
      </c>
      <c r="X88" s="9">
        <f t="shared" si="54"/>
        <v>2</v>
      </c>
      <c r="Y88" s="9">
        <f t="shared" si="55"/>
        <v>1002</v>
      </c>
      <c r="Z88" s="9">
        <v>18</v>
      </c>
      <c r="AA88" s="9" t="str">
        <f t="shared" si="24"/>
        <v>狂暴</v>
      </c>
      <c r="AB88" s="9">
        <f t="shared" si="56"/>
        <v>2</v>
      </c>
      <c r="AC88" s="9">
        <f t="shared" si="57"/>
        <v>1003</v>
      </c>
      <c r="AD88" s="9">
        <f t="shared" si="51"/>
        <v>9</v>
      </c>
    </row>
    <row r="89" spans="1:30" x14ac:dyDescent="0.45">
      <c r="A89" s="2">
        <v>85</v>
      </c>
      <c r="B89" s="2">
        <v>141700</v>
      </c>
      <c r="C89" s="1" t="str">
        <f t="shared" si="48"/>
        <v>1|1|172</v>
      </c>
      <c r="D89" s="1" t="str">
        <f t="shared" si="26"/>
        <v>2|1001|18</v>
      </c>
      <c r="E89" s="1" t="str">
        <f t="shared" si="27"/>
        <v>2|1002|18</v>
      </c>
      <c r="F89" s="1" t="str">
        <f t="shared" si="45"/>
        <v/>
      </c>
      <c r="G89" s="1" t="str">
        <f t="shared" si="46"/>
        <v/>
      </c>
      <c r="L89" s="2">
        <v>410</v>
      </c>
      <c r="M89" s="2">
        <f>SUM($L$5:L89)</f>
        <v>16747.5</v>
      </c>
      <c r="N89" s="2">
        <v>0.96</v>
      </c>
      <c r="O89" s="2">
        <f t="shared" si="47"/>
        <v>345.59999999999997</v>
      </c>
      <c r="P89" s="2">
        <f t="shared" si="49"/>
        <v>141700</v>
      </c>
      <c r="S89" s="9" t="s">
        <v>738</v>
      </c>
      <c r="T89" s="9">
        <f t="shared" si="52"/>
        <v>1</v>
      </c>
      <c r="U89" s="9">
        <f t="shared" si="53"/>
        <v>1</v>
      </c>
      <c r="V89" s="146">
        <f t="shared" si="50"/>
        <v>172</v>
      </c>
      <c r="W89" s="9" t="str">
        <f t="shared" ref="W89:W103" si="58">W79</f>
        <v>锁定</v>
      </c>
      <c r="X89" s="9">
        <f t="shared" si="54"/>
        <v>2</v>
      </c>
      <c r="Y89" s="9">
        <f t="shared" si="55"/>
        <v>1001</v>
      </c>
      <c r="Z89" s="9">
        <v>18</v>
      </c>
      <c r="AA89" s="9" t="str">
        <f t="shared" ref="AA89:AA103" si="59">AA79</f>
        <v>冰冻</v>
      </c>
      <c r="AB89" s="9">
        <f t="shared" si="56"/>
        <v>2</v>
      </c>
      <c r="AC89" s="9">
        <f t="shared" si="57"/>
        <v>1002</v>
      </c>
      <c r="AD89" s="9">
        <f t="shared" si="51"/>
        <v>18</v>
      </c>
    </row>
    <row r="90" spans="1:30" x14ac:dyDescent="0.45">
      <c r="A90" s="2">
        <v>86</v>
      </c>
      <c r="B90" s="2">
        <v>143420</v>
      </c>
      <c r="C90" s="1" t="str">
        <f t="shared" si="48"/>
        <v>1|1|174</v>
      </c>
      <c r="D90" s="1" t="str">
        <f t="shared" si="26"/>
        <v>2|1002|18</v>
      </c>
      <c r="E90" s="1" t="str">
        <f t="shared" si="27"/>
        <v>2|1002|18</v>
      </c>
      <c r="F90" s="1" t="str">
        <f t="shared" si="45"/>
        <v/>
      </c>
      <c r="G90" s="1" t="str">
        <f t="shared" si="46"/>
        <v/>
      </c>
      <c r="L90" s="2">
        <v>415</v>
      </c>
      <c r="M90" s="2">
        <f>SUM($L$5:L90)</f>
        <v>17162.5</v>
      </c>
      <c r="N90" s="2">
        <v>0.96</v>
      </c>
      <c r="O90" s="2">
        <f t="shared" si="47"/>
        <v>345.59999999999997</v>
      </c>
      <c r="P90" s="2">
        <f t="shared" si="49"/>
        <v>143420</v>
      </c>
      <c r="S90" s="9" t="s">
        <v>738</v>
      </c>
      <c r="T90" s="9">
        <f t="shared" si="52"/>
        <v>1</v>
      </c>
      <c r="U90" s="9">
        <f t="shared" si="53"/>
        <v>1</v>
      </c>
      <c r="V90" s="146">
        <f t="shared" si="50"/>
        <v>174</v>
      </c>
      <c r="W90" s="9" t="str">
        <f t="shared" si="58"/>
        <v>冰冻</v>
      </c>
      <c r="X90" s="9">
        <f t="shared" si="54"/>
        <v>2</v>
      </c>
      <c r="Y90" s="9">
        <f t="shared" si="55"/>
        <v>1002</v>
      </c>
      <c r="Z90" s="9">
        <v>18</v>
      </c>
      <c r="AA90" s="9" t="str">
        <f t="shared" si="59"/>
        <v>冰冻</v>
      </c>
      <c r="AB90" s="9">
        <f t="shared" si="56"/>
        <v>2</v>
      </c>
      <c r="AC90" s="9">
        <f t="shared" si="57"/>
        <v>1002</v>
      </c>
      <c r="AD90" s="9">
        <f t="shared" si="51"/>
        <v>18</v>
      </c>
    </row>
    <row r="91" spans="1:30" x14ac:dyDescent="0.45">
      <c r="A91" s="2">
        <v>87</v>
      </c>
      <c r="B91" s="2">
        <v>145150</v>
      </c>
      <c r="C91" s="1" t="str">
        <f t="shared" si="48"/>
        <v>1|1|176</v>
      </c>
      <c r="D91" s="1" t="str">
        <f t="shared" si="26"/>
        <v>2|1001|18</v>
      </c>
      <c r="E91" s="1" t="str">
        <f t="shared" si="27"/>
        <v>2|1004|18</v>
      </c>
      <c r="F91" s="1" t="str">
        <f t="shared" si="45"/>
        <v/>
      </c>
      <c r="G91" s="1" t="str">
        <f t="shared" si="46"/>
        <v/>
      </c>
      <c r="L91" s="2">
        <v>420</v>
      </c>
      <c r="M91" s="2">
        <f>SUM($L$5:L91)</f>
        <v>17582.5</v>
      </c>
      <c r="N91" s="2">
        <v>0.96</v>
      </c>
      <c r="O91" s="2">
        <f t="shared" si="47"/>
        <v>345.59999999999997</v>
      </c>
      <c r="P91" s="2">
        <f t="shared" si="49"/>
        <v>145150</v>
      </c>
      <c r="S91" s="9" t="s">
        <v>738</v>
      </c>
      <c r="T91" s="9">
        <f t="shared" si="52"/>
        <v>1</v>
      </c>
      <c r="U91" s="9">
        <f t="shared" si="53"/>
        <v>1</v>
      </c>
      <c r="V91" s="146">
        <f t="shared" si="50"/>
        <v>176</v>
      </c>
      <c r="W91" s="9" t="str">
        <f t="shared" si="58"/>
        <v>锁定</v>
      </c>
      <c r="X91" s="9">
        <f t="shared" si="54"/>
        <v>2</v>
      </c>
      <c r="Y91" s="9">
        <f t="shared" si="55"/>
        <v>1001</v>
      </c>
      <c r="Z91" s="9">
        <v>18</v>
      </c>
      <c r="AA91" s="9" t="str">
        <f t="shared" si="59"/>
        <v>召唤</v>
      </c>
      <c r="AB91" s="9">
        <f t="shared" si="56"/>
        <v>2</v>
      </c>
      <c r="AC91" s="9">
        <f t="shared" si="57"/>
        <v>1004</v>
      </c>
      <c r="AD91" s="9">
        <f t="shared" si="51"/>
        <v>18</v>
      </c>
    </row>
    <row r="92" spans="1:30" x14ac:dyDescent="0.45">
      <c r="A92" s="2">
        <v>88</v>
      </c>
      <c r="B92" s="2">
        <v>146880</v>
      </c>
      <c r="C92" s="1" t="str">
        <f t="shared" si="48"/>
        <v>1|1|178</v>
      </c>
      <c r="D92" s="1" t="str">
        <f t="shared" si="26"/>
        <v>2|1002|18</v>
      </c>
      <c r="E92" s="1" t="str">
        <f t="shared" si="27"/>
        <v>2|1004|18</v>
      </c>
      <c r="F92" s="1" t="str">
        <f t="shared" si="45"/>
        <v/>
      </c>
      <c r="G92" s="1" t="str">
        <f t="shared" si="46"/>
        <v/>
      </c>
      <c r="L92" s="2">
        <v>425</v>
      </c>
      <c r="M92" s="2">
        <f>SUM($L$5:L92)</f>
        <v>18007.5</v>
      </c>
      <c r="N92" s="2">
        <v>0.96</v>
      </c>
      <c r="O92" s="2">
        <f t="shared" si="47"/>
        <v>345.59999999999997</v>
      </c>
      <c r="P92" s="2">
        <f t="shared" si="49"/>
        <v>146880</v>
      </c>
      <c r="S92" s="9" t="s">
        <v>738</v>
      </c>
      <c r="T92" s="9">
        <f t="shared" si="52"/>
        <v>1</v>
      </c>
      <c r="U92" s="9">
        <f t="shared" si="53"/>
        <v>1</v>
      </c>
      <c r="V92" s="146">
        <f t="shared" si="50"/>
        <v>178</v>
      </c>
      <c r="W92" s="9" t="str">
        <f t="shared" si="58"/>
        <v>冰冻</v>
      </c>
      <c r="X92" s="9">
        <f t="shared" si="54"/>
        <v>2</v>
      </c>
      <c r="Y92" s="9">
        <f t="shared" si="55"/>
        <v>1002</v>
      </c>
      <c r="Z92" s="9">
        <v>18</v>
      </c>
      <c r="AA92" s="9" t="str">
        <f t="shared" si="59"/>
        <v>召唤</v>
      </c>
      <c r="AB92" s="9">
        <f t="shared" si="56"/>
        <v>2</v>
      </c>
      <c r="AC92" s="9">
        <f t="shared" si="57"/>
        <v>1004</v>
      </c>
      <c r="AD92" s="9">
        <f t="shared" si="51"/>
        <v>18</v>
      </c>
    </row>
    <row r="93" spans="1:30" x14ac:dyDescent="0.45">
      <c r="A93" s="2">
        <v>89</v>
      </c>
      <c r="B93" s="2">
        <v>148610</v>
      </c>
      <c r="C93" s="1" t="str">
        <f t="shared" si="48"/>
        <v>1|1|180</v>
      </c>
      <c r="D93" s="1" t="str">
        <f t="shared" si="26"/>
        <v>2|1001|19</v>
      </c>
      <c r="E93" s="1" t="str">
        <f t="shared" si="27"/>
        <v>2|1003|10</v>
      </c>
      <c r="F93" s="1" t="str">
        <f t="shared" si="45"/>
        <v/>
      </c>
      <c r="G93" s="1" t="str">
        <f t="shared" si="46"/>
        <v/>
      </c>
      <c r="L93" s="2">
        <v>430</v>
      </c>
      <c r="M93" s="2">
        <f>SUM($L$5:L93)</f>
        <v>18437.5</v>
      </c>
      <c r="N93" s="2">
        <v>0.96</v>
      </c>
      <c r="O93" s="2">
        <f t="shared" si="47"/>
        <v>345.59999999999997</v>
      </c>
      <c r="P93" s="2">
        <f t="shared" si="49"/>
        <v>148610</v>
      </c>
      <c r="S93" s="9" t="s">
        <v>738</v>
      </c>
      <c r="T93" s="9">
        <f t="shared" si="52"/>
        <v>1</v>
      </c>
      <c r="U93" s="9">
        <f t="shared" si="53"/>
        <v>1</v>
      </c>
      <c r="V93" s="146">
        <f t="shared" si="50"/>
        <v>180</v>
      </c>
      <c r="W93" s="9" t="str">
        <f t="shared" si="58"/>
        <v>锁定</v>
      </c>
      <c r="X93" s="9">
        <f t="shared" si="54"/>
        <v>2</v>
      </c>
      <c r="Y93" s="9">
        <f t="shared" si="55"/>
        <v>1001</v>
      </c>
      <c r="Z93" s="9">
        <v>19</v>
      </c>
      <c r="AA93" s="9" t="str">
        <f t="shared" si="59"/>
        <v>狂暴</v>
      </c>
      <c r="AB93" s="9">
        <f t="shared" si="56"/>
        <v>2</v>
      </c>
      <c r="AC93" s="9">
        <f t="shared" si="57"/>
        <v>1003</v>
      </c>
      <c r="AD93" s="9">
        <f t="shared" si="51"/>
        <v>10</v>
      </c>
    </row>
    <row r="94" spans="1:30" x14ac:dyDescent="0.45">
      <c r="A94" s="2">
        <v>90</v>
      </c>
      <c r="B94" s="2">
        <v>150340</v>
      </c>
      <c r="C94" s="1" t="str">
        <f t="shared" si="48"/>
        <v>1|1|182</v>
      </c>
      <c r="D94" s="1" t="str">
        <f t="shared" si="26"/>
        <v>2|1002|19</v>
      </c>
      <c r="E94" s="1" t="str">
        <f t="shared" si="27"/>
        <v>2|1004|19</v>
      </c>
      <c r="F94" s="1" t="str">
        <f t="shared" si="45"/>
        <v/>
      </c>
      <c r="G94" s="1" t="str">
        <f t="shared" si="46"/>
        <v/>
      </c>
      <c r="L94" s="2">
        <v>435</v>
      </c>
      <c r="M94" s="2">
        <f>SUM($L$5:L94)</f>
        <v>18872.5</v>
      </c>
      <c r="N94" s="2">
        <v>0.96</v>
      </c>
      <c r="O94" s="2">
        <f t="shared" si="47"/>
        <v>345.59999999999997</v>
      </c>
      <c r="P94" s="2">
        <f t="shared" si="49"/>
        <v>150340</v>
      </c>
      <c r="S94" s="9" t="s">
        <v>738</v>
      </c>
      <c r="T94" s="9">
        <f t="shared" si="52"/>
        <v>1</v>
      </c>
      <c r="U94" s="9">
        <f t="shared" si="53"/>
        <v>1</v>
      </c>
      <c r="V94" s="146">
        <f t="shared" si="50"/>
        <v>182</v>
      </c>
      <c r="W94" s="9" t="str">
        <f t="shared" si="58"/>
        <v>冰冻</v>
      </c>
      <c r="X94" s="9">
        <f t="shared" si="54"/>
        <v>2</v>
      </c>
      <c r="Y94" s="9">
        <f t="shared" si="55"/>
        <v>1002</v>
      </c>
      <c r="Z94" s="9">
        <v>19</v>
      </c>
      <c r="AA94" s="9" t="str">
        <f t="shared" si="59"/>
        <v>召唤</v>
      </c>
      <c r="AB94" s="9">
        <f t="shared" si="56"/>
        <v>2</v>
      </c>
      <c r="AC94" s="9">
        <f t="shared" si="57"/>
        <v>1004</v>
      </c>
      <c r="AD94" s="9">
        <f t="shared" si="51"/>
        <v>19</v>
      </c>
    </row>
    <row r="95" spans="1:30" x14ac:dyDescent="0.45">
      <c r="A95" s="2">
        <v>91</v>
      </c>
      <c r="B95" s="2">
        <v>152060</v>
      </c>
      <c r="C95" s="1" t="str">
        <f t="shared" si="48"/>
        <v>1|1|184</v>
      </c>
      <c r="D95" s="1" t="str">
        <f t="shared" si="26"/>
        <v>2|1001|19</v>
      </c>
      <c r="E95" s="1" t="str">
        <f t="shared" si="27"/>
        <v>2|1002|19</v>
      </c>
      <c r="F95" s="1" t="str">
        <f t="shared" si="45"/>
        <v/>
      </c>
      <c r="G95" s="1" t="str">
        <f t="shared" si="46"/>
        <v/>
      </c>
      <c r="L95" s="2">
        <v>440</v>
      </c>
      <c r="M95" s="2">
        <f>SUM($L$5:L95)</f>
        <v>19312.5</v>
      </c>
      <c r="N95" s="2">
        <v>0.96</v>
      </c>
      <c r="O95" s="2">
        <f t="shared" si="47"/>
        <v>345.59999999999997</v>
      </c>
      <c r="P95" s="2">
        <f t="shared" si="49"/>
        <v>152060</v>
      </c>
      <c r="S95" s="9" t="s">
        <v>738</v>
      </c>
      <c r="T95" s="9">
        <f t="shared" ref="T95:T103" si="60">VLOOKUP(S95,AT:AY,4,0)</f>
        <v>1</v>
      </c>
      <c r="U95" s="9">
        <f t="shared" ref="U95:U103" si="61">VLOOKUP(S95,AT:AY,5,0)</f>
        <v>1</v>
      </c>
      <c r="V95" s="146">
        <f t="shared" si="50"/>
        <v>184</v>
      </c>
      <c r="W95" s="9" t="str">
        <f t="shared" si="58"/>
        <v>锁定</v>
      </c>
      <c r="X95" s="9">
        <f t="shared" ref="X95:X103" si="62">VLOOKUP(W95,AT:AY,4,0)</f>
        <v>2</v>
      </c>
      <c r="Y95" s="9">
        <f t="shared" ref="Y95:Y103" si="63">VLOOKUP(W95,AT:AY,5,0)</f>
        <v>1001</v>
      </c>
      <c r="Z95" s="9">
        <v>19</v>
      </c>
      <c r="AA95" s="9" t="str">
        <f t="shared" si="59"/>
        <v>冰冻</v>
      </c>
      <c r="AB95" s="9">
        <f t="shared" ref="AB95:AB103" si="64">VLOOKUP(AA95,AT:AY,4,0)</f>
        <v>2</v>
      </c>
      <c r="AC95" s="9">
        <f t="shared" ref="AC95:AC103" si="65">VLOOKUP(AA95,AT:AY,5,0)</f>
        <v>1002</v>
      </c>
      <c r="AD95" s="9">
        <f t="shared" si="51"/>
        <v>19</v>
      </c>
    </row>
    <row r="96" spans="1:30" x14ac:dyDescent="0.45">
      <c r="A96" s="2">
        <v>92</v>
      </c>
      <c r="B96" s="2">
        <v>153790</v>
      </c>
      <c r="C96" s="1" t="str">
        <f t="shared" si="48"/>
        <v>1|1|186</v>
      </c>
      <c r="D96" s="1" t="str">
        <f t="shared" si="26"/>
        <v>2|1002|19</v>
      </c>
      <c r="E96" s="1" t="str">
        <f t="shared" si="27"/>
        <v>2|1004|19</v>
      </c>
      <c r="F96" s="1" t="str">
        <f t="shared" si="45"/>
        <v/>
      </c>
      <c r="G96" s="1" t="str">
        <f t="shared" si="46"/>
        <v/>
      </c>
      <c r="L96" s="2">
        <v>445</v>
      </c>
      <c r="M96" s="2">
        <f>SUM($L$5:L96)</f>
        <v>19757.5</v>
      </c>
      <c r="N96" s="2">
        <v>0.96</v>
      </c>
      <c r="O96" s="2">
        <f t="shared" si="47"/>
        <v>345.59999999999997</v>
      </c>
      <c r="P96" s="2">
        <f t="shared" si="49"/>
        <v>153790</v>
      </c>
      <c r="S96" s="9" t="s">
        <v>738</v>
      </c>
      <c r="T96" s="9">
        <f t="shared" si="60"/>
        <v>1</v>
      </c>
      <c r="U96" s="9">
        <f t="shared" si="61"/>
        <v>1</v>
      </c>
      <c r="V96" s="146">
        <f t="shared" si="50"/>
        <v>186</v>
      </c>
      <c r="W96" s="9" t="str">
        <f t="shared" si="58"/>
        <v>冰冻</v>
      </c>
      <c r="X96" s="9">
        <f t="shared" si="62"/>
        <v>2</v>
      </c>
      <c r="Y96" s="9">
        <f t="shared" si="63"/>
        <v>1002</v>
      </c>
      <c r="Z96" s="9">
        <v>19</v>
      </c>
      <c r="AA96" s="9" t="str">
        <f t="shared" si="59"/>
        <v>召唤</v>
      </c>
      <c r="AB96" s="9">
        <f t="shared" si="64"/>
        <v>2</v>
      </c>
      <c r="AC96" s="9">
        <f t="shared" si="65"/>
        <v>1004</v>
      </c>
      <c r="AD96" s="9">
        <f t="shared" si="51"/>
        <v>19</v>
      </c>
    </row>
    <row r="97" spans="1:30" x14ac:dyDescent="0.45">
      <c r="A97" s="2">
        <v>93</v>
      </c>
      <c r="B97" s="2">
        <v>155520</v>
      </c>
      <c r="C97" s="1" t="str">
        <f t="shared" si="48"/>
        <v>1|1|188</v>
      </c>
      <c r="D97" s="1" t="str">
        <f t="shared" si="26"/>
        <v>2|1001|19</v>
      </c>
      <c r="E97" s="1" t="str">
        <f t="shared" si="27"/>
        <v>2|1004|19</v>
      </c>
      <c r="F97" s="1" t="str">
        <f t="shared" si="45"/>
        <v/>
      </c>
      <c r="G97" s="1" t="str">
        <f t="shared" si="46"/>
        <v/>
      </c>
      <c r="L97" s="2">
        <v>450</v>
      </c>
      <c r="M97" s="2">
        <f>SUM($L$5:L97)</f>
        <v>20207.5</v>
      </c>
      <c r="N97" s="2">
        <v>0.96</v>
      </c>
      <c r="O97" s="2">
        <f t="shared" si="47"/>
        <v>345.59999999999997</v>
      </c>
      <c r="P97" s="2">
        <f t="shared" si="49"/>
        <v>155520</v>
      </c>
      <c r="S97" s="9" t="s">
        <v>738</v>
      </c>
      <c r="T97" s="9">
        <f t="shared" si="60"/>
        <v>1</v>
      </c>
      <c r="U97" s="9">
        <f t="shared" si="61"/>
        <v>1</v>
      </c>
      <c r="V97" s="146">
        <f t="shared" si="50"/>
        <v>188</v>
      </c>
      <c r="W97" s="9" t="str">
        <f t="shared" si="58"/>
        <v>锁定</v>
      </c>
      <c r="X97" s="9">
        <f t="shared" si="62"/>
        <v>2</v>
      </c>
      <c r="Y97" s="9">
        <f t="shared" si="63"/>
        <v>1001</v>
      </c>
      <c r="Z97" s="9">
        <v>19</v>
      </c>
      <c r="AA97" s="9" t="str">
        <f t="shared" si="59"/>
        <v>召唤</v>
      </c>
      <c r="AB97" s="9">
        <f t="shared" si="64"/>
        <v>2</v>
      </c>
      <c r="AC97" s="9">
        <f t="shared" si="65"/>
        <v>1004</v>
      </c>
      <c r="AD97" s="9">
        <f t="shared" si="51"/>
        <v>19</v>
      </c>
    </row>
    <row r="98" spans="1:30" x14ac:dyDescent="0.45">
      <c r="A98" s="2">
        <v>94</v>
      </c>
      <c r="B98" s="2">
        <v>157250</v>
      </c>
      <c r="C98" s="1" t="str">
        <f t="shared" si="48"/>
        <v>1|1|190</v>
      </c>
      <c r="D98" s="1" t="str">
        <f t="shared" si="26"/>
        <v>2|1002|20</v>
      </c>
      <c r="E98" s="1" t="str">
        <f t="shared" si="27"/>
        <v>2|1003|10</v>
      </c>
      <c r="F98" s="1" t="str">
        <f t="shared" si="45"/>
        <v/>
      </c>
      <c r="G98" s="1" t="str">
        <f t="shared" si="46"/>
        <v/>
      </c>
      <c r="L98" s="2">
        <v>455</v>
      </c>
      <c r="M98" s="2">
        <f>SUM($L$5:L98)</f>
        <v>20662.5</v>
      </c>
      <c r="N98" s="2">
        <v>0.96</v>
      </c>
      <c r="O98" s="2">
        <f t="shared" si="47"/>
        <v>345.59999999999997</v>
      </c>
      <c r="P98" s="2">
        <f t="shared" si="49"/>
        <v>157250</v>
      </c>
      <c r="S98" s="9" t="s">
        <v>738</v>
      </c>
      <c r="T98" s="9">
        <f t="shared" si="60"/>
        <v>1</v>
      </c>
      <c r="U98" s="9">
        <f t="shared" si="61"/>
        <v>1</v>
      </c>
      <c r="V98" s="146">
        <f t="shared" si="50"/>
        <v>190</v>
      </c>
      <c r="W98" s="9" t="str">
        <f t="shared" si="58"/>
        <v>冰冻</v>
      </c>
      <c r="X98" s="9">
        <f t="shared" si="62"/>
        <v>2</v>
      </c>
      <c r="Y98" s="9">
        <f t="shared" si="63"/>
        <v>1002</v>
      </c>
      <c r="Z98" s="9">
        <v>20</v>
      </c>
      <c r="AA98" s="9" t="str">
        <f t="shared" si="59"/>
        <v>狂暴</v>
      </c>
      <c r="AB98" s="9">
        <f t="shared" si="64"/>
        <v>2</v>
      </c>
      <c r="AC98" s="9">
        <f t="shared" si="65"/>
        <v>1003</v>
      </c>
      <c r="AD98" s="9">
        <f t="shared" si="51"/>
        <v>10</v>
      </c>
    </row>
    <row r="99" spans="1:30" x14ac:dyDescent="0.45">
      <c r="A99" s="2">
        <v>95</v>
      </c>
      <c r="B99" s="2">
        <v>158980</v>
      </c>
      <c r="C99" s="1" t="str">
        <f t="shared" si="48"/>
        <v>1|1|192</v>
      </c>
      <c r="D99" s="1" t="str">
        <f t="shared" si="26"/>
        <v>2|1001|20</v>
      </c>
      <c r="E99" s="1" t="str">
        <f t="shared" si="27"/>
        <v>2|1002|20</v>
      </c>
      <c r="F99" s="1" t="str">
        <f t="shared" si="45"/>
        <v/>
      </c>
      <c r="G99" s="1" t="str">
        <f t="shared" si="46"/>
        <v/>
      </c>
      <c r="L99" s="2">
        <v>460</v>
      </c>
      <c r="M99" s="2">
        <f>SUM($L$5:L99)</f>
        <v>21122.5</v>
      </c>
      <c r="N99" s="2">
        <v>0.96</v>
      </c>
      <c r="O99" s="2">
        <f t="shared" si="47"/>
        <v>345.59999999999997</v>
      </c>
      <c r="P99" s="2">
        <f t="shared" si="49"/>
        <v>158980</v>
      </c>
      <c r="S99" s="9" t="s">
        <v>738</v>
      </c>
      <c r="T99" s="9">
        <f t="shared" si="60"/>
        <v>1</v>
      </c>
      <c r="U99" s="9">
        <f t="shared" si="61"/>
        <v>1</v>
      </c>
      <c r="V99" s="146">
        <f t="shared" si="50"/>
        <v>192</v>
      </c>
      <c r="W99" s="9" t="str">
        <f t="shared" si="58"/>
        <v>锁定</v>
      </c>
      <c r="X99" s="9">
        <f t="shared" si="62"/>
        <v>2</v>
      </c>
      <c r="Y99" s="9">
        <f t="shared" si="63"/>
        <v>1001</v>
      </c>
      <c r="Z99" s="9">
        <v>20</v>
      </c>
      <c r="AA99" s="9" t="str">
        <f t="shared" si="59"/>
        <v>冰冻</v>
      </c>
      <c r="AB99" s="9">
        <f t="shared" si="64"/>
        <v>2</v>
      </c>
      <c r="AC99" s="9">
        <f t="shared" si="65"/>
        <v>1002</v>
      </c>
      <c r="AD99" s="9">
        <f t="shared" si="51"/>
        <v>20</v>
      </c>
    </row>
    <row r="100" spans="1:30" x14ac:dyDescent="0.45">
      <c r="A100" s="2">
        <v>96</v>
      </c>
      <c r="B100" s="2">
        <v>160700</v>
      </c>
      <c r="C100" s="1" t="str">
        <f t="shared" si="48"/>
        <v>1|1|194</v>
      </c>
      <c r="D100" s="1" t="str">
        <f t="shared" si="26"/>
        <v>2|1002|20</v>
      </c>
      <c r="E100" s="1" t="str">
        <f t="shared" si="27"/>
        <v>2|1002|20</v>
      </c>
      <c r="F100" s="1" t="str">
        <f t="shared" si="45"/>
        <v/>
      </c>
      <c r="G100" s="1" t="str">
        <f t="shared" si="46"/>
        <v/>
      </c>
      <c r="L100" s="2">
        <v>465</v>
      </c>
      <c r="M100" s="2">
        <f>SUM($L$5:L100)</f>
        <v>21587.5</v>
      </c>
      <c r="N100" s="2">
        <v>0.96</v>
      </c>
      <c r="O100" s="2">
        <f t="shared" si="47"/>
        <v>345.59999999999997</v>
      </c>
      <c r="P100" s="2">
        <f t="shared" si="49"/>
        <v>160700</v>
      </c>
      <c r="S100" s="9" t="s">
        <v>738</v>
      </c>
      <c r="T100" s="9">
        <f t="shared" si="60"/>
        <v>1</v>
      </c>
      <c r="U100" s="9">
        <f t="shared" si="61"/>
        <v>1</v>
      </c>
      <c r="V100" s="146">
        <f t="shared" si="50"/>
        <v>194</v>
      </c>
      <c r="W100" s="9" t="str">
        <f t="shared" si="58"/>
        <v>冰冻</v>
      </c>
      <c r="X100" s="9">
        <f t="shared" si="62"/>
        <v>2</v>
      </c>
      <c r="Y100" s="9">
        <f t="shared" si="63"/>
        <v>1002</v>
      </c>
      <c r="Z100" s="9">
        <v>20</v>
      </c>
      <c r="AA100" s="9" t="str">
        <f t="shared" si="59"/>
        <v>冰冻</v>
      </c>
      <c r="AB100" s="9">
        <f t="shared" si="64"/>
        <v>2</v>
      </c>
      <c r="AC100" s="9">
        <f t="shared" si="65"/>
        <v>1002</v>
      </c>
      <c r="AD100" s="9">
        <f t="shared" si="51"/>
        <v>20</v>
      </c>
    </row>
    <row r="101" spans="1:30" x14ac:dyDescent="0.45">
      <c r="A101" s="2">
        <v>97</v>
      </c>
      <c r="B101" s="2">
        <v>162430</v>
      </c>
      <c r="C101" s="1" t="str">
        <f t="shared" si="48"/>
        <v>1|1|196</v>
      </c>
      <c r="D101" s="1" t="str">
        <f t="shared" si="26"/>
        <v>2|1001|20</v>
      </c>
      <c r="E101" s="1" t="str">
        <f t="shared" si="27"/>
        <v>2|1004|20</v>
      </c>
      <c r="F101" s="1" t="str">
        <f t="shared" si="45"/>
        <v/>
      </c>
      <c r="G101" s="1" t="str">
        <f t="shared" si="46"/>
        <v/>
      </c>
      <c r="L101" s="2">
        <v>470</v>
      </c>
      <c r="M101" s="2">
        <f>SUM($L$5:L101)</f>
        <v>22057.5</v>
      </c>
      <c r="N101" s="2">
        <v>0.96</v>
      </c>
      <c r="O101" s="2">
        <f t="shared" ref="O101:O103" si="66">$M$3*N101*60</f>
        <v>345.59999999999997</v>
      </c>
      <c r="P101" s="2">
        <f t="shared" si="49"/>
        <v>162430</v>
      </c>
      <c r="S101" s="9" t="s">
        <v>738</v>
      </c>
      <c r="T101" s="9">
        <f t="shared" si="60"/>
        <v>1</v>
      </c>
      <c r="U101" s="9">
        <f t="shared" si="61"/>
        <v>1</v>
      </c>
      <c r="V101" s="146">
        <f t="shared" si="50"/>
        <v>196</v>
      </c>
      <c r="W101" s="9" t="str">
        <f t="shared" si="58"/>
        <v>锁定</v>
      </c>
      <c r="X101" s="9">
        <f t="shared" si="62"/>
        <v>2</v>
      </c>
      <c r="Y101" s="9">
        <f t="shared" si="63"/>
        <v>1001</v>
      </c>
      <c r="Z101" s="9">
        <v>20</v>
      </c>
      <c r="AA101" s="9" t="str">
        <f t="shared" si="59"/>
        <v>召唤</v>
      </c>
      <c r="AB101" s="9">
        <f t="shared" si="64"/>
        <v>2</v>
      </c>
      <c r="AC101" s="9">
        <f t="shared" si="65"/>
        <v>1004</v>
      </c>
      <c r="AD101" s="9">
        <f t="shared" si="51"/>
        <v>20</v>
      </c>
    </row>
    <row r="102" spans="1:30" x14ac:dyDescent="0.45">
      <c r="A102" s="2">
        <v>98</v>
      </c>
      <c r="B102" s="2">
        <v>164160</v>
      </c>
      <c r="C102" s="1" t="str">
        <f t="shared" si="48"/>
        <v>1|1|198</v>
      </c>
      <c r="D102" s="1" t="str">
        <f t="shared" si="26"/>
        <v>2|1002|20</v>
      </c>
      <c r="E102" s="1" t="str">
        <f t="shared" si="27"/>
        <v>2|1004|20</v>
      </c>
      <c r="F102" s="1" t="str">
        <f t="shared" si="45"/>
        <v/>
      </c>
      <c r="G102" s="1" t="str">
        <f t="shared" si="46"/>
        <v/>
      </c>
      <c r="L102" s="2">
        <v>475</v>
      </c>
      <c r="M102" s="2">
        <f>SUM($L$5:L102)</f>
        <v>22532.5</v>
      </c>
      <c r="N102" s="2">
        <v>0.96</v>
      </c>
      <c r="O102" s="2">
        <f t="shared" si="66"/>
        <v>345.59999999999997</v>
      </c>
      <c r="P102" s="2">
        <f t="shared" si="49"/>
        <v>164160</v>
      </c>
      <c r="S102" s="9" t="s">
        <v>738</v>
      </c>
      <c r="T102" s="9">
        <f t="shared" si="60"/>
        <v>1</v>
      </c>
      <c r="U102" s="9">
        <f t="shared" si="61"/>
        <v>1</v>
      </c>
      <c r="V102" s="146">
        <f t="shared" si="50"/>
        <v>198</v>
      </c>
      <c r="W102" s="9" t="str">
        <f t="shared" si="58"/>
        <v>冰冻</v>
      </c>
      <c r="X102" s="9">
        <f t="shared" si="62"/>
        <v>2</v>
      </c>
      <c r="Y102" s="9">
        <f t="shared" si="63"/>
        <v>1002</v>
      </c>
      <c r="Z102" s="9">
        <v>20</v>
      </c>
      <c r="AA102" s="9" t="str">
        <f t="shared" si="59"/>
        <v>召唤</v>
      </c>
      <c r="AB102" s="9">
        <f t="shared" si="64"/>
        <v>2</v>
      </c>
      <c r="AC102" s="9">
        <f t="shared" si="65"/>
        <v>1004</v>
      </c>
      <c r="AD102" s="9">
        <f t="shared" si="51"/>
        <v>20</v>
      </c>
    </row>
    <row r="103" spans="1:30" x14ac:dyDescent="0.45">
      <c r="A103" s="2">
        <v>99</v>
      </c>
      <c r="B103" s="2">
        <v>165890</v>
      </c>
      <c r="C103" s="1" t="str">
        <f t="shared" si="48"/>
        <v>1|1|200</v>
      </c>
      <c r="D103" s="1" t="str">
        <f t="shared" si="26"/>
        <v>2|1001|21</v>
      </c>
      <c r="E103" s="1" t="str">
        <f t="shared" si="27"/>
        <v>2|1003|11</v>
      </c>
      <c r="F103" s="1" t="str">
        <f t="shared" si="45"/>
        <v/>
      </c>
      <c r="G103" s="1" t="str">
        <f t="shared" si="46"/>
        <v/>
      </c>
      <c r="L103" s="2">
        <v>480</v>
      </c>
      <c r="M103" s="2">
        <f>SUM($L$5:L103)</f>
        <v>23012.5</v>
      </c>
      <c r="N103" s="2">
        <v>0.96</v>
      </c>
      <c r="O103" s="2">
        <f t="shared" si="66"/>
        <v>345.59999999999997</v>
      </c>
      <c r="P103" s="2">
        <f t="shared" si="49"/>
        <v>165890</v>
      </c>
      <c r="S103" s="9" t="s">
        <v>738</v>
      </c>
      <c r="T103" s="9">
        <f t="shared" si="60"/>
        <v>1</v>
      </c>
      <c r="U103" s="9">
        <f t="shared" si="61"/>
        <v>1</v>
      </c>
      <c r="V103" s="146">
        <f t="shared" si="50"/>
        <v>200</v>
      </c>
      <c r="W103" s="9" t="str">
        <f t="shared" si="58"/>
        <v>锁定</v>
      </c>
      <c r="X103" s="9">
        <f t="shared" si="62"/>
        <v>2</v>
      </c>
      <c r="Y103" s="9">
        <f t="shared" si="63"/>
        <v>1001</v>
      </c>
      <c r="Z103" s="9">
        <v>21</v>
      </c>
      <c r="AA103" s="9" t="str">
        <f t="shared" si="59"/>
        <v>狂暴</v>
      </c>
      <c r="AB103" s="9">
        <f t="shared" si="64"/>
        <v>2</v>
      </c>
      <c r="AC103" s="9">
        <f t="shared" si="65"/>
        <v>1003</v>
      </c>
      <c r="AD103" s="9">
        <f t="shared" si="51"/>
        <v>11</v>
      </c>
    </row>
  </sheetData>
  <phoneticPr fontId="57" type="noConversion"/>
  <conditionalFormatting sqref="AN3">
    <cfRule type="containsText" dxfId="763" priority="43" operator="containsText" text=" ">
      <formula>NOT(ISERROR(SEARCH(" ",AN3)))</formula>
    </cfRule>
  </conditionalFormatting>
  <conditionalFormatting sqref="O4:P4">
    <cfRule type="containsText" dxfId="762" priority="287" operator="containsText" text=" ">
      <formula>NOT(ISERROR(SEARCH(" ",O4)))</formula>
    </cfRule>
  </conditionalFormatting>
  <conditionalFormatting sqref="AD4">
    <cfRule type="containsText" dxfId="761" priority="415" operator="containsText" text=" ">
      <formula>NOT(ISERROR(SEARCH(" ",AD4)))</formula>
    </cfRule>
  </conditionalFormatting>
  <conditionalFormatting sqref="AE4">
    <cfRule type="containsText" dxfId="760" priority="79" operator="containsText" text=" ">
      <formula>NOT(ISERROR(SEARCH(" ",AE4)))</formula>
    </cfRule>
  </conditionalFormatting>
  <conditionalFormatting sqref="AM4:AP4">
    <cfRule type="containsText" dxfId="759" priority="285" operator="containsText" text=" ">
      <formula>NOT(ISERROR(SEARCH(" ",AM4)))</formula>
    </cfRule>
  </conditionalFormatting>
  <conditionalFormatting sqref="AA7">
    <cfRule type="containsText" dxfId="758" priority="410" operator="containsText" text=" ">
      <formula>NOT(ISERROR(SEARCH(" ",AA7)))</formula>
    </cfRule>
  </conditionalFormatting>
  <conditionalFormatting sqref="AA11">
    <cfRule type="containsText" dxfId="757" priority="71" operator="containsText" text=" ">
      <formula>NOT(ISERROR(SEARCH(" ",AA11)))</formula>
    </cfRule>
  </conditionalFormatting>
  <conditionalFormatting sqref="AA12">
    <cfRule type="containsText" dxfId="756" priority="69" operator="containsText" text=" ">
      <formula>NOT(ISERROR(SEARCH(" ",AA12)))</formula>
    </cfRule>
    <cfRule type="containsText" dxfId="755" priority="73" operator="containsText" text=" ">
      <formula>NOT(ISERROR(SEARCH(" ",AA12)))</formula>
    </cfRule>
  </conditionalFormatting>
  <conditionalFormatting sqref="AA13">
    <cfRule type="containsText" dxfId="754" priority="70" operator="containsText" text=" ">
      <formula>NOT(ISERROR(SEARCH(" ",AA13)))</formula>
    </cfRule>
    <cfRule type="containsText" dxfId="753" priority="407" operator="containsText" text=" ">
      <formula>NOT(ISERROR(SEARCH(" ",AA13)))</formula>
    </cfRule>
  </conditionalFormatting>
  <conditionalFormatting sqref="AA16">
    <cfRule type="containsText" dxfId="752" priority="15" operator="containsText" text=" ">
      <formula>NOT(ISERROR(SEARCH(" ",AA16)))</formula>
    </cfRule>
  </conditionalFormatting>
  <conditionalFormatting sqref="AA17">
    <cfRule type="containsText" dxfId="751" priority="7" operator="containsText" text=" ">
      <formula>NOT(ISERROR(SEARCH(" ",AA17)))</formula>
    </cfRule>
    <cfRule type="containsText" dxfId="750" priority="17" operator="containsText" text=" ">
      <formula>NOT(ISERROR(SEARCH(" ",AA17)))</formula>
    </cfRule>
  </conditionalFormatting>
  <conditionalFormatting sqref="AA18">
    <cfRule type="containsText" dxfId="749" priority="8" operator="containsText" text=" ">
      <formula>NOT(ISERROR(SEARCH(" ",AA18)))</formula>
    </cfRule>
  </conditionalFormatting>
  <conditionalFormatting sqref="AA20">
    <cfRule type="containsText" dxfId="748" priority="11" operator="containsText" text=" ">
      <formula>NOT(ISERROR(SEARCH(" ",AA20)))</formula>
    </cfRule>
  </conditionalFormatting>
  <conditionalFormatting sqref="AA21">
    <cfRule type="containsText" dxfId="747" priority="4" operator="containsText" text=" ">
      <formula>NOT(ISERROR(SEARCH(" ",AA21)))</formula>
    </cfRule>
    <cfRule type="containsText" dxfId="746" priority="9" operator="containsText" text=" ">
      <formula>NOT(ISERROR(SEARCH(" ",AA21)))</formula>
    </cfRule>
    <cfRule type="containsText" dxfId="745" priority="13" operator="containsText" text=" ">
      <formula>NOT(ISERROR(SEARCH(" ",AA21)))</formula>
    </cfRule>
  </conditionalFormatting>
  <conditionalFormatting sqref="AA22">
    <cfRule type="containsText" dxfId="744" priority="2" operator="containsText" text=" ">
      <formula>NOT(ISERROR(SEARCH(" ",AA22)))</formula>
    </cfRule>
    <cfRule type="containsText" dxfId="743" priority="5" operator="containsText" text=" ">
      <formula>NOT(ISERROR(SEARCH(" ",AA22)))</formula>
    </cfRule>
    <cfRule type="containsText" dxfId="742" priority="10" operator="containsText" text=" ">
      <formula>NOT(ISERROR(SEARCH(" ",AA22)))</formula>
    </cfRule>
    <cfRule type="containsText" dxfId="741" priority="14" operator="containsText" text=" ">
      <formula>NOT(ISERROR(SEARCH(" ",AA22)))</formula>
    </cfRule>
  </conditionalFormatting>
  <conditionalFormatting sqref="AA23">
    <cfRule type="containsText" dxfId="740" priority="3" operator="containsText" text=" ">
      <formula>NOT(ISERROR(SEARCH(" ",AA23)))</formula>
    </cfRule>
    <cfRule type="containsText" dxfId="739" priority="6" operator="containsText" text=" ">
      <formula>NOT(ISERROR(SEARCH(" ",AA23)))</formula>
    </cfRule>
    <cfRule type="containsText" dxfId="738" priority="406" operator="containsText" text=" ">
      <formula>NOT(ISERROR(SEARCH(" ",AA23)))</formula>
    </cfRule>
  </conditionalFormatting>
  <conditionalFormatting sqref="AE23">
    <cfRule type="containsText" dxfId="737" priority="401" operator="containsText" text=" ">
      <formula>NOT(ISERROR(SEARCH(" ",AE23)))</formula>
    </cfRule>
  </conditionalFormatting>
  <conditionalFormatting sqref="AE24">
    <cfRule type="containsText" dxfId="736" priority="398" operator="containsText" text=" ">
      <formula>NOT(ISERROR(SEARCH(" ",AE24)))</formula>
    </cfRule>
  </conditionalFormatting>
  <conditionalFormatting sqref="AE25">
    <cfRule type="containsText" dxfId="735" priority="397" operator="containsText" text=" ">
      <formula>NOT(ISERROR(SEARCH(" ",AE25)))</formula>
    </cfRule>
  </conditionalFormatting>
  <conditionalFormatting sqref="AE28">
    <cfRule type="containsText" dxfId="734" priority="393" operator="containsText" text=" ">
      <formula>NOT(ISERROR(SEARCH(" ",AE28)))</formula>
    </cfRule>
  </conditionalFormatting>
  <conditionalFormatting sqref="AE29">
    <cfRule type="containsText" dxfId="733" priority="391" operator="containsText" text=" ">
      <formula>NOT(ISERROR(SEARCH(" ",AE29)))</formula>
    </cfRule>
  </conditionalFormatting>
  <conditionalFormatting sqref="AE30">
    <cfRule type="containsText" dxfId="732" priority="389" operator="containsText" text=" ">
      <formula>NOT(ISERROR(SEARCH(" ",AE30)))</formula>
    </cfRule>
  </conditionalFormatting>
  <conditionalFormatting sqref="AE31">
    <cfRule type="containsText" dxfId="731" priority="387" operator="containsText" text=" ">
      <formula>NOT(ISERROR(SEARCH(" ",AE31)))</formula>
    </cfRule>
  </conditionalFormatting>
  <conditionalFormatting sqref="AE32">
    <cfRule type="containsText" dxfId="730" priority="385" operator="containsText" text=" ">
      <formula>NOT(ISERROR(SEARCH(" ",AE32)))</formula>
    </cfRule>
  </conditionalFormatting>
  <conditionalFormatting sqref="AE33">
    <cfRule type="containsText" dxfId="729" priority="383" operator="containsText" text=" ">
      <formula>NOT(ISERROR(SEARCH(" ",AE33)))</formula>
    </cfRule>
  </conditionalFormatting>
  <conditionalFormatting sqref="AE34">
    <cfRule type="containsText" dxfId="728" priority="379" operator="containsText" text=" ">
      <formula>NOT(ISERROR(SEARCH(" ",AE34)))</formula>
    </cfRule>
  </conditionalFormatting>
  <conditionalFormatting sqref="AE35">
    <cfRule type="containsText" dxfId="727" priority="375" operator="containsText" text=" ">
      <formula>NOT(ISERROR(SEARCH(" ",AE35)))</formula>
    </cfRule>
  </conditionalFormatting>
  <conditionalFormatting sqref="AE36">
    <cfRule type="containsText" dxfId="726" priority="371" operator="containsText" text=" ">
      <formula>NOT(ISERROR(SEARCH(" ",AE36)))</formula>
    </cfRule>
  </conditionalFormatting>
  <conditionalFormatting sqref="AE37">
    <cfRule type="containsText" dxfId="725" priority="367" operator="containsText" text=" ">
      <formula>NOT(ISERROR(SEARCH(" ",AE37)))</formula>
    </cfRule>
  </conditionalFormatting>
  <conditionalFormatting sqref="AE38">
    <cfRule type="containsText" dxfId="724" priority="363" operator="containsText" text=" ">
      <formula>NOT(ISERROR(SEARCH(" ",AE38)))</formula>
    </cfRule>
  </conditionalFormatting>
  <conditionalFormatting sqref="AE39">
    <cfRule type="containsText" dxfId="723" priority="359" operator="containsText" text=" ">
      <formula>NOT(ISERROR(SEARCH(" ",AE39)))</formula>
    </cfRule>
  </conditionalFormatting>
  <conditionalFormatting sqref="AE40">
    <cfRule type="containsText" dxfId="722" priority="355" operator="containsText" text=" ">
      <formula>NOT(ISERROR(SEARCH(" ",AE40)))</formula>
    </cfRule>
  </conditionalFormatting>
  <conditionalFormatting sqref="AE41">
    <cfRule type="containsText" dxfId="721" priority="351" operator="containsText" text=" ">
      <formula>NOT(ISERROR(SEARCH(" ",AE41)))</formula>
    </cfRule>
  </conditionalFormatting>
  <conditionalFormatting sqref="AE42">
    <cfRule type="containsText" dxfId="720" priority="347" operator="containsText" text=" ">
      <formula>NOT(ISERROR(SEARCH(" ",AE42)))</formula>
    </cfRule>
  </conditionalFormatting>
  <conditionalFormatting sqref="AE43">
    <cfRule type="containsText" dxfId="719" priority="343" operator="containsText" text=" ">
      <formula>NOT(ISERROR(SEARCH(" ",AE43)))</formula>
    </cfRule>
  </conditionalFormatting>
  <conditionalFormatting sqref="AE44">
    <cfRule type="containsText" dxfId="718" priority="339" operator="containsText" text=" ">
      <formula>NOT(ISERROR(SEARCH(" ",AE44)))</formula>
    </cfRule>
  </conditionalFormatting>
  <conditionalFormatting sqref="AO45">
    <cfRule type="containsText" dxfId="717" priority="53" operator="containsText" text=" ">
      <formula>NOT(ISERROR(SEARCH(" ",AO45)))</formula>
    </cfRule>
  </conditionalFormatting>
  <conditionalFormatting sqref="AO46">
    <cfRule type="containsText" dxfId="716" priority="52" operator="containsText" text=" ">
      <formula>NOT(ISERROR(SEARCH(" ",AO46)))</formula>
    </cfRule>
  </conditionalFormatting>
  <conditionalFormatting sqref="AO47">
    <cfRule type="containsText" dxfId="715" priority="41" operator="containsText" text=" ">
      <formula>NOT(ISERROR(SEARCH(" ",AO47)))</formula>
    </cfRule>
  </conditionalFormatting>
  <conditionalFormatting sqref="AO48">
    <cfRule type="containsText" dxfId="714" priority="50" operator="containsText" text=" ">
      <formula>NOT(ISERROR(SEARCH(" ",AO48)))</formula>
    </cfRule>
  </conditionalFormatting>
  <conditionalFormatting sqref="AO49">
    <cfRule type="containsText" dxfId="713" priority="40" operator="containsText" text=" ">
      <formula>NOT(ISERROR(SEARCH(" ",AO49)))</formula>
    </cfRule>
  </conditionalFormatting>
  <conditionalFormatting sqref="AO50">
    <cfRule type="containsText" dxfId="712" priority="48" operator="containsText" text=" ">
      <formula>NOT(ISERROR(SEARCH(" ",AO50)))</formula>
    </cfRule>
  </conditionalFormatting>
  <conditionalFormatting sqref="AO51">
    <cfRule type="containsText" dxfId="711" priority="47" operator="containsText" text=" ">
      <formula>NOT(ISERROR(SEARCH(" ",AO51)))</formula>
    </cfRule>
  </conditionalFormatting>
  <conditionalFormatting sqref="AO52">
    <cfRule type="containsText" dxfId="710" priority="39" operator="containsText" text=" ">
      <formula>NOT(ISERROR(SEARCH(" ",AO52)))</formula>
    </cfRule>
  </conditionalFormatting>
  <conditionalFormatting sqref="AG53">
    <cfRule type="cellIs" dxfId="709" priority="30" operator="notEqual">
      <formula>"金币"</formula>
    </cfRule>
    <cfRule type="cellIs" dxfId="708" priority="31" operator="equal">
      <formula>""""""</formula>
    </cfRule>
  </conditionalFormatting>
  <conditionalFormatting sqref="AH53:AI53">
    <cfRule type="containsText" dxfId="707" priority="32" operator="containsText" text=" ">
      <formula>NOT(ISERROR(SEARCH(" ",AH53)))</formula>
    </cfRule>
  </conditionalFormatting>
  <conditionalFormatting sqref="AJ53:AK53">
    <cfRule type="containsText" dxfId="706" priority="33" operator="containsText" text=" ">
      <formula>NOT(ISERROR(SEARCH(" ",AJ53)))</formula>
    </cfRule>
  </conditionalFormatting>
  <conditionalFormatting sqref="AL53">
    <cfRule type="cellIs" dxfId="705" priority="35" operator="notEqual">
      <formula>"金币"</formula>
    </cfRule>
    <cfRule type="cellIs" dxfId="704" priority="36" operator="equal">
      <formula>""""""</formula>
    </cfRule>
    <cfRule type="containsText" dxfId="703" priority="37" operator="containsText" text=" ">
      <formula>NOT(ISERROR(SEARCH(" ",AL53)))</formula>
    </cfRule>
  </conditionalFormatting>
  <conditionalFormatting sqref="AO53">
    <cfRule type="containsText" dxfId="702" priority="29" operator="containsText" text=" ">
      <formula>NOT(ISERROR(SEARCH(" ",AO53)))</formula>
    </cfRule>
  </conditionalFormatting>
  <conditionalFormatting sqref="AP53">
    <cfRule type="containsText" dxfId="701" priority="38" operator="containsText" text=" ">
      <formula>NOT(ISERROR(SEARCH(" ",AP53)))</formula>
    </cfRule>
  </conditionalFormatting>
  <conditionalFormatting sqref="AO54">
    <cfRule type="containsText" dxfId="700" priority="54" operator="containsText" text=" ">
      <formula>NOT(ISERROR(SEARCH(" ",AO54)))</formula>
    </cfRule>
  </conditionalFormatting>
  <conditionalFormatting sqref="AG55">
    <cfRule type="cellIs" dxfId="699" priority="20" operator="notEqual">
      <formula>"金币"</formula>
    </cfRule>
    <cfRule type="cellIs" dxfId="698" priority="21" operator="equal">
      <formula>""""""</formula>
    </cfRule>
  </conditionalFormatting>
  <conditionalFormatting sqref="AH55:AI55">
    <cfRule type="containsText" dxfId="697" priority="22" operator="containsText" text=" ">
      <formula>NOT(ISERROR(SEARCH(" ",AH55)))</formula>
    </cfRule>
  </conditionalFormatting>
  <conditionalFormatting sqref="AJ55:AK55">
    <cfRule type="containsText" dxfId="696" priority="23" operator="containsText" text=" ">
      <formula>NOT(ISERROR(SEARCH(" ",AJ55)))</formula>
    </cfRule>
  </conditionalFormatting>
  <conditionalFormatting sqref="AL55">
    <cfRule type="cellIs" dxfId="695" priority="25" operator="notEqual">
      <formula>"金币"</formula>
    </cfRule>
    <cfRule type="cellIs" dxfId="694" priority="26" operator="equal">
      <formula>""""""</formula>
    </cfRule>
    <cfRule type="containsText" dxfId="693" priority="27" operator="containsText" text=" ">
      <formula>NOT(ISERROR(SEARCH(" ",AL55)))</formula>
    </cfRule>
  </conditionalFormatting>
  <conditionalFormatting sqref="AO55">
    <cfRule type="containsText" dxfId="692" priority="19" operator="containsText" text=" ">
      <formula>NOT(ISERROR(SEARCH(" ",AO55)))</formula>
    </cfRule>
  </conditionalFormatting>
  <conditionalFormatting sqref="AP55">
    <cfRule type="containsText" dxfId="691" priority="28" operator="containsText" text=" ">
      <formula>NOT(ISERROR(SEARCH(" ",AP55)))</formula>
    </cfRule>
  </conditionalFormatting>
  <conditionalFormatting sqref="AE63">
    <cfRule type="containsText" dxfId="690" priority="222" operator="containsText" text=" ">
      <formula>NOT(ISERROR(SEARCH(" ",AE63)))</formula>
    </cfRule>
  </conditionalFormatting>
  <conditionalFormatting sqref="AE64">
    <cfRule type="containsText" dxfId="689" priority="219" operator="containsText" text=" ">
      <formula>NOT(ISERROR(SEARCH(" ",AE64)))</formula>
    </cfRule>
  </conditionalFormatting>
  <conditionalFormatting sqref="AE65">
    <cfRule type="containsText" dxfId="688" priority="218" operator="containsText" text=" ">
      <formula>NOT(ISERROR(SEARCH(" ",AE65)))</formula>
    </cfRule>
  </conditionalFormatting>
  <conditionalFormatting sqref="AE68">
    <cfRule type="containsText" dxfId="687" priority="214" operator="containsText" text=" ">
      <formula>NOT(ISERROR(SEARCH(" ",AE68)))</formula>
    </cfRule>
  </conditionalFormatting>
  <conditionalFormatting sqref="AE69">
    <cfRule type="containsText" dxfId="686" priority="212" operator="containsText" text=" ">
      <formula>NOT(ISERROR(SEARCH(" ",AE69)))</formula>
    </cfRule>
  </conditionalFormatting>
  <conditionalFormatting sqref="AE70">
    <cfRule type="containsText" dxfId="685" priority="210" operator="containsText" text=" ">
      <formula>NOT(ISERROR(SEARCH(" ",AE70)))</formula>
    </cfRule>
  </conditionalFormatting>
  <conditionalFormatting sqref="AE71">
    <cfRule type="containsText" dxfId="684" priority="208" operator="containsText" text=" ">
      <formula>NOT(ISERROR(SEARCH(" ",AE71)))</formula>
    </cfRule>
  </conditionalFormatting>
  <conditionalFormatting sqref="AE72">
    <cfRule type="containsText" dxfId="683" priority="206" operator="containsText" text=" ">
      <formula>NOT(ISERROR(SEARCH(" ",AE72)))</formula>
    </cfRule>
  </conditionalFormatting>
  <conditionalFormatting sqref="AE73">
    <cfRule type="containsText" dxfId="682" priority="204" operator="containsText" text=" ">
      <formula>NOT(ISERROR(SEARCH(" ",AE73)))</formula>
    </cfRule>
  </conditionalFormatting>
  <conditionalFormatting sqref="AE74">
    <cfRule type="containsText" dxfId="681" priority="200" operator="containsText" text=" ">
      <formula>NOT(ISERROR(SEARCH(" ",AE74)))</formula>
    </cfRule>
  </conditionalFormatting>
  <conditionalFormatting sqref="AE75">
    <cfRule type="containsText" dxfId="680" priority="196" operator="containsText" text=" ">
      <formula>NOT(ISERROR(SEARCH(" ",AE75)))</formula>
    </cfRule>
  </conditionalFormatting>
  <conditionalFormatting sqref="AE76">
    <cfRule type="containsText" dxfId="679" priority="192" operator="containsText" text=" ">
      <formula>NOT(ISERROR(SEARCH(" ",AE76)))</formula>
    </cfRule>
  </conditionalFormatting>
  <conditionalFormatting sqref="AE77">
    <cfRule type="containsText" dxfId="678" priority="188" operator="containsText" text=" ">
      <formula>NOT(ISERROR(SEARCH(" ",AE77)))</formula>
    </cfRule>
  </conditionalFormatting>
  <conditionalFormatting sqref="AE78">
    <cfRule type="containsText" dxfId="677" priority="185" operator="containsText" text=" ">
      <formula>NOT(ISERROR(SEARCH(" ",AE78)))</formula>
    </cfRule>
  </conditionalFormatting>
  <conditionalFormatting sqref="AE79">
    <cfRule type="containsText" dxfId="676" priority="182" operator="containsText" text=" ">
      <formula>NOT(ISERROR(SEARCH(" ",AE79)))</formula>
    </cfRule>
  </conditionalFormatting>
  <conditionalFormatting sqref="AE80">
    <cfRule type="containsText" dxfId="675" priority="179" operator="containsText" text=" ">
      <formula>NOT(ISERROR(SEARCH(" ",AE80)))</formula>
    </cfRule>
  </conditionalFormatting>
  <conditionalFormatting sqref="AE81">
    <cfRule type="containsText" dxfId="674" priority="176" operator="containsText" text=" ">
      <formula>NOT(ISERROR(SEARCH(" ",AE81)))</formula>
    </cfRule>
  </conditionalFormatting>
  <conditionalFormatting sqref="AE82">
    <cfRule type="containsText" dxfId="673" priority="173" operator="containsText" text=" ">
      <formula>NOT(ISERROR(SEARCH(" ",AE82)))</formula>
    </cfRule>
  </conditionalFormatting>
  <conditionalFormatting sqref="AE83">
    <cfRule type="containsText" dxfId="672" priority="170" operator="containsText" text=" ">
      <formula>NOT(ISERROR(SEARCH(" ",AE83)))</formula>
    </cfRule>
  </conditionalFormatting>
  <conditionalFormatting sqref="AE84">
    <cfRule type="containsText" dxfId="671" priority="167" operator="containsText" text=" ">
      <formula>NOT(ISERROR(SEARCH(" ",AE84)))</formula>
    </cfRule>
  </conditionalFormatting>
  <conditionalFormatting sqref="AE85">
    <cfRule type="containsText" dxfId="670" priority="156" operator="containsText" text=" ">
      <formula>NOT(ISERROR(SEARCH(" ",AE85)))</formula>
    </cfRule>
  </conditionalFormatting>
  <conditionalFormatting sqref="AE86">
    <cfRule type="containsText" dxfId="669" priority="152" operator="containsText" text=" ">
      <formula>NOT(ISERROR(SEARCH(" ",AE86)))</formula>
    </cfRule>
  </conditionalFormatting>
  <conditionalFormatting sqref="AE87">
    <cfRule type="containsText" dxfId="668" priority="148" operator="containsText" text=" ">
      <formula>NOT(ISERROR(SEARCH(" ",AE87)))</formula>
    </cfRule>
  </conditionalFormatting>
  <conditionalFormatting sqref="AE88">
    <cfRule type="containsText" dxfId="667" priority="145" operator="containsText" text=" ">
      <formula>NOT(ISERROR(SEARCH(" ",AE88)))</formula>
    </cfRule>
  </conditionalFormatting>
  <conditionalFormatting sqref="AE89">
    <cfRule type="containsText" dxfId="666" priority="142" operator="containsText" text=" ">
      <formula>NOT(ISERROR(SEARCH(" ",AE89)))</formula>
    </cfRule>
  </conditionalFormatting>
  <conditionalFormatting sqref="AE90">
    <cfRule type="containsText" dxfId="665" priority="139" operator="containsText" text=" ">
      <formula>NOT(ISERROR(SEARCH(" ",AE90)))</formula>
    </cfRule>
  </conditionalFormatting>
  <conditionalFormatting sqref="AE91">
    <cfRule type="containsText" dxfId="664" priority="136" operator="containsText" text=" ">
      <formula>NOT(ISERROR(SEARCH(" ",AE91)))</formula>
    </cfRule>
  </conditionalFormatting>
  <conditionalFormatting sqref="AE92">
    <cfRule type="containsText" dxfId="663" priority="133" operator="containsText" text=" ">
      <formula>NOT(ISERROR(SEARCH(" ",AE92)))</formula>
    </cfRule>
  </conditionalFormatting>
  <conditionalFormatting sqref="AE93">
    <cfRule type="containsText" dxfId="662" priority="130" operator="containsText" text=" ">
      <formula>NOT(ISERROR(SEARCH(" ",AE93)))</formula>
    </cfRule>
  </conditionalFormatting>
  <conditionalFormatting sqref="AE94">
    <cfRule type="containsText" dxfId="661" priority="127" operator="containsText" text=" ">
      <formula>NOT(ISERROR(SEARCH(" ",AE94)))</formula>
    </cfRule>
  </conditionalFormatting>
  <conditionalFormatting sqref="AE95">
    <cfRule type="containsText" dxfId="660" priority="116" operator="containsText" text=" ">
      <formula>NOT(ISERROR(SEARCH(" ",AE95)))</formula>
    </cfRule>
  </conditionalFormatting>
  <conditionalFormatting sqref="AE96">
    <cfRule type="containsText" dxfId="659" priority="112" operator="containsText" text=" ">
      <formula>NOT(ISERROR(SEARCH(" ",AE96)))</formula>
    </cfRule>
  </conditionalFormatting>
  <conditionalFormatting sqref="AE97">
    <cfRule type="containsText" dxfId="658" priority="108" operator="containsText" text=" ">
      <formula>NOT(ISERROR(SEARCH(" ",AE97)))</formula>
    </cfRule>
  </conditionalFormatting>
  <conditionalFormatting sqref="AE98">
    <cfRule type="containsText" dxfId="657" priority="105" operator="containsText" text=" ">
      <formula>NOT(ISERROR(SEARCH(" ",AE98)))</formula>
    </cfRule>
  </conditionalFormatting>
  <conditionalFormatting sqref="AE99">
    <cfRule type="containsText" dxfId="656" priority="102" operator="containsText" text=" ">
      <formula>NOT(ISERROR(SEARCH(" ",AE99)))</formula>
    </cfRule>
  </conditionalFormatting>
  <conditionalFormatting sqref="AE100">
    <cfRule type="containsText" dxfId="655" priority="99" operator="containsText" text=" ">
      <formula>NOT(ISERROR(SEARCH(" ",AE100)))</formula>
    </cfRule>
  </conditionalFormatting>
  <conditionalFormatting sqref="AE101">
    <cfRule type="containsText" dxfId="654" priority="96" operator="containsText" text=" ">
      <formula>NOT(ISERROR(SEARCH(" ",AE101)))</formula>
    </cfRule>
  </conditionalFormatting>
  <conditionalFormatting sqref="AE102">
    <cfRule type="containsText" dxfId="653" priority="93" operator="containsText" text=" ">
      <formula>NOT(ISERROR(SEARCH(" ",AE102)))</formula>
    </cfRule>
  </conditionalFormatting>
  <conditionalFormatting sqref="AE103">
    <cfRule type="containsText" dxfId="652" priority="90" operator="containsText" text=" ">
      <formula>NOT(ISERROR(SEARCH(" ",AE103)))</formula>
    </cfRule>
  </conditionalFormatting>
  <conditionalFormatting sqref="V5:V103">
    <cfRule type="containsText" dxfId="651" priority="297" operator="containsText" text=" ">
      <formula>NOT(ISERROR(SEARCH(" ",V5)))</formula>
    </cfRule>
  </conditionalFormatting>
  <conditionalFormatting sqref="W5:W103">
    <cfRule type="containsText" dxfId="650" priority="413" operator="containsText" text=" ">
      <formula>NOT(ISERROR(SEARCH(" ",W5)))</formula>
    </cfRule>
  </conditionalFormatting>
  <conditionalFormatting sqref="Z5:Z103">
    <cfRule type="containsText" dxfId="649" priority="74" operator="containsText" text=" ">
      <formula>NOT(ISERROR(SEARCH(" ",Z5)))</formula>
    </cfRule>
  </conditionalFormatting>
  <conditionalFormatting sqref="AA5:AA6">
    <cfRule type="containsText" dxfId="648" priority="411" operator="containsText" text=" ">
      <formula>NOT(ISERROR(SEARCH(" ",AA5)))</formula>
    </cfRule>
  </conditionalFormatting>
  <conditionalFormatting sqref="AA9:AA11">
    <cfRule type="containsText" dxfId="647" priority="72" operator="containsText" text=" ">
      <formula>NOT(ISERROR(SEARCH(" ",AA9)))</formula>
    </cfRule>
  </conditionalFormatting>
  <conditionalFormatting sqref="AA14:AA16">
    <cfRule type="containsText" dxfId="646" priority="16" operator="containsText" text=" ">
      <formula>NOT(ISERROR(SEARCH(" ",AA14)))</formula>
    </cfRule>
  </conditionalFormatting>
  <conditionalFormatting sqref="AA18:AA21">
    <cfRule type="containsText" dxfId="645" priority="12" operator="containsText" text=" ">
      <formula>NOT(ISERROR(SEARCH(" ",AA18)))</formula>
    </cfRule>
  </conditionalFormatting>
  <conditionalFormatting sqref="AA24:AA103">
    <cfRule type="containsText" dxfId="644" priority="1" operator="containsText" text=" ">
      <formula>NOT(ISERROR(SEARCH(" ",AA24)))</formula>
    </cfRule>
  </conditionalFormatting>
  <conditionalFormatting sqref="AF10:AF14">
    <cfRule type="containsText" dxfId="643" priority="83" operator="containsText" text=" ">
      <formula>NOT(ISERROR(SEARCH(" ",AF10)))</formula>
    </cfRule>
  </conditionalFormatting>
  <conditionalFormatting sqref="AG5:AG44">
    <cfRule type="cellIs" dxfId="642" priority="63" operator="notEqual">
      <formula>"金币"</formula>
    </cfRule>
    <cfRule type="cellIs" dxfId="641" priority="64" operator="equal">
      <formula>""""""</formula>
    </cfRule>
  </conditionalFormatting>
  <conditionalFormatting sqref="AG56:AG1048576">
    <cfRule type="cellIs" dxfId="640" priority="251" operator="notEqual">
      <formula>"金币"</formula>
    </cfRule>
  </conditionalFormatting>
  <conditionalFormatting sqref="AL56:AL1048576">
    <cfRule type="cellIs" dxfId="639" priority="247" operator="notEqual">
      <formula>"金币"</formula>
    </cfRule>
    <cfRule type="containsText" dxfId="638" priority="250" operator="containsText" text=" ">
      <formula>NOT(ISERROR(SEARCH(" ",AL56)))</formula>
    </cfRule>
  </conditionalFormatting>
  <conditionalFormatting sqref="AS12:AS18">
    <cfRule type="containsText" dxfId="637" priority="418" operator="containsText" text=" ">
      <formula>NOT(ISERROR(SEARCH(" ",AS12)))</formula>
    </cfRule>
  </conditionalFormatting>
  <conditionalFormatting sqref="H1:J5">
    <cfRule type="containsText" dxfId="636" priority="257" operator="containsText" text=" ">
      <formula>NOT(ISERROR(SEARCH(" ",H1)))</formula>
    </cfRule>
  </conditionalFormatting>
  <conditionalFormatting sqref="AI3:AK3 AJ1:AK2">
    <cfRule type="containsText" dxfId="635" priority="44" operator="containsText" text=" ">
      <formula>NOT(ISERROR(SEARCH(" ",AI1)))</formula>
    </cfRule>
  </conditionalFormatting>
  <conditionalFormatting sqref="AO1:AP3">
    <cfRule type="containsText" dxfId="634" priority="42" operator="containsText" text=" ">
      <formula>NOT(ISERROR(SEARCH(" ",AO1)))</formula>
    </cfRule>
  </conditionalFormatting>
  <conditionalFormatting sqref="AF4 S7 S9 S11 S13 S15 S17 S19 S21 S23 S25 S27 S29 S31 S33 S35 S37 AA8 S3:W4 Q5:S5 Z3:AA4 X3:Y44 AB3:AC44 Q6:R44 S39:S44 K5 AZ5:XFD30 X104:AC1048576 F45:F54 A45:E103 A5:G5 A6:F44 H6:K44 G6:G54 AS7:AS10 AS31:XFD44 AS19:AS30 AF7:AF9">
    <cfRule type="containsText" dxfId="633" priority="420" operator="containsText" text=" ">
      <formula>NOT(ISERROR(SEARCH(" ",A3)))</formula>
    </cfRule>
  </conditionalFormatting>
  <conditionalFormatting sqref="A104:W1048576 Q45:R103 L5:P103 AQ4:AS4 AS5:AS6 AF5:AF6 AQ5:AQ54 H45:K103">
    <cfRule type="containsText" dxfId="632" priority="255" operator="containsText" text=" ">
      <formula>NOT(ISERROR(SEARCH(" ",A4)))</formula>
    </cfRule>
  </conditionalFormatting>
  <conditionalFormatting sqref="Q4:R4 AH4:AK4 AD104:AK1048576 AM56:XFD1048576 AF56:AK103 AS45:XFD54 AF55 AQ55:XFD55">
    <cfRule type="containsText" dxfId="631" priority="416" operator="containsText" text=" ">
      <formula>NOT(ISERROR(SEARCH(" ",Q4)))</formula>
    </cfRule>
  </conditionalFormatting>
  <conditionalFormatting sqref="T5:U44">
    <cfRule type="containsText" dxfId="630" priority="289" operator="containsText" text=" ">
      <formula>NOT(ISERROR(SEARCH(" ",T5)))</formula>
    </cfRule>
  </conditionalFormatting>
  <conditionalFormatting sqref="AD5:AE5 AE26:AE27 AE6:AE22 AD6:AD103">
    <cfRule type="containsText" dxfId="629" priority="419" operator="containsText" text=" ">
      <formula>NOT(ISERROR(SEARCH(" ",AD5)))</formula>
    </cfRule>
  </conditionalFormatting>
  <conditionalFormatting sqref="AM5:AN44 AG5:AG44">
    <cfRule type="containsText" dxfId="628" priority="68" operator="containsText" text=" ">
      <formula>NOT(ISERROR(SEARCH(" ",AG5)))</formula>
    </cfRule>
  </conditionalFormatting>
  <conditionalFormatting sqref="AH5:AI44">
    <cfRule type="containsText" dxfId="627" priority="65" operator="containsText" text=" ">
      <formula>NOT(ISERROR(SEARCH(" ",AH5)))</formula>
    </cfRule>
  </conditionalFormatting>
  <conditionalFormatting sqref="AJ5:AK44">
    <cfRule type="containsText" dxfId="626" priority="66" operator="containsText" text=" ">
      <formula>NOT(ISERROR(SEARCH(" ",AJ5)))</formula>
    </cfRule>
  </conditionalFormatting>
  <conditionalFormatting sqref="AL5:AL52 AL54">
    <cfRule type="cellIs" dxfId="625" priority="60" operator="notEqual">
      <formula>"金币"</formula>
    </cfRule>
    <cfRule type="cellIs" dxfId="624" priority="61" operator="equal">
      <formula>""""""</formula>
    </cfRule>
    <cfRule type="containsText" dxfId="623" priority="62" operator="containsText" text=" ">
      <formula>NOT(ISERROR(SEARCH(" ",AL5)))</formula>
    </cfRule>
  </conditionalFormatting>
  <conditionalFormatting sqref="AO5:AP5 AP6:AP52 AO6:AO44 AP54">
    <cfRule type="containsText" dxfId="622" priority="67" operator="containsText" text=" ">
      <formula>NOT(ISERROR(SEARCH(" ",AO5)))</formula>
    </cfRule>
  </conditionalFormatting>
  <conditionalFormatting sqref="S6 S8 S10 S12 S14 S16 S18 S20 S22 S24 S26 S28 S30 S32 S34 S36 S38">
    <cfRule type="containsText" dxfId="621" priority="414" operator="containsText" text=" ">
      <formula>NOT(ISERROR(SEARCH(" ",S6)))</formula>
    </cfRule>
  </conditionalFormatting>
  <conditionalFormatting sqref="AF15:AF19 AF25:AF29 AF35:AF39 AF45:AF49">
    <cfRule type="containsText" dxfId="620" priority="82" operator="containsText" text=" ">
      <formula>NOT(ISERROR(SEARCH(" ",AF15)))</formula>
    </cfRule>
  </conditionalFormatting>
  <conditionalFormatting sqref="AF20:AF24 AF30:AF34 AF40:AF44 AF50:AF54">
    <cfRule type="containsText" dxfId="619" priority="81" operator="containsText" text=" ">
      <formula>NOT(ISERROR(SEARCH(" ",AF20)))</formula>
    </cfRule>
  </conditionalFormatting>
  <conditionalFormatting sqref="S47 S49 S51 S53 S55 S57 S59 S61 S63 S65 S67 S69 S71 S73 S75 S77 S45 X45:Y84 AB45:AC84 S79:S84">
    <cfRule type="containsText" dxfId="618" priority="237" operator="containsText" text=" ">
      <formula>NOT(ISERROR(SEARCH(" ",S45)))</formula>
    </cfRule>
  </conditionalFormatting>
  <conditionalFormatting sqref="T45:U84">
    <cfRule type="containsText" dxfId="617" priority="162" operator="containsText" text=" ">
      <formula>NOT(ISERROR(SEARCH(" ",T45)))</formula>
    </cfRule>
  </conditionalFormatting>
  <conditionalFormatting sqref="AE45:AE62 AE66:AE67">
    <cfRule type="containsText" dxfId="616" priority="236" operator="containsText" text=" ">
      <formula>NOT(ISERROR(SEARCH(" ",AE45)))</formula>
    </cfRule>
  </conditionalFormatting>
  <conditionalFormatting sqref="AG45:AG52 AG54">
    <cfRule type="cellIs" dxfId="615" priority="55" operator="notEqual">
      <formula>"金币"</formula>
    </cfRule>
    <cfRule type="cellIs" dxfId="614" priority="56" operator="equal">
      <formula>""""""</formula>
    </cfRule>
  </conditionalFormatting>
  <conditionalFormatting sqref="AM45:AN52 AG45:AG52 AG54 AM54:AN54">
    <cfRule type="containsText" dxfId="613" priority="59" operator="containsText" text=" ">
      <formula>NOT(ISERROR(SEARCH(" ",AG45)))</formula>
    </cfRule>
  </conditionalFormatting>
  <conditionalFormatting sqref="AH45:AI52 AH54:AI54">
    <cfRule type="containsText" dxfId="612" priority="57" operator="containsText" text=" ">
      <formula>NOT(ISERROR(SEARCH(" ",AH45)))</formula>
    </cfRule>
  </conditionalFormatting>
  <conditionalFormatting sqref="AJ45:AK52 AJ54:AK54">
    <cfRule type="containsText" dxfId="611" priority="58" operator="containsText" text=" ">
      <formula>NOT(ISERROR(SEARCH(" ",AJ45)))</formula>
    </cfRule>
  </conditionalFormatting>
  <conditionalFormatting sqref="S46 S48 S50 S52 S54 S56 S58 S60 S62 S64 S66 S68 S70 S72 S74 S76 S78">
    <cfRule type="containsText" dxfId="610" priority="235" operator="containsText" text=" ">
      <formula>NOT(ISERROR(SEARCH(" ",S46)))</formula>
    </cfRule>
  </conditionalFormatting>
  <conditionalFormatting sqref="AM53:AN53 AG53">
    <cfRule type="containsText" dxfId="609" priority="34" operator="containsText" text=" ">
      <formula>NOT(ISERROR(SEARCH(" ",AG53)))</formula>
    </cfRule>
  </conditionalFormatting>
  <conditionalFormatting sqref="F55:G103">
    <cfRule type="containsText" dxfId="608" priority="18" operator="containsText" text=" ">
      <formula>NOT(ISERROR(SEARCH(" ",F55)))</formula>
    </cfRule>
  </conditionalFormatting>
  <conditionalFormatting sqref="AM55:AN55 AG55">
    <cfRule type="containsText" dxfId="607" priority="24" operator="containsText" text=" ">
      <formula>NOT(ISERROR(SEARCH(" ",AG55)))</formula>
    </cfRule>
  </conditionalFormatting>
  <conditionalFormatting sqref="S85 S87 X85:Y94 AB85:AC94 S89:S94">
    <cfRule type="containsText" dxfId="606" priority="160" operator="containsText" text=" ">
      <formula>NOT(ISERROR(SEARCH(" ",S85)))</formula>
    </cfRule>
  </conditionalFormatting>
  <conditionalFormatting sqref="T85:U94">
    <cfRule type="containsText" dxfId="605" priority="122" operator="containsText" text=" ">
      <formula>NOT(ISERROR(SEARCH(" ",T85)))</formula>
    </cfRule>
  </conditionalFormatting>
  <conditionalFormatting sqref="S86 S88">
    <cfRule type="containsText" dxfId="604" priority="159" operator="containsText" text=" ">
      <formula>NOT(ISERROR(SEARCH(" ",S86)))</formula>
    </cfRule>
  </conditionalFormatting>
  <conditionalFormatting sqref="S95 S97 X95:Y103 AB95:AC103 S99:S103">
    <cfRule type="containsText" dxfId="603" priority="120" operator="containsText" text=" ">
      <formula>NOT(ISERROR(SEARCH(" ",S95)))</formula>
    </cfRule>
  </conditionalFormatting>
  <conditionalFormatting sqref="T95:U103">
    <cfRule type="containsText" dxfId="602" priority="85" operator="containsText" text=" ">
      <formula>NOT(ISERROR(SEARCH(" ",T95)))</formula>
    </cfRule>
  </conditionalFormatting>
  <conditionalFormatting sqref="S96 S98">
    <cfRule type="containsText" dxfId="601" priority="119" operator="containsText" text=" ">
      <formula>NOT(ISERROR(SEARCH(" ",S96)))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9"/>
  <sheetViews>
    <sheetView workbookViewId="0">
      <selection activeCell="K34" sqref="K34"/>
    </sheetView>
  </sheetViews>
  <sheetFormatPr defaultColWidth="9" defaultRowHeight="16.5" x14ac:dyDescent="0.45"/>
  <cols>
    <col min="1" max="1" width="9" style="1"/>
    <col min="2" max="2" width="14.1796875" style="1" customWidth="1"/>
    <col min="3" max="3" width="11.81640625" style="1" customWidth="1"/>
    <col min="4" max="9" width="9" style="1"/>
    <col min="10" max="10" width="14.81640625" style="1" customWidth="1"/>
    <col min="11" max="12" width="12.90625" style="1" customWidth="1"/>
    <col min="13" max="16384" width="9" style="1"/>
  </cols>
  <sheetData>
    <row r="1" spans="1:13" x14ac:dyDescent="0.45">
      <c r="A1" s="3" t="s">
        <v>1</v>
      </c>
      <c r="B1" s="3" t="s">
        <v>1</v>
      </c>
      <c r="C1" s="3" t="s">
        <v>1</v>
      </c>
      <c r="F1" s="1" t="s">
        <v>1570</v>
      </c>
    </row>
    <row r="2" spans="1:13" x14ac:dyDescent="0.45">
      <c r="A2" s="3" t="s">
        <v>2</v>
      </c>
      <c r="B2" s="3" t="s">
        <v>2</v>
      </c>
      <c r="C2" s="3" t="s">
        <v>2</v>
      </c>
    </row>
    <row r="3" spans="1:13" x14ac:dyDescent="0.45">
      <c r="A3" s="3" t="s">
        <v>68</v>
      </c>
      <c r="B3" s="3" t="s">
        <v>1571</v>
      </c>
      <c r="C3" s="3" t="s">
        <v>69</v>
      </c>
    </row>
    <row r="4" spans="1:13" ht="46" x14ac:dyDescent="0.45">
      <c r="A4" s="4" t="s">
        <v>1316</v>
      </c>
      <c r="B4" s="4" t="s">
        <v>1572</v>
      </c>
      <c r="C4" s="4" t="s">
        <v>1573</v>
      </c>
    </row>
    <row r="5" spans="1:13" x14ac:dyDescent="0.45">
      <c r="A5" s="1">
        <v>1</v>
      </c>
      <c r="B5" s="1">
        <v>0</v>
      </c>
      <c r="C5" s="191">
        <v>5000</v>
      </c>
      <c r="I5" s="192" t="s">
        <v>1574</v>
      </c>
      <c r="J5" s="192" t="s">
        <v>1575</v>
      </c>
      <c r="K5" s="192" t="s">
        <v>1576</v>
      </c>
      <c r="L5" s="192" t="s">
        <v>1577</v>
      </c>
      <c r="M5" s="192" t="s">
        <v>1578</v>
      </c>
    </row>
    <row r="6" spans="1:13" x14ac:dyDescent="0.45">
      <c r="A6" s="1">
        <v>2</v>
      </c>
      <c r="B6" s="1">
        <v>250</v>
      </c>
      <c r="C6" s="191">
        <f>C5</f>
        <v>5000</v>
      </c>
      <c r="I6" s="1">
        <v>1000</v>
      </c>
      <c r="J6" s="1">
        <f>C5</f>
        <v>5000</v>
      </c>
      <c r="K6" s="1">
        <v>10</v>
      </c>
      <c r="L6" s="1">
        <v>0</v>
      </c>
      <c r="M6" s="1">
        <f>(J6/(I6*(1/K6))+L6)*0.96</f>
        <v>48</v>
      </c>
    </row>
    <row r="7" spans="1:13" x14ac:dyDescent="0.45">
      <c r="A7" s="1">
        <v>3</v>
      </c>
      <c r="B7" s="1">
        <v>500</v>
      </c>
      <c r="C7" s="191">
        <f t="shared" ref="C7:C9" si="0">C6</f>
        <v>5000</v>
      </c>
      <c r="I7" s="1">
        <f>I6</f>
        <v>1000</v>
      </c>
      <c r="J7" s="1">
        <f>C6</f>
        <v>5000</v>
      </c>
      <c r="K7" s="1">
        <v>200</v>
      </c>
      <c r="L7" s="1">
        <v>0</v>
      </c>
      <c r="M7" s="1">
        <f>(J7/(I7*(1/K7))+L7)*0.96</f>
        <v>960</v>
      </c>
    </row>
    <row r="8" spans="1:13" x14ac:dyDescent="0.45">
      <c r="A8" s="1">
        <v>4</v>
      </c>
      <c r="B8" s="1">
        <v>1000</v>
      </c>
      <c r="C8" s="191">
        <f t="shared" si="0"/>
        <v>5000</v>
      </c>
      <c r="I8" s="1">
        <f t="shared" ref="I8:I9" si="1">I7</f>
        <v>1000</v>
      </c>
      <c r="J8" s="191">
        <f>C7</f>
        <v>5000</v>
      </c>
      <c r="K8" s="191">
        <v>500</v>
      </c>
      <c r="L8" s="191">
        <v>0</v>
      </c>
      <c r="M8" s="191">
        <f>(J8/(I8*(1/K8))+L8)*0.96</f>
        <v>2400</v>
      </c>
    </row>
    <row r="9" spans="1:13" x14ac:dyDescent="0.45">
      <c r="A9" s="1">
        <v>5</v>
      </c>
      <c r="B9" s="1">
        <v>3000</v>
      </c>
      <c r="C9" s="191">
        <f t="shared" si="0"/>
        <v>5000</v>
      </c>
      <c r="I9" s="1">
        <f t="shared" si="1"/>
        <v>1000</v>
      </c>
      <c r="J9" s="1">
        <f>C8</f>
        <v>5000</v>
      </c>
      <c r="K9" s="1">
        <v>5000</v>
      </c>
      <c r="L9" s="1">
        <v>0</v>
      </c>
      <c r="M9" s="1">
        <f>(J9/(I9*(1/K9))+L9)*0.96</f>
        <v>24000</v>
      </c>
    </row>
  </sheetData>
  <phoneticPr fontId="57" type="noConversion"/>
  <conditionalFormatting sqref="K6">
    <cfRule type="containsText" dxfId="600" priority="1" operator="containsText" text=" ">
      <formula>NOT(ISERROR(SEARCH(" ",K6)))</formula>
    </cfRule>
    <cfRule type="containsText" dxfId="599" priority="2" operator="containsText" text=" ">
      <formula>NOT(ISERROR(SEARCH(" ",K6)))</formula>
    </cfRule>
  </conditionalFormatting>
  <conditionalFormatting sqref="A1:C4">
    <cfRule type="containsText" dxfId="598" priority="4" operator="containsText" text=" ">
      <formula>NOT(ISERROR(SEARCH(" ",A1)))</formula>
    </cfRule>
  </conditionalFormatting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8"/>
  <sheetViews>
    <sheetView workbookViewId="0">
      <selection activeCell="C6" sqref="C6"/>
    </sheetView>
  </sheetViews>
  <sheetFormatPr defaultColWidth="9" defaultRowHeight="16.5" x14ac:dyDescent="0.45"/>
  <cols>
    <col min="1" max="1" width="9" style="190"/>
    <col min="2" max="2" width="12.1796875" style="190" customWidth="1"/>
    <col min="3" max="3" width="25.08984375" style="190" customWidth="1"/>
    <col min="4" max="4" width="12.90625" style="190" customWidth="1"/>
  </cols>
  <sheetData>
    <row r="1" spans="1:8" x14ac:dyDescent="0.45">
      <c r="A1" s="3" t="s">
        <v>1</v>
      </c>
      <c r="B1" s="3" t="s">
        <v>1</v>
      </c>
      <c r="C1" s="3" t="s">
        <v>1</v>
      </c>
    </row>
    <row r="2" spans="1:8" x14ac:dyDescent="0.45">
      <c r="A2" s="3" t="s">
        <v>2</v>
      </c>
      <c r="B2" s="3" t="s">
        <v>2</v>
      </c>
      <c r="C2" s="3" t="s">
        <v>2</v>
      </c>
    </row>
    <row r="3" spans="1:8" x14ac:dyDescent="0.45">
      <c r="A3" s="3" t="s">
        <v>1579</v>
      </c>
      <c r="B3" s="3" t="s">
        <v>69</v>
      </c>
      <c r="C3" s="3" t="s">
        <v>1580</v>
      </c>
    </row>
    <row r="4" spans="1:8" ht="39" x14ac:dyDescent="0.45">
      <c r="A4" s="63" t="s">
        <v>1581</v>
      </c>
      <c r="B4" s="63" t="s">
        <v>1582</v>
      </c>
      <c r="C4" s="63" t="s">
        <v>1583</v>
      </c>
      <c r="G4">
        <v>1000</v>
      </c>
      <c r="H4">
        <v>10000</v>
      </c>
    </row>
    <row r="5" spans="1:8" x14ac:dyDescent="0.45">
      <c r="A5" s="2">
        <v>1005</v>
      </c>
      <c r="B5" s="190" t="str">
        <f>RIGHT('道具|Item'!R17,LEN('道具|Item'!R17)-4)</f>
        <v>1000000</v>
      </c>
      <c r="C5" s="190" t="str">
        <f>B5</f>
        <v>1000000</v>
      </c>
      <c r="D5" s="190">
        <f>B5*5</f>
        <v>5000000</v>
      </c>
      <c r="F5" s="13" t="str">
        <f>C5</f>
        <v>1000000</v>
      </c>
      <c r="G5">
        <f>150*1000</f>
        <v>150000</v>
      </c>
    </row>
    <row r="6" spans="1:8" x14ac:dyDescent="0.45">
      <c r="A6" s="2">
        <v>1006</v>
      </c>
      <c r="B6" s="190" t="str">
        <f>RIGHT('道具|Item'!R18,LEN('道具|Item'!R18)-4)</f>
        <v>2000000</v>
      </c>
      <c r="C6" s="1">
        <f>D5</f>
        <v>5000000</v>
      </c>
      <c r="D6" s="190">
        <f t="shared" ref="D6:D7" si="0">B6*5</f>
        <v>10000000</v>
      </c>
      <c r="F6" s="13">
        <f>B5*5</f>
        <v>5000000</v>
      </c>
    </row>
    <row r="7" spans="1:8" x14ac:dyDescent="0.45">
      <c r="A7" s="2">
        <v>1007</v>
      </c>
      <c r="B7" s="190" t="str">
        <f>RIGHT('道具|Item'!R19,LEN('道具|Item'!R19)-4)</f>
        <v>5000000</v>
      </c>
      <c r="C7" s="1">
        <f t="shared" ref="C7:C8" si="1">D6</f>
        <v>10000000</v>
      </c>
      <c r="D7" s="190">
        <f t="shared" si="0"/>
        <v>25000000</v>
      </c>
      <c r="F7" s="13">
        <f>B6*5</f>
        <v>10000000</v>
      </c>
      <c r="H7">
        <f>150*10000</f>
        <v>1500000</v>
      </c>
    </row>
    <row r="8" spans="1:8" x14ac:dyDescent="0.45">
      <c r="A8" s="2">
        <v>1008</v>
      </c>
      <c r="B8" s="190" t="str">
        <f>RIGHT('道具|Item'!R20,LEN('道具|Item'!R20)-4)</f>
        <v>10000000</v>
      </c>
      <c r="C8" s="1">
        <f t="shared" si="1"/>
        <v>25000000</v>
      </c>
      <c r="F8" s="13">
        <f>B7*5</f>
        <v>25000000</v>
      </c>
    </row>
  </sheetData>
  <phoneticPr fontId="57" type="noConversion"/>
  <conditionalFormatting sqref="A5:A8">
    <cfRule type="containsText" dxfId="597" priority="1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Z84"/>
  <sheetViews>
    <sheetView workbookViewId="0">
      <pane xSplit="6" ySplit="4" topLeftCell="CQ5" activePane="bottomRight" state="frozen"/>
      <selection pane="topRight"/>
      <selection pane="bottomLeft"/>
      <selection pane="bottomRight" activeCell="DL7" sqref="DL7"/>
    </sheetView>
  </sheetViews>
  <sheetFormatPr defaultColWidth="9" defaultRowHeight="16.5" x14ac:dyDescent="0.25"/>
  <cols>
    <col min="1" max="1" width="15.36328125" style="2" customWidth="1"/>
    <col min="2" max="2" width="15.90625" style="2" customWidth="1"/>
    <col min="3" max="3" width="15.81640625" style="2" customWidth="1"/>
    <col min="4" max="4" width="10.81640625" style="2" customWidth="1"/>
    <col min="5" max="5" width="11.81640625" style="2" customWidth="1"/>
    <col min="6" max="6" width="14.36328125" style="2" customWidth="1"/>
    <col min="7" max="7" width="29.6328125" style="2" customWidth="1"/>
    <col min="8" max="8" width="11.54296875" style="144" customWidth="1"/>
    <col min="9" max="9" width="15.1796875" style="144" customWidth="1"/>
    <col min="10" max="10" width="11.54296875" style="144" customWidth="1"/>
    <col min="11" max="11" width="9.81640625" style="2" customWidth="1"/>
    <col min="12" max="12" width="9.1796875" style="144" customWidth="1"/>
    <col min="13" max="13" width="9.54296875" style="144" customWidth="1"/>
    <col min="14" max="15" width="9.08984375" style="2" customWidth="1"/>
    <col min="16" max="16" width="14.1796875" style="2" customWidth="1"/>
    <col min="17" max="17" width="14.1796875" style="144" customWidth="1"/>
    <col min="18" max="18" width="16.1796875" style="144" customWidth="1"/>
    <col min="19" max="19" width="10.1796875" style="144" customWidth="1"/>
    <col min="20" max="20" width="9" style="2" customWidth="1"/>
    <col min="21" max="21" width="9.1796875" style="144" customWidth="1"/>
    <col min="22" max="22" width="9.54296875" style="144" customWidth="1"/>
    <col min="23" max="23" width="6.6328125" style="2" customWidth="1"/>
    <col min="24" max="24" width="9.08984375" style="2" customWidth="1"/>
    <col min="25" max="25" width="14.1796875" style="2" customWidth="1"/>
    <col min="26" max="26" width="14.1796875" style="144" customWidth="1"/>
    <col min="27" max="27" width="16.1796875" style="144" customWidth="1"/>
    <col min="28" max="28" width="10.1796875" style="144" customWidth="1"/>
    <col min="29" max="29" width="9.90625" style="2" customWidth="1"/>
    <col min="30" max="30" width="9.1796875" style="144" customWidth="1"/>
    <col min="31" max="31" width="9.54296875" style="144" customWidth="1"/>
    <col min="32" max="32" width="8.08984375" style="2" customWidth="1"/>
    <col min="33" max="33" width="9.08984375" style="2" customWidth="1"/>
    <col min="34" max="34" width="14.1796875" style="2" customWidth="1"/>
    <col min="35" max="35" width="12.90625" style="144" customWidth="1"/>
    <col min="36" max="36" width="16.1796875" style="144" customWidth="1"/>
    <col min="37" max="37" width="10.1796875" style="144" customWidth="1"/>
    <col min="38" max="38" width="9.36328125" style="2" customWidth="1"/>
    <col min="39" max="39" width="9.1796875" style="144" customWidth="1"/>
    <col min="40" max="40" width="9.54296875" style="144" customWidth="1"/>
    <col min="41" max="41" width="4.54296875" style="2" customWidth="1"/>
    <col min="42" max="42" width="9.08984375" style="2" customWidth="1"/>
    <col min="43" max="43" width="11.54296875" style="2" customWidth="1"/>
    <col min="44" max="44" width="11.54296875" style="144" customWidth="1"/>
    <col min="45" max="45" width="16.1796875" style="144" customWidth="1"/>
    <col min="46" max="46" width="10.1796875" style="144" customWidth="1"/>
    <col min="47" max="47" width="10.08984375" style="2" customWidth="1"/>
    <col min="48" max="48" width="9.1796875" style="144" customWidth="1"/>
    <col min="49" max="49" width="9.54296875" style="144" customWidth="1"/>
    <col min="50" max="50" width="4.1796875" style="2" customWidth="1"/>
    <col min="51" max="51" width="9.08984375" style="2" customWidth="1"/>
    <col min="52" max="52" width="12.90625" style="2" customWidth="1"/>
    <col min="53" max="53" width="11.54296875" style="144" customWidth="1"/>
    <col min="54" max="54" width="15.90625" style="144" customWidth="1"/>
    <col min="55" max="55" width="11.54296875" style="144" customWidth="1"/>
    <col min="56" max="56" width="9.453125" style="2" customWidth="1"/>
    <col min="57" max="57" width="8.90625" style="144" customWidth="1"/>
    <col min="58" max="58" width="9.453125" style="144" customWidth="1"/>
    <col min="59" max="59" width="3.6328125" style="2" customWidth="1"/>
    <col min="60" max="60" width="9.08984375" style="2" customWidth="1"/>
    <col min="61" max="61" width="29.6328125" style="2" customWidth="1"/>
    <col min="62" max="62" width="11.54296875" style="144" customWidth="1"/>
    <col min="63" max="63" width="15.1796875" style="144" customWidth="1"/>
    <col min="64" max="64" width="11.54296875" style="144" customWidth="1"/>
    <col min="65" max="65" width="9.81640625" style="2" customWidth="1"/>
    <col min="66" max="66" width="9.1796875" style="144" customWidth="1"/>
    <col min="67" max="67" width="9.54296875" style="144" customWidth="1"/>
    <col min="68" max="68" width="4.1796875" style="2" customWidth="1"/>
    <col min="69" max="69" width="9.08984375" style="2" customWidth="1"/>
    <col min="70" max="70" width="29.6328125" style="2" customWidth="1"/>
    <col min="71" max="71" width="11.54296875" style="144" customWidth="1"/>
    <col min="72" max="72" width="15.1796875" style="144" customWidth="1"/>
    <col min="73" max="73" width="11.54296875" style="144" customWidth="1"/>
    <col min="74" max="74" width="9.453125" style="2" customWidth="1"/>
    <col min="75" max="75" width="9.1796875" style="144" customWidth="1"/>
    <col min="76" max="76" width="9.54296875" style="144" customWidth="1"/>
    <col min="77" max="77" width="4.6328125" style="2" customWidth="1"/>
    <col min="78" max="78" width="9.08984375" style="2" customWidth="1"/>
    <col min="79" max="79" width="29.6328125" style="2" customWidth="1"/>
    <col min="80" max="80" width="11.54296875" style="144" customWidth="1"/>
    <col min="81" max="81" width="15.1796875" style="144" customWidth="1"/>
    <col min="82" max="82" width="11.54296875" style="144" customWidth="1"/>
    <col min="83" max="83" width="10" style="2" customWidth="1"/>
    <col min="84" max="84" width="9.1796875" style="144" customWidth="1"/>
    <col min="85" max="85" width="9.54296875" style="144" customWidth="1"/>
    <col min="86" max="86" width="4.6328125" style="2" customWidth="1"/>
    <col min="87" max="87" width="9.08984375" style="2" customWidth="1"/>
    <col min="88" max="88" width="29.6328125" style="2" customWidth="1"/>
    <col min="89" max="89" width="11.54296875" style="144" customWidth="1"/>
    <col min="90" max="90" width="15.1796875" style="144" customWidth="1"/>
    <col min="91" max="91" width="11.54296875" style="144" customWidth="1"/>
    <col min="92" max="92" width="10.90625" style="2" customWidth="1"/>
    <col min="93" max="93" width="9.1796875" style="144" customWidth="1"/>
    <col min="94" max="94" width="9.54296875" style="144" customWidth="1"/>
    <col min="95" max="95" width="4.81640625" style="2" customWidth="1"/>
    <col min="96" max="96" width="9.08984375" style="2" customWidth="1"/>
    <col min="97" max="97" width="9" style="2"/>
    <col min="98" max="98" width="11.54296875" style="143" customWidth="1"/>
    <col min="99" max="99" width="10.453125" style="47" customWidth="1"/>
    <col min="100" max="101" width="6.453125" style="2" customWidth="1"/>
    <col min="102" max="102" width="12.36328125" style="47" customWidth="1"/>
    <col min="103" max="103" width="10.453125" style="47" hidden="1" customWidth="1"/>
    <col min="104" max="104" width="6.453125" style="47" hidden="1" customWidth="1"/>
    <col min="105" max="105" width="6.08984375" style="47" hidden="1" customWidth="1"/>
    <col min="106" max="106" width="10.453125" style="47" hidden="1" customWidth="1"/>
    <col min="107" max="107" width="13.08984375" style="2" hidden="1" customWidth="1"/>
    <col min="108" max="108" width="12.54296875" style="2" hidden="1" customWidth="1"/>
    <col min="109" max="109" width="11.6328125" style="2" customWidth="1"/>
    <col min="110" max="110" width="8.36328125" style="2" hidden="1" customWidth="1"/>
    <col min="111" max="111" width="9.36328125" style="2" hidden="1" customWidth="1"/>
    <col min="112" max="112" width="9.1796875" style="2" hidden="1" customWidth="1"/>
    <col min="113" max="113" width="9" style="2"/>
    <col min="114" max="114" width="11.6328125" style="2" customWidth="1"/>
    <col min="115" max="115" width="9" style="2"/>
    <col min="116" max="116" width="11.54296875" style="2" customWidth="1"/>
    <col min="117" max="117" width="9" style="2"/>
    <col min="118" max="118" width="12.453125" style="2" customWidth="1"/>
    <col min="119" max="119" width="14.453125" style="2" customWidth="1"/>
    <col min="120" max="121" width="8.81640625" style="2" customWidth="1"/>
    <col min="122" max="122" width="6.54296875" style="2" customWidth="1"/>
    <col min="123" max="123" width="8.81640625" style="2" customWidth="1"/>
    <col min="124" max="16384" width="9" style="2"/>
  </cols>
  <sheetData>
    <row r="1" spans="1:123" s="60" customFormat="1" x14ac:dyDescent="0.4">
      <c r="A1" s="11" t="s">
        <v>0</v>
      </c>
      <c r="B1" s="11" t="s">
        <v>0</v>
      </c>
      <c r="C1" s="11" t="s">
        <v>691</v>
      </c>
      <c r="D1" s="11" t="s">
        <v>0</v>
      </c>
      <c r="E1" s="11" t="s">
        <v>0</v>
      </c>
      <c r="F1" s="147" t="s">
        <v>1</v>
      </c>
      <c r="G1" s="67" t="s">
        <v>0</v>
      </c>
      <c r="H1" s="148" t="s">
        <v>0</v>
      </c>
      <c r="I1" s="148" t="s">
        <v>0</v>
      </c>
      <c r="J1" s="148" t="s">
        <v>0</v>
      </c>
      <c r="K1" s="67" t="s">
        <v>0</v>
      </c>
      <c r="L1" s="148" t="s">
        <v>691</v>
      </c>
      <c r="M1" s="148" t="s">
        <v>1</v>
      </c>
      <c r="N1" s="67" t="s">
        <v>0</v>
      </c>
      <c r="O1" s="67" t="s">
        <v>0</v>
      </c>
      <c r="P1" s="157" t="s">
        <v>0</v>
      </c>
      <c r="Q1" s="148" t="s">
        <v>0</v>
      </c>
      <c r="R1" s="148" t="s">
        <v>0</v>
      </c>
      <c r="S1" s="148" t="s">
        <v>0</v>
      </c>
      <c r="T1" s="157" t="s">
        <v>0</v>
      </c>
      <c r="U1" s="148" t="s">
        <v>691</v>
      </c>
      <c r="V1" s="148" t="s">
        <v>1</v>
      </c>
      <c r="W1" s="157" t="s">
        <v>0</v>
      </c>
      <c r="X1" s="157" t="s">
        <v>0</v>
      </c>
      <c r="Y1" s="67" t="s">
        <v>0</v>
      </c>
      <c r="Z1" s="148" t="s">
        <v>0</v>
      </c>
      <c r="AA1" s="148" t="s">
        <v>0</v>
      </c>
      <c r="AB1" s="148" t="s">
        <v>0</v>
      </c>
      <c r="AC1" s="67" t="s">
        <v>0</v>
      </c>
      <c r="AD1" s="148" t="s">
        <v>691</v>
      </c>
      <c r="AE1" s="148" t="s">
        <v>1</v>
      </c>
      <c r="AF1" s="67" t="s">
        <v>0</v>
      </c>
      <c r="AG1" s="67" t="s">
        <v>0</v>
      </c>
      <c r="AH1" s="157" t="s">
        <v>0</v>
      </c>
      <c r="AI1" s="148" t="s">
        <v>0</v>
      </c>
      <c r="AJ1" s="148" t="s">
        <v>0</v>
      </c>
      <c r="AK1" s="148" t="s">
        <v>0</v>
      </c>
      <c r="AL1" s="157" t="s">
        <v>0</v>
      </c>
      <c r="AM1" s="148" t="s">
        <v>691</v>
      </c>
      <c r="AN1" s="148" t="s">
        <v>1</v>
      </c>
      <c r="AO1" s="157" t="s">
        <v>0</v>
      </c>
      <c r="AP1" s="157" t="s">
        <v>0</v>
      </c>
      <c r="AQ1" s="67" t="s">
        <v>0</v>
      </c>
      <c r="AR1" s="148" t="s">
        <v>0</v>
      </c>
      <c r="AS1" s="148" t="s">
        <v>0</v>
      </c>
      <c r="AT1" s="148" t="s">
        <v>0</v>
      </c>
      <c r="AU1" s="67" t="s">
        <v>0</v>
      </c>
      <c r="AV1" s="148" t="s">
        <v>691</v>
      </c>
      <c r="AW1" s="148" t="s">
        <v>1</v>
      </c>
      <c r="AX1" s="67" t="s">
        <v>0</v>
      </c>
      <c r="AY1" s="67" t="s">
        <v>0</v>
      </c>
      <c r="AZ1" s="157" t="s">
        <v>0</v>
      </c>
      <c r="BA1" s="148" t="s">
        <v>0</v>
      </c>
      <c r="BB1" s="148" t="s">
        <v>0</v>
      </c>
      <c r="BC1" s="148" t="s">
        <v>0</v>
      </c>
      <c r="BD1" s="157" t="s">
        <v>0</v>
      </c>
      <c r="BE1" s="148" t="s">
        <v>691</v>
      </c>
      <c r="BF1" s="148" t="s">
        <v>1</v>
      </c>
      <c r="BG1" s="157" t="s">
        <v>0</v>
      </c>
      <c r="BH1" s="157" t="s">
        <v>0</v>
      </c>
      <c r="BI1" s="67" t="s">
        <v>0</v>
      </c>
      <c r="BJ1" s="148" t="s">
        <v>0</v>
      </c>
      <c r="BK1" s="148" t="s">
        <v>0</v>
      </c>
      <c r="BL1" s="148" t="s">
        <v>0</v>
      </c>
      <c r="BM1" s="67" t="s">
        <v>0</v>
      </c>
      <c r="BN1" s="148" t="s">
        <v>691</v>
      </c>
      <c r="BO1" s="148" t="s">
        <v>1</v>
      </c>
      <c r="BP1" s="67" t="s">
        <v>0</v>
      </c>
      <c r="BQ1" s="67" t="s">
        <v>0</v>
      </c>
      <c r="BR1" s="157" t="s">
        <v>0</v>
      </c>
      <c r="BS1" s="148" t="s">
        <v>0</v>
      </c>
      <c r="BT1" s="148" t="s">
        <v>0</v>
      </c>
      <c r="BU1" s="148" t="s">
        <v>0</v>
      </c>
      <c r="BV1" s="157" t="s">
        <v>0</v>
      </c>
      <c r="BW1" s="148" t="s">
        <v>691</v>
      </c>
      <c r="BX1" s="148" t="s">
        <v>1</v>
      </c>
      <c r="BY1" s="157" t="s">
        <v>0</v>
      </c>
      <c r="BZ1" s="157" t="s">
        <v>0</v>
      </c>
      <c r="CA1" s="67" t="s">
        <v>0</v>
      </c>
      <c r="CB1" s="148" t="s">
        <v>0</v>
      </c>
      <c r="CC1" s="148" t="s">
        <v>0</v>
      </c>
      <c r="CD1" s="148" t="s">
        <v>0</v>
      </c>
      <c r="CE1" s="67" t="s">
        <v>0</v>
      </c>
      <c r="CF1" s="148" t="s">
        <v>691</v>
      </c>
      <c r="CG1" s="148" t="s">
        <v>1</v>
      </c>
      <c r="CH1" s="67" t="s">
        <v>0</v>
      </c>
      <c r="CI1" s="67" t="s">
        <v>0</v>
      </c>
      <c r="CJ1" s="157" t="s">
        <v>0</v>
      </c>
      <c r="CK1" s="148" t="s">
        <v>0</v>
      </c>
      <c r="CL1" s="148" t="s">
        <v>0</v>
      </c>
      <c r="CM1" s="148" t="s">
        <v>0</v>
      </c>
      <c r="CN1" s="157" t="s">
        <v>0</v>
      </c>
      <c r="CO1" s="148" t="s">
        <v>691</v>
      </c>
      <c r="CP1" s="148" t="s">
        <v>1</v>
      </c>
      <c r="CQ1" s="157" t="s">
        <v>0</v>
      </c>
      <c r="CR1" s="157" t="s">
        <v>0</v>
      </c>
      <c r="CT1" s="163"/>
      <c r="CU1" s="17" t="s">
        <v>1584</v>
      </c>
      <c r="DN1" s="60" t="s">
        <v>1585</v>
      </c>
    </row>
    <row r="2" spans="1:123" s="60" customFormat="1" ht="16" customHeight="1" x14ac:dyDescent="0.4">
      <c r="A2" s="11" t="s">
        <v>2</v>
      </c>
      <c r="B2" s="11" t="s">
        <v>5</v>
      </c>
      <c r="C2" s="11" t="s">
        <v>5</v>
      </c>
      <c r="D2" s="11" t="s">
        <v>2</v>
      </c>
      <c r="E2" s="11" t="s">
        <v>2</v>
      </c>
      <c r="F2" s="147" t="s">
        <v>2</v>
      </c>
      <c r="G2" s="67" t="s">
        <v>5</v>
      </c>
      <c r="H2" s="148" t="s">
        <v>5</v>
      </c>
      <c r="I2" s="148" t="s">
        <v>2</v>
      </c>
      <c r="J2" s="148" t="s">
        <v>2</v>
      </c>
      <c r="K2" s="67" t="s">
        <v>2</v>
      </c>
      <c r="L2" s="148" t="s">
        <v>3</v>
      </c>
      <c r="M2" s="148" t="s">
        <v>3</v>
      </c>
      <c r="N2" s="67" t="s">
        <v>2</v>
      </c>
      <c r="O2" s="67" t="s">
        <v>5</v>
      </c>
      <c r="P2" s="157" t="s">
        <v>5</v>
      </c>
      <c r="Q2" s="148" t="s">
        <v>5</v>
      </c>
      <c r="R2" s="148" t="s">
        <v>2</v>
      </c>
      <c r="S2" s="148" t="s">
        <v>2</v>
      </c>
      <c r="T2" s="157" t="s">
        <v>2</v>
      </c>
      <c r="U2" s="148" t="s">
        <v>3</v>
      </c>
      <c r="V2" s="148" t="s">
        <v>3</v>
      </c>
      <c r="W2" s="157" t="s">
        <v>2</v>
      </c>
      <c r="X2" s="157" t="s">
        <v>5</v>
      </c>
      <c r="Y2" s="67" t="s">
        <v>5</v>
      </c>
      <c r="Z2" s="148" t="s">
        <v>5</v>
      </c>
      <c r="AA2" s="148" t="s">
        <v>2</v>
      </c>
      <c r="AB2" s="148" t="s">
        <v>2</v>
      </c>
      <c r="AC2" s="67" t="s">
        <v>2</v>
      </c>
      <c r="AD2" s="148" t="s">
        <v>3</v>
      </c>
      <c r="AE2" s="148" t="s">
        <v>3</v>
      </c>
      <c r="AF2" s="67" t="s">
        <v>2</v>
      </c>
      <c r="AG2" s="67" t="s">
        <v>5</v>
      </c>
      <c r="AH2" s="157" t="s">
        <v>5</v>
      </c>
      <c r="AI2" s="148" t="s">
        <v>5</v>
      </c>
      <c r="AJ2" s="148" t="s">
        <v>2</v>
      </c>
      <c r="AK2" s="148" t="s">
        <v>2</v>
      </c>
      <c r="AL2" s="157" t="s">
        <v>2</v>
      </c>
      <c r="AM2" s="148" t="s">
        <v>3</v>
      </c>
      <c r="AN2" s="148" t="s">
        <v>3</v>
      </c>
      <c r="AO2" s="157" t="s">
        <v>2</v>
      </c>
      <c r="AP2" s="157" t="s">
        <v>5</v>
      </c>
      <c r="AQ2" s="67" t="s">
        <v>5</v>
      </c>
      <c r="AR2" s="148" t="s">
        <v>5</v>
      </c>
      <c r="AS2" s="148" t="s">
        <v>2</v>
      </c>
      <c r="AT2" s="148" t="s">
        <v>2</v>
      </c>
      <c r="AU2" s="67" t="s">
        <v>2</v>
      </c>
      <c r="AV2" s="148" t="s">
        <v>3</v>
      </c>
      <c r="AW2" s="148" t="s">
        <v>3</v>
      </c>
      <c r="AX2" s="67" t="s">
        <v>2</v>
      </c>
      <c r="AY2" s="67" t="s">
        <v>5</v>
      </c>
      <c r="AZ2" s="157" t="s">
        <v>5</v>
      </c>
      <c r="BA2" s="148" t="s">
        <v>5</v>
      </c>
      <c r="BB2" s="148" t="s">
        <v>2</v>
      </c>
      <c r="BC2" s="148" t="s">
        <v>2</v>
      </c>
      <c r="BD2" s="157" t="s">
        <v>2</v>
      </c>
      <c r="BE2" s="148" t="s">
        <v>3</v>
      </c>
      <c r="BF2" s="148" t="s">
        <v>3</v>
      </c>
      <c r="BG2" s="157" t="s">
        <v>2</v>
      </c>
      <c r="BH2" s="157" t="s">
        <v>5</v>
      </c>
      <c r="BI2" s="67" t="s">
        <v>5</v>
      </c>
      <c r="BJ2" s="148" t="s">
        <v>5</v>
      </c>
      <c r="BK2" s="148" t="s">
        <v>2</v>
      </c>
      <c r="BL2" s="148" t="s">
        <v>2</v>
      </c>
      <c r="BM2" s="67" t="s">
        <v>2</v>
      </c>
      <c r="BN2" s="148" t="s">
        <v>3</v>
      </c>
      <c r="BO2" s="148" t="s">
        <v>3</v>
      </c>
      <c r="BP2" s="67" t="s">
        <v>2</v>
      </c>
      <c r="BQ2" s="67" t="s">
        <v>5</v>
      </c>
      <c r="BR2" s="157" t="s">
        <v>5</v>
      </c>
      <c r="BS2" s="148" t="s">
        <v>5</v>
      </c>
      <c r="BT2" s="148" t="s">
        <v>2</v>
      </c>
      <c r="BU2" s="148" t="s">
        <v>2</v>
      </c>
      <c r="BV2" s="157" t="s">
        <v>2</v>
      </c>
      <c r="BW2" s="148" t="s">
        <v>3</v>
      </c>
      <c r="BX2" s="148" t="s">
        <v>3</v>
      </c>
      <c r="BY2" s="157" t="s">
        <v>2</v>
      </c>
      <c r="BZ2" s="157" t="s">
        <v>5</v>
      </c>
      <c r="CA2" s="67" t="s">
        <v>5</v>
      </c>
      <c r="CB2" s="148" t="s">
        <v>5</v>
      </c>
      <c r="CC2" s="148" t="s">
        <v>2</v>
      </c>
      <c r="CD2" s="148" t="s">
        <v>2</v>
      </c>
      <c r="CE2" s="67" t="s">
        <v>2</v>
      </c>
      <c r="CF2" s="148" t="s">
        <v>3</v>
      </c>
      <c r="CG2" s="148" t="s">
        <v>3</v>
      </c>
      <c r="CH2" s="67" t="s">
        <v>2</v>
      </c>
      <c r="CI2" s="67" t="s">
        <v>5</v>
      </c>
      <c r="CJ2" s="157" t="s">
        <v>5</v>
      </c>
      <c r="CK2" s="148" t="s">
        <v>5</v>
      </c>
      <c r="CL2" s="148" t="s">
        <v>2</v>
      </c>
      <c r="CM2" s="148" t="s">
        <v>2</v>
      </c>
      <c r="CN2" s="157" t="s">
        <v>2</v>
      </c>
      <c r="CO2" s="148" t="s">
        <v>3</v>
      </c>
      <c r="CP2" s="148" t="s">
        <v>3</v>
      </c>
      <c r="CQ2" s="157" t="s">
        <v>2</v>
      </c>
      <c r="CR2" s="157" t="s">
        <v>5</v>
      </c>
      <c r="CT2" s="163"/>
      <c r="CU2" s="2" t="s">
        <v>1586</v>
      </c>
      <c r="DN2" s="17" t="s">
        <v>1587</v>
      </c>
    </row>
    <row r="3" spans="1:123" s="60" customFormat="1" ht="17" customHeight="1" x14ac:dyDescent="0.25">
      <c r="A3" s="145" t="s">
        <v>1588</v>
      </c>
      <c r="B3" s="145" t="s">
        <v>1589</v>
      </c>
      <c r="C3" s="145" t="s">
        <v>694</v>
      </c>
      <c r="D3" s="145" t="s">
        <v>1590</v>
      </c>
      <c r="E3" s="145" t="s">
        <v>713</v>
      </c>
      <c r="F3" s="149" t="s">
        <v>1591</v>
      </c>
      <c r="G3" s="150" t="s">
        <v>1592</v>
      </c>
      <c r="H3" s="151" t="s">
        <v>1593</v>
      </c>
      <c r="I3" s="155" t="s">
        <v>1594</v>
      </c>
      <c r="J3" s="155" t="s">
        <v>1595</v>
      </c>
      <c r="K3" s="68" t="s">
        <v>1596</v>
      </c>
      <c r="L3" s="155" t="s">
        <v>1597</v>
      </c>
      <c r="M3" s="155" t="s">
        <v>1598</v>
      </c>
      <c r="N3" s="68" t="s">
        <v>1599</v>
      </c>
      <c r="O3" s="68" t="s">
        <v>1600</v>
      </c>
      <c r="P3" s="158" t="s">
        <v>1601</v>
      </c>
      <c r="Q3" s="151" t="s">
        <v>1602</v>
      </c>
      <c r="R3" s="155" t="s">
        <v>1603</v>
      </c>
      <c r="S3" s="155" t="s">
        <v>1604</v>
      </c>
      <c r="T3" s="159" t="s">
        <v>1605</v>
      </c>
      <c r="U3" s="155" t="s">
        <v>1606</v>
      </c>
      <c r="V3" s="155" t="s">
        <v>1607</v>
      </c>
      <c r="W3" s="159" t="s">
        <v>1608</v>
      </c>
      <c r="X3" s="159" t="s">
        <v>1609</v>
      </c>
      <c r="Y3" s="150" t="s">
        <v>1610</v>
      </c>
      <c r="Z3" s="151" t="s">
        <v>1611</v>
      </c>
      <c r="AA3" s="155" t="s">
        <v>1612</v>
      </c>
      <c r="AB3" s="155" t="s">
        <v>1613</v>
      </c>
      <c r="AC3" s="68" t="s">
        <v>1614</v>
      </c>
      <c r="AD3" s="155" t="s">
        <v>1615</v>
      </c>
      <c r="AE3" s="155" t="s">
        <v>1616</v>
      </c>
      <c r="AF3" s="68" t="s">
        <v>1617</v>
      </c>
      <c r="AG3" s="68" t="s">
        <v>1618</v>
      </c>
      <c r="AH3" s="158" t="s">
        <v>1619</v>
      </c>
      <c r="AI3" s="151" t="s">
        <v>1620</v>
      </c>
      <c r="AJ3" s="155" t="s">
        <v>1621</v>
      </c>
      <c r="AK3" s="155" t="s">
        <v>1622</v>
      </c>
      <c r="AL3" s="159" t="s">
        <v>1623</v>
      </c>
      <c r="AM3" s="155" t="s">
        <v>1624</v>
      </c>
      <c r="AN3" s="155" t="s">
        <v>1625</v>
      </c>
      <c r="AO3" s="159" t="s">
        <v>1626</v>
      </c>
      <c r="AP3" s="159" t="s">
        <v>1627</v>
      </c>
      <c r="AQ3" s="150" t="s">
        <v>1628</v>
      </c>
      <c r="AR3" s="151" t="s">
        <v>1629</v>
      </c>
      <c r="AS3" s="155" t="s">
        <v>1630</v>
      </c>
      <c r="AT3" s="155" t="s">
        <v>1631</v>
      </c>
      <c r="AU3" s="68" t="s">
        <v>1632</v>
      </c>
      <c r="AV3" s="155" t="s">
        <v>1633</v>
      </c>
      <c r="AW3" s="155" t="s">
        <v>1634</v>
      </c>
      <c r="AX3" s="68" t="s">
        <v>1635</v>
      </c>
      <c r="AY3" s="68" t="s">
        <v>1636</v>
      </c>
      <c r="AZ3" s="158" t="s">
        <v>1637</v>
      </c>
      <c r="BA3" s="151" t="s">
        <v>1638</v>
      </c>
      <c r="BB3" s="151" t="s">
        <v>1639</v>
      </c>
      <c r="BC3" s="155" t="s">
        <v>1640</v>
      </c>
      <c r="BD3" s="158" t="s">
        <v>1641</v>
      </c>
      <c r="BE3" s="151" t="s">
        <v>1642</v>
      </c>
      <c r="BF3" s="151" t="s">
        <v>1643</v>
      </c>
      <c r="BG3" s="158" t="s">
        <v>1644</v>
      </c>
      <c r="BH3" s="159" t="s">
        <v>1645</v>
      </c>
      <c r="BI3" s="150" t="s">
        <v>1646</v>
      </c>
      <c r="BJ3" s="151" t="s">
        <v>1647</v>
      </c>
      <c r="BK3" s="155" t="s">
        <v>1648</v>
      </c>
      <c r="BL3" s="155" t="s">
        <v>1649</v>
      </c>
      <c r="BM3" s="68" t="s">
        <v>1650</v>
      </c>
      <c r="BN3" s="155" t="s">
        <v>1651</v>
      </c>
      <c r="BO3" s="155" t="s">
        <v>1652</v>
      </c>
      <c r="BP3" s="68" t="s">
        <v>1653</v>
      </c>
      <c r="BQ3" s="68" t="s">
        <v>1654</v>
      </c>
      <c r="BR3" s="158" t="s">
        <v>1655</v>
      </c>
      <c r="BS3" s="151" t="s">
        <v>1656</v>
      </c>
      <c r="BT3" s="155" t="s">
        <v>1657</v>
      </c>
      <c r="BU3" s="155" t="s">
        <v>1658</v>
      </c>
      <c r="BV3" s="159" t="s">
        <v>1659</v>
      </c>
      <c r="BW3" s="155" t="s">
        <v>1660</v>
      </c>
      <c r="BX3" s="155" t="s">
        <v>1661</v>
      </c>
      <c r="BY3" s="159" t="s">
        <v>1662</v>
      </c>
      <c r="BZ3" s="159" t="s">
        <v>1663</v>
      </c>
      <c r="CA3" s="150" t="s">
        <v>1664</v>
      </c>
      <c r="CB3" s="151" t="s">
        <v>1665</v>
      </c>
      <c r="CC3" s="155" t="s">
        <v>1666</v>
      </c>
      <c r="CD3" s="155" t="s">
        <v>1667</v>
      </c>
      <c r="CE3" s="68" t="s">
        <v>1668</v>
      </c>
      <c r="CF3" s="155" t="s">
        <v>1669</v>
      </c>
      <c r="CG3" s="155" t="s">
        <v>1670</v>
      </c>
      <c r="CH3" s="68" t="s">
        <v>1671</v>
      </c>
      <c r="CI3" s="68" t="s">
        <v>1672</v>
      </c>
      <c r="CJ3" s="158" t="s">
        <v>1673</v>
      </c>
      <c r="CK3" s="151" t="s">
        <v>1674</v>
      </c>
      <c r="CL3" s="155" t="s">
        <v>1675</v>
      </c>
      <c r="CM3" s="155" t="s">
        <v>1676</v>
      </c>
      <c r="CN3" s="159" t="s">
        <v>1677</v>
      </c>
      <c r="CO3" s="155" t="s">
        <v>1678</v>
      </c>
      <c r="CP3" s="155" t="s">
        <v>1679</v>
      </c>
      <c r="CQ3" s="159" t="s">
        <v>1680</v>
      </c>
      <c r="CR3" s="159" t="s">
        <v>1681</v>
      </c>
      <c r="CT3" s="163"/>
      <c r="CU3" s="550" t="s">
        <v>1682</v>
      </c>
      <c r="CV3" s="551"/>
      <c r="CW3" s="551"/>
      <c r="CX3" s="552"/>
      <c r="CY3" s="553" t="s">
        <v>1523</v>
      </c>
      <c r="CZ3" s="554"/>
      <c r="DA3" s="554"/>
      <c r="DB3" s="555"/>
    </row>
    <row r="4" spans="1:123" s="60" customFormat="1" ht="182" x14ac:dyDescent="0.4">
      <c r="A4" s="63" t="s">
        <v>1683</v>
      </c>
      <c r="B4" s="63" t="s">
        <v>1684</v>
      </c>
      <c r="C4" s="4" t="s">
        <v>1685</v>
      </c>
      <c r="D4" s="63" t="s">
        <v>1686</v>
      </c>
      <c r="E4" s="63" t="s">
        <v>1687</v>
      </c>
      <c r="F4" s="152" t="s">
        <v>1688</v>
      </c>
      <c r="G4" s="12" t="s">
        <v>1689</v>
      </c>
      <c r="H4" s="153" t="s">
        <v>1690</v>
      </c>
      <c r="I4" s="156" t="s">
        <v>1691</v>
      </c>
      <c r="J4" s="156" t="s">
        <v>1692</v>
      </c>
      <c r="K4" s="68" t="s">
        <v>1693</v>
      </c>
      <c r="L4" s="155" t="s">
        <v>1694</v>
      </c>
      <c r="M4" s="156" t="s">
        <v>1695</v>
      </c>
      <c r="N4" s="68" t="s">
        <v>1696</v>
      </c>
      <c r="O4" s="68" t="s">
        <v>1697</v>
      </c>
      <c r="P4" s="159"/>
      <c r="Q4" s="155"/>
      <c r="R4" s="156" t="s">
        <v>1698</v>
      </c>
      <c r="S4" s="155"/>
      <c r="T4" s="159"/>
      <c r="U4" s="155" t="s">
        <v>1699</v>
      </c>
      <c r="V4" s="155" t="s">
        <v>1695</v>
      </c>
      <c r="W4" s="159"/>
      <c r="X4" s="159" t="s">
        <v>1700</v>
      </c>
      <c r="Y4" s="12"/>
      <c r="Z4" s="156"/>
      <c r="AA4" s="156" t="s">
        <v>1701</v>
      </c>
      <c r="AB4" s="156"/>
      <c r="AC4" s="160"/>
      <c r="AD4" s="156"/>
      <c r="AE4" s="156"/>
      <c r="AF4" s="160"/>
      <c r="AG4" s="68" t="s">
        <v>1697</v>
      </c>
      <c r="AH4" s="159"/>
      <c r="AI4" s="155"/>
      <c r="AJ4" s="156" t="s">
        <v>1702</v>
      </c>
      <c r="AK4" s="155"/>
      <c r="AL4" s="159"/>
      <c r="AM4" s="155"/>
      <c r="AN4" s="155"/>
      <c r="AO4" s="159"/>
      <c r="AP4" s="159" t="s">
        <v>1700</v>
      </c>
      <c r="AQ4" s="12"/>
      <c r="AR4" s="153"/>
      <c r="AS4" s="156" t="s">
        <v>1703</v>
      </c>
      <c r="AT4" s="156"/>
      <c r="AU4" s="160"/>
      <c r="AV4" s="156"/>
      <c r="AW4" s="156"/>
      <c r="AX4" s="160"/>
      <c r="AY4" s="68" t="s">
        <v>1697</v>
      </c>
      <c r="AZ4" s="159"/>
      <c r="BA4" s="155"/>
      <c r="BB4" s="161" t="s">
        <v>1704</v>
      </c>
      <c r="BC4" s="155"/>
      <c r="BD4" s="157"/>
      <c r="BE4" s="148"/>
      <c r="BF4" s="148"/>
      <c r="BG4" s="157"/>
      <c r="BH4" s="159" t="s">
        <v>1700</v>
      </c>
      <c r="BI4" s="12" t="s">
        <v>1705</v>
      </c>
      <c r="BJ4" s="153" t="s">
        <v>1690</v>
      </c>
      <c r="BK4" s="156" t="s">
        <v>1706</v>
      </c>
      <c r="BL4" s="156" t="s">
        <v>1707</v>
      </c>
      <c r="BM4" s="68" t="s">
        <v>1693</v>
      </c>
      <c r="BN4" s="155" t="s">
        <v>1708</v>
      </c>
      <c r="BO4" s="156" t="s">
        <v>1695</v>
      </c>
      <c r="BP4" s="68"/>
      <c r="BQ4" s="68" t="s">
        <v>1697</v>
      </c>
      <c r="BR4" s="162" t="s">
        <v>1709</v>
      </c>
      <c r="BS4" s="153" t="s">
        <v>1690</v>
      </c>
      <c r="BT4" s="156" t="s">
        <v>1710</v>
      </c>
      <c r="BU4" s="156" t="s">
        <v>1711</v>
      </c>
      <c r="BV4" s="159" t="s">
        <v>1693</v>
      </c>
      <c r="BW4" s="155" t="s">
        <v>1708</v>
      </c>
      <c r="BX4" s="156" t="s">
        <v>1695</v>
      </c>
      <c r="BY4" s="159"/>
      <c r="BZ4" s="159" t="s">
        <v>1700</v>
      </c>
      <c r="CA4" s="12" t="s">
        <v>1712</v>
      </c>
      <c r="CB4" s="153" t="s">
        <v>1690</v>
      </c>
      <c r="CC4" s="156" t="s">
        <v>1713</v>
      </c>
      <c r="CD4" s="156" t="s">
        <v>1714</v>
      </c>
      <c r="CE4" s="68" t="s">
        <v>1693</v>
      </c>
      <c r="CF4" s="155" t="s">
        <v>1708</v>
      </c>
      <c r="CG4" s="156" t="s">
        <v>1695</v>
      </c>
      <c r="CH4" s="68"/>
      <c r="CI4" s="68" t="s">
        <v>1697</v>
      </c>
      <c r="CJ4" s="162" t="s">
        <v>1715</v>
      </c>
      <c r="CK4" s="153" t="s">
        <v>1690</v>
      </c>
      <c r="CL4" s="156" t="s">
        <v>1716</v>
      </c>
      <c r="CM4" s="156" t="s">
        <v>1717</v>
      </c>
      <c r="CN4" s="159" t="s">
        <v>1693</v>
      </c>
      <c r="CO4" s="155" t="s">
        <v>1708</v>
      </c>
      <c r="CP4" s="156" t="s">
        <v>1695</v>
      </c>
      <c r="CQ4" s="159"/>
      <c r="CR4" s="159" t="s">
        <v>1718</v>
      </c>
      <c r="CT4" s="163"/>
      <c r="CU4" s="164" t="s">
        <v>1719</v>
      </c>
      <c r="CV4" s="24" t="s">
        <v>1563</v>
      </c>
      <c r="CW4" s="24" t="s">
        <v>1720</v>
      </c>
      <c r="CX4" s="170" t="s">
        <v>1564</v>
      </c>
      <c r="CY4" s="171" t="s">
        <v>1719</v>
      </c>
      <c r="CZ4" s="24" t="s">
        <v>1563</v>
      </c>
      <c r="DA4" s="24" t="s">
        <v>1482</v>
      </c>
      <c r="DB4" s="170" t="s">
        <v>1721</v>
      </c>
      <c r="DC4" s="175" t="s">
        <v>1722</v>
      </c>
      <c r="DD4" s="175" t="s">
        <v>1723</v>
      </c>
      <c r="DE4" s="176" t="s">
        <v>1724</v>
      </c>
      <c r="DF4" s="177" t="s">
        <v>1725</v>
      </c>
      <c r="DG4" s="178" t="s">
        <v>1708</v>
      </c>
      <c r="DH4" s="179" t="s">
        <v>1726</v>
      </c>
      <c r="DI4" s="104"/>
      <c r="DJ4" s="186"/>
      <c r="DK4" s="104"/>
      <c r="DL4" s="104"/>
      <c r="DM4" s="104"/>
      <c r="DN4" s="188"/>
      <c r="DO4" s="53" t="s">
        <v>1727</v>
      </c>
      <c r="DP4" s="53" t="s">
        <v>1728</v>
      </c>
      <c r="DQ4" s="53" t="s">
        <v>1563</v>
      </c>
      <c r="DR4" s="84" t="s">
        <v>1579</v>
      </c>
      <c r="DS4" s="60" t="s">
        <v>1729</v>
      </c>
    </row>
    <row r="5" spans="1:123" x14ac:dyDescent="0.45">
      <c r="A5" s="2">
        <v>1</v>
      </c>
      <c r="B5" s="2" t="s">
        <v>1730</v>
      </c>
      <c r="C5" s="60" t="s">
        <v>1731</v>
      </c>
      <c r="D5" s="146">
        <v>0</v>
      </c>
      <c r="E5" s="9">
        <f>D6</f>
        <v>100000</v>
      </c>
      <c r="F5" s="146">
        <v>5000</v>
      </c>
      <c r="G5" s="1" t="str">
        <f>CV5&amp;"|"&amp;CW5&amp;"|"&amp;CX5</f>
        <v>2|1204|300</v>
      </c>
      <c r="H5" s="154" t="str">
        <f>CZ5&amp;"|"&amp;DA5&amp;"|"&amp;DB5</f>
        <v>2|1204|60</v>
      </c>
      <c r="I5" s="144">
        <f>DC5</f>
        <v>159000</v>
      </c>
      <c r="J5" s="144">
        <f>DE5</f>
        <v>150000</v>
      </c>
      <c r="K5" s="2">
        <f>DF5</f>
        <v>1</v>
      </c>
      <c r="L5" s="144">
        <f t="shared" ref="L5:M5" si="0">DG5</f>
        <v>1</v>
      </c>
      <c r="M5" s="144">
        <f t="shared" si="0"/>
        <v>0.3</v>
      </c>
      <c r="N5" s="2">
        <v>1</v>
      </c>
      <c r="O5" s="2" t="s">
        <v>1732</v>
      </c>
      <c r="P5" s="1" t="str">
        <f>CV6&amp;"|"&amp;CW6&amp;"|"&amp;CX6</f>
        <v>1|2|2000</v>
      </c>
      <c r="Q5" s="154" t="str">
        <f>CZ6&amp;"|"&amp;DA6&amp;"|"&amp;DB6</f>
        <v>1|2|400</v>
      </c>
      <c r="R5" s="144">
        <f>DC6</f>
        <v>2300</v>
      </c>
      <c r="S5" s="144">
        <f>DE6</f>
        <v>2000</v>
      </c>
      <c r="T5" s="2">
        <f>DF6</f>
        <v>0</v>
      </c>
      <c r="U5" s="144">
        <f t="shared" ref="U5:V5" si="1">DG6</f>
        <v>0.5</v>
      </c>
      <c r="V5" s="144">
        <f t="shared" si="1"/>
        <v>0.75</v>
      </c>
      <c r="W5" s="2">
        <v>2</v>
      </c>
      <c r="X5" s="2" t="s">
        <v>1732</v>
      </c>
      <c r="Y5" s="1" t="str">
        <f>CV7&amp;"|"&amp;CW7&amp;"|"&amp;CX7</f>
        <v>1|2|5000</v>
      </c>
      <c r="Z5" s="144" t="str">
        <f>CZ7&amp;"|"&amp;DA7&amp;"|"&amp;DB7</f>
        <v>1|2|1000</v>
      </c>
      <c r="AA5" s="144">
        <f>DC7</f>
        <v>5750</v>
      </c>
      <c r="AB5" s="144">
        <f>DE7</f>
        <v>5000</v>
      </c>
      <c r="AC5" s="2">
        <f>DF7</f>
        <v>0</v>
      </c>
      <c r="AD5" s="144">
        <f t="shared" ref="AD5:AE5" si="2">DG7</f>
        <v>1</v>
      </c>
      <c r="AE5" s="144">
        <f t="shared" si="2"/>
        <v>0.75</v>
      </c>
      <c r="AF5" s="2">
        <v>3</v>
      </c>
      <c r="AG5" s="2" t="s">
        <v>1732</v>
      </c>
      <c r="AH5" s="1" t="str">
        <f>CV8&amp;"|"&amp;CW8&amp;"|"&amp;CX8</f>
        <v>1|2|8000</v>
      </c>
      <c r="AI5" s="154" t="str">
        <f>CZ8&amp;"|"&amp;DA8&amp;"|"&amp;DB8</f>
        <v>1|2|1600</v>
      </c>
      <c r="AJ5" s="144">
        <f>DC8</f>
        <v>9200</v>
      </c>
      <c r="AK5" s="144">
        <f>DE8</f>
        <v>8000</v>
      </c>
      <c r="AL5" s="2">
        <f>DF8</f>
        <v>0</v>
      </c>
      <c r="AM5" s="144">
        <f t="shared" ref="AM5:AN5" si="3">DG8</f>
        <v>0.8</v>
      </c>
      <c r="AN5" s="144">
        <f t="shared" si="3"/>
        <v>0.75</v>
      </c>
      <c r="AO5" s="2">
        <v>4</v>
      </c>
      <c r="AP5" s="2" t="s">
        <v>1732</v>
      </c>
      <c r="AQ5" s="1" t="str">
        <f>CV9&amp;"|"&amp;CW9&amp;"|"&amp;CX9</f>
        <v>1|2|10000</v>
      </c>
      <c r="AR5" s="154" t="str">
        <f>CZ9&amp;"|"&amp;DA9&amp;"|"&amp;DB9</f>
        <v>1|2|2000</v>
      </c>
      <c r="AS5" s="144">
        <f>DC9</f>
        <v>11000</v>
      </c>
      <c r="AT5" s="144">
        <f>DE9</f>
        <v>10000</v>
      </c>
      <c r="AU5" s="2">
        <f>DF9</f>
        <v>0</v>
      </c>
      <c r="AV5" s="144">
        <f t="shared" ref="AV5:AW5" si="4">DG9</f>
        <v>0.5</v>
      </c>
      <c r="AW5" s="144">
        <f t="shared" si="4"/>
        <v>0.5</v>
      </c>
      <c r="AX5" s="2">
        <v>5</v>
      </c>
      <c r="AY5" s="2" t="s">
        <v>1732</v>
      </c>
      <c r="AZ5" s="1" t="str">
        <f>CV10&amp;"|"&amp;CW10&amp;"|"&amp;CX10</f>
        <v>1|2|15000</v>
      </c>
      <c r="BA5" s="154" t="str">
        <f>CZ10&amp;"|"&amp;DA10&amp;"|"&amp;DB10</f>
        <v>1|2|3000</v>
      </c>
      <c r="BB5" s="144">
        <f>DC10</f>
        <v>15900</v>
      </c>
      <c r="BC5" s="144">
        <f>DE10</f>
        <v>15000</v>
      </c>
      <c r="BD5" s="2">
        <f>DF10</f>
        <v>0</v>
      </c>
      <c r="BE5" s="144">
        <f>DG10</f>
        <v>1</v>
      </c>
      <c r="BF5" s="144">
        <f>DH10</f>
        <v>0.3</v>
      </c>
      <c r="BG5" s="2">
        <v>10</v>
      </c>
      <c r="BH5" s="2" t="s">
        <v>1732</v>
      </c>
      <c r="BI5" s="1" t="str">
        <f>CV11&amp;"|"&amp;CW11&amp;"|"&amp;CX11</f>
        <v>1|2|30000</v>
      </c>
      <c r="BJ5" s="154" t="str">
        <f>CZ11&amp;"|"&amp;DA11&amp;"|"&amp;DB11</f>
        <v>1|2|250</v>
      </c>
      <c r="BK5" s="144">
        <f>DC11</f>
        <v>30000</v>
      </c>
      <c r="BL5" s="144">
        <f>DE11</f>
        <v>30000</v>
      </c>
      <c r="BM5" s="2">
        <f>DF11</f>
        <v>0</v>
      </c>
      <c r="BN5" s="144">
        <f>DG11</f>
        <v>0</v>
      </c>
      <c r="BO5" s="144">
        <f>DH11</f>
        <v>0</v>
      </c>
      <c r="BP5" s="2">
        <v>9</v>
      </c>
      <c r="BQ5" s="2" t="s">
        <v>1732</v>
      </c>
      <c r="BR5" s="1" t="str">
        <f>CV12&amp;"|"&amp;CW12&amp;"|"&amp;CX12</f>
        <v>1|2|50000</v>
      </c>
      <c r="BS5" s="154" t="str">
        <f>CZ12&amp;"|"&amp;DA12&amp;"|"&amp;DB12</f>
        <v>1|2|260</v>
      </c>
      <c r="BT5" s="144">
        <f>DC12</f>
        <v>50000</v>
      </c>
      <c r="BU5" s="144">
        <f>DE12</f>
        <v>50000</v>
      </c>
      <c r="BV5" s="2">
        <f>DF12</f>
        <v>0</v>
      </c>
      <c r="BW5" s="144">
        <f>DG12</f>
        <v>0</v>
      </c>
      <c r="BX5" s="144">
        <f>DH12</f>
        <v>0</v>
      </c>
      <c r="BY5" s="2">
        <v>8</v>
      </c>
      <c r="BZ5" s="2" t="s">
        <v>1732</v>
      </c>
      <c r="CA5" s="1" t="str">
        <f>CV13&amp;"|"&amp;CW13&amp;"|"&amp;CX13</f>
        <v>1|2|75000</v>
      </c>
      <c r="CB5" s="154" t="str">
        <f>CZ13&amp;"|"&amp;DA13&amp;"|"&amp;DB13</f>
        <v>1|2|270</v>
      </c>
      <c r="CC5" s="144">
        <f>DC13</f>
        <v>75000</v>
      </c>
      <c r="CD5" s="144">
        <f>DE13</f>
        <v>75000</v>
      </c>
      <c r="CE5" s="2">
        <f>DF13</f>
        <v>0</v>
      </c>
      <c r="CF5" s="144">
        <f>DG13</f>
        <v>0</v>
      </c>
      <c r="CG5" s="144">
        <f>DH13</f>
        <v>0</v>
      </c>
      <c r="CH5" s="2">
        <v>7</v>
      </c>
      <c r="CI5" s="2" t="s">
        <v>1732</v>
      </c>
      <c r="CJ5" s="1" t="str">
        <f>CV14&amp;"|"&amp;CW14&amp;"|"&amp;CX14</f>
        <v>1|2|100000</v>
      </c>
      <c r="CK5" s="154" t="str">
        <f>CZ14&amp;"|"&amp;DA14&amp;"|"&amp;DB14</f>
        <v>1|2|280</v>
      </c>
      <c r="CL5" s="144">
        <f>DC14</f>
        <v>100000</v>
      </c>
      <c r="CM5" s="144">
        <f>DE14</f>
        <v>100000</v>
      </c>
      <c r="CN5" s="2">
        <f>DF14</f>
        <v>0</v>
      </c>
      <c r="CO5" s="144">
        <f>DG14</f>
        <v>0</v>
      </c>
      <c r="CP5" s="144">
        <f>DH14</f>
        <v>0</v>
      </c>
      <c r="CQ5" s="2">
        <v>6</v>
      </c>
      <c r="CR5" s="2" t="s">
        <v>1732</v>
      </c>
      <c r="CT5" s="556" t="str">
        <f>"抽奖
第1档
"&amp;D5&amp;"~
"&amp;E5</f>
        <v>抽奖
第1档
0~
100000</v>
      </c>
      <c r="CU5" s="165" t="s">
        <v>801</v>
      </c>
      <c r="CV5" s="166">
        <f t="shared" ref="CV5:CV40" si="5">VLOOKUP(CU5,DN:DR,4,0)</f>
        <v>2</v>
      </c>
      <c r="CW5" s="166">
        <f t="shared" ref="CW5:CW44" si="6">VLOOKUP(CU5,DN:DR,5,0)</f>
        <v>1204</v>
      </c>
      <c r="CX5" s="172">
        <v>300</v>
      </c>
      <c r="CY5" s="165" t="str">
        <f>CU5</f>
        <v>福卡</v>
      </c>
      <c r="CZ5" s="166">
        <f>VLOOKUP(CY5,DN:DR,4,0)</f>
        <v>2</v>
      </c>
      <c r="DA5" s="166">
        <f>VLOOKUP(CY5,DN:DR,5,0)</f>
        <v>1204</v>
      </c>
      <c r="DB5" s="172">
        <f t="shared" ref="DB5:DB10" si="7">ROUNDUP(CX5/5,0)</f>
        <v>60</v>
      </c>
      <c r="DC5" s="166">
        <f t="shared" ref="DC5:DC44" si="8">DD5*DH5+DE5</f>
        <v>159000</v>
      </c>
      <c r="DD5" s="166">
        <f t="shared" ref="DD5:DD36" si="9">VLOOKUP(CY5,DN:DR,3,0)/$DP$7*DB5*VLOOKUP(CY5,DN:DS,6,0)</f>
        <v>30000</v>
      </c>
      <c r="DE5" s="180">
        <f t="shared" ref="DE5:DE36" si="10">VLOOKUP(CU5,DN:DR,3,0)/$DP$7*CX5*VLOOKUP(CU5,DN:DS,6,0)</f>
        <v>150000</v>
      </c>
      <c r="DF5" s="181">
        <v>1</v>
      </c>
      <c r="DG5" s="182">
        <v>1</v>
      </c>
      <c r="DH5" s="182">
        <v>0.3</v>
      </c>
      <c r="DI5" s="113"/>
      <c r="DJ5" s="127"/>
      <c r="DK5" s="2">
        <f>CX5*VLOOKUP(CU5,DN:DS,6,0)</f>
        <v>300</v>
      </c>
      <c r="DL5" s="2">
        <f>VLOOKUP(CU5,DN:DR,3,0)</f>
        <v>2.5000000000000001E-2</v>
      </c>
      <c r="DN5" s="16" t="s">
        <v>1733</v>
      </c>
      <c r="DO5" s="2">
        <v>1</v>
      </c>
      <c r="DP5" s="2">
        <v>10</v>
      </c>
      <c r="DQ5" s="2">
        <v>1</v>
      </c>
      <c r="DR5" s="25"/>
      <c r="DS5" s="189">
        <v>1</v>
      </c>
    </row>
    <row r="6" spans="1:123" x14ac:dyDescent="0.45">
      <c r="A6" s="2">
        <v>2</v>
      </c>
      <c r="B6" s="2" t="s">
        <v>1730</v>
      </c>
      <c r="C6" s="60" t="s">
        <v>1734</v>
      </c>
      <c r="D6" s="146">
        <v>100000</v>
      </c>
      <c r="E6" s="9">
        <f>D7</f>
        <v>500000</v>
      </c>
      <c r="F6" s="146">
        <v>100000</v>
      </c>
      <c r="G6" s="1" t="str">
        <f>CV15&amp;"|"&amp;CW15&amp;"|"&amp;CX15</f>
        <v>2|1204|1500</v>
      </c>
      <c r="H6" s="154" t="str">
        <f>CZ15&amp;"|"&amp;DA15&amp;"|"&amp;DB15</f>
        <v>2|1204|300</v>
      </c>
      <c r="I6" s="144">
        <f>DC15</f>
        <v>795000</v>
      </c>
      <c r="J6" s="144">
        <f>DE15</f>
        <v>750000</v>
      </c>
      <c r="K6" s="2">
        <f>DF15</f>
        <v>1</v>
      </c>
      <c r="L6" s="144">
        <f t="shared" ref="L6:M6" si="11">DG15</f>
        <v>1</v>
      </c>
      <c r="M6" s="144">
        <f t="shared" si="11"/>
        <v>0.3</v>
      </c>
      <c r="N6" s="2">
        <v>1</v>
      </c>
      <c r="O6" s="2" t="s">
        <v>1732</v>
      </c>
      <c r="P6" s="1" t="str">
        <f>CV16&amp;"|"&amp;CW16&amp;"|"&amp;CX16</f>
        <v>2|1003|1</v>
      </c>
      <c r="Q6" s="154" t="str">
        <f>CZ16&amp;"|"&amp;DA16&amp;"|"&amp;DB16</f>
        <v>2|1003|1</v>
      </c>
      <c r="R6" s="144">
        <f>DC16</f>
        <v>700000</v>
      </c>
      <c r="S6" s="144">
        <f>DE16</f>
        <v>400000</v>
      </c>
      <c r="T6" s="2">
        <f>DF16</f>
        <v>0</v>
      </c>
      <c r="U6" s="144">
        <f t="shared" ref="U6:V6" si="12">DG16</f>
        <v>0.5</v>
      </c>
      <c r="V6" s="144">
        <f t="shared" si="12"/>
        <v>0.75</v>
      </c>
      <c r="W6" s="2">
        <v>2</v>
      </c>
      <c r="X6" s="2" t="s">
        <v>1732</v>
      </c>
      <c r="Y6" s="1" t="str">
        <f>CV17&amp;"|"&amp;CW17&amp;"|"&amp;CX17</f>
        <v>1|2|60000</v>
      </c>
      <c r="Z6" s="144" t="str">
        <f>CZ17&amp;"|"&amp;DA17&amp;"|"&amp;DB17</f>
        <v>1|2|12000</v>
      </c>
      <c r="AA6" s="144">
        <f>DC17</f>
        <v>69000</v>
      </c>
      <c r="AB6" s="144">
        <f>DE17</f>
        <v>60000</v>
      </c>
      <c r="AC6" s="2">
        <f>DF17</f>
        <v>0</v>
      </c>
      <c r="AD6" s="144">
        <f t="shared" ref="AD6:AE6" si="13">DG17</f>
        <v>1</v>
      </c>
      <c r="AE6" s="144">
        <f t="shared" si="13"/>
        <v>0.75</v>
      </c>
      <c r="AF6" s="2">
        <v>3</v>
      </c>
      <c r="AG6" s="2" t="s">
        <v>1732</v>
      </c>
      <c r="AH6" s="1" t="str">
        <f>CV18&amp;"|"&amp;CW18&amp;"|"&amp;CX18</f>
        <v>1|2|100000</v>
      </c>
      <c r="AI6" s="154" t="str">
        <f>CZ18&amp;"|"&amp;DA18&amp;"|"&amp;DB18</f>
        <v>1|2|20000</v>
      </c>
      <c r="AJ6" s="144">
        <f>DC18</f>
        <v>115000</v>
      </c>
      <c r="AK6" s="144">
        <f>DE18</f>
        <v>100000</v>
      </c>
      <c r="AL6" s="2">
        <f>DF18</f>
        <v>0</v>
      </c>
      <c r="AM6" s="144">
        <f t="shared" ref="AM6:AN6" si="14">DG18</f>
        <v>0.5</v>
      </c>
      <c r="AN6" s="144">
        <f t="shared" si="14"/>
        <v>0.75</v>
      </c>
      <c r="AO6" s="2">
        <v>4</v>
      </c>
      <c r="AP6" s="2" t="s">
        <v>1732</v>
      </c>
      <c r="AQ6" s="1" t="str">
        <f>CV19&amp;"|"&amp;CW19&amp;"|"&amp;CX19</f>
        <v>1|2|150000</v>
      </c>
      <c r="AR6" s="154" t="str">
        <f>CZ19&amp;"|"&amp;DA19&amp;"|"&amp;DB19</f>
        <v>1|2|30000</v>
      </c>
      <c r="AS6" s="144">
        <f>DC19</f>
        <v>165000</v>
      </c>
      <c r="AT6" s="144">
        <f>DE19</f>
        <v>150000</v>
      </c>
      <c r="AU6" s="2">
        <f>DF19</f>
        <v>0</v>
      </c>
      <c r="AV6" s="144">
        <f t="shared" ref="AV6:AW6" si="15">DG19</f>
        <v>0.5</v>
      </c>
      <c r="AW6" s="144">
        <f t="shared" si="15"/>
        <v>0.5</v>
      </c>
      <c r="AX6" s="2">
        <v>5</v>
      </c>
      <c r="AY6" s="2" t="s">
        <v>1732</v>
      </c>
      <c r="AZ6" s="1" t="str">
        <f>CV20&amp;"|"&amp;CW20&amp;"|"&amp;CX20</f>
        <v>1|2|250000</v>
      </c>
      <c r="BA6" s="154" t="str">
        <f>CZ20&amp;"|"&amp;DA20&amp;"|"&amp;DB20</f>
        <v>1|2|50000</v>
      </c>
      <c r="BB6" s="144">
        <f>DC20</f>
        <v>265000</v>
      </c>
      <c r="BC6" s="144">
        <f>DE20</f>
        <v>250000</v>
      </c>
      <c r="BD6" s="2">
        <f>DF20</f>
        <v>0</v>
      </c>
      <c r="BE6" s="144">
        <f t="shared" ref="BE6:BF6" si="16">DG20</f>
        <v>1</v>
      </c>
      <c r="BF6" s="144">
        <f t="shared" si="16"/>
        <v>0.3</v>
      </c>
      <c r="BG6" s="2">
        <v>10</v>
      </c>
      <c r="BH6" s="2" t="s">
        <v>1732</v>
      </c>
      <c r="BI6" s="1" t="str">
        <f>CV21&amp;"|"&amp;CW21&amp;"|"&amp;CX21</f>
        <v>1|2|400000</v>
      </c>
      <c r="BJ6" s="154" t="str">
        <f>CZ21&amp;"|"&amp;DA21&amp;"|"&amp;DB21</f>
        <v>1|2|80000</v>
      </c>
      <c r="BK6" s="144">
        <f>DC21</f>
        <v>400000</v>
      </c>
      <c r="BL6" s="144">
        <f>DE21</f>
        <v>400000</v>
      </c>
      <c r="BM6" s="2">
        <f>DF21</f>
        <v>0</v>
      </c>
      <c r="BN6" s="144">
        <f>DG21</f>
        <v>0</v>
      </c>
      <c r="BO6" s="144">
        <f>DH21</f>
        <v>0</v>
      </c>
      <c r="BP6" s="2">
        <v>9</v>
      </c>
      <c r="BQ6" s="2" t="s">
        <v>1732</v>
      </c>
      <c r="BR6" s="1" t="str">
        <f>CV22&amp;"|"&amp;CW22&amp;"|"&amp;CX22</f>
        <v>1|1|10</v>
      </c>
      <c r="BS6" s="154" t="str">
        <f>CZ22&amp;"|"&amp;DA22&amp;"|"&amp;DB22</f>
        <v>1|1|2</v>
      </c>
      <c r="BT6" s="144">
        <f>DC22</f>
        <v>200000</v>
      </c>
      <c r="BU6" s="144">
        <f>DE22</f>
        <v>200000</v>
      </c>
      <c r="BV6" s="2">
        <f>DF22</f>
        <v>0</v>
      </c>
      <c r="BW6" s="144">
        <f>DG22</f>
        <v>0</v>
      </c>
      <c r="BX6" s="144">
        <f>DH22</f>
        <v>0</v>
      </c>
      <c r="BY6" s="2">
        <v>8</v>
      </c>
      <c r="BZ6" s="2" t="s">
        <v>1732</v>
      </c>
      <c r="CA6" s="1" t="str">
        <f>CV23&amp;"|"&amp;CW23&amp;"|"&amp;CX23</f>
        <v>1|1|20</v>
      </c>
      <c r="CB6" s="154" t="str">
        <f>CZ23&amp;"|"&amp;DA23&amp;"|"&amp;DB23</f>
        <v>1|1|4</v>
      </c>
      <c r="CC6" s="144">
        <f>DC23</f>
        <v>400000</v>
      </c>
      <c r="CD6" s="144">
        <f>DE23</f>
        <v>400000</v>
      </c>
      <c r="CE6" s="2">
        <f>DF23</f>
        <v>0</v>
      </c>
      <c r="CF6" s="144">
        <f>DG23</f>
        <v>0</v>
      </c>
      <c r="CG6" s="144">
        <f>DH23</f>
        <v>0</v>
      </c>
      <c r="CH6" s="2">
        <v>7</v>
      </c>
      <c r="CI6" s="2" t="s">
        <v>1732</v>
      </c>
      <c r="CJ6" s="1" t="str">
        <f>CV24&amp;"|"&amp;CW24&amp;"|"&amp;CX24</f>
        <v>1|2|600000</v>
      </c>
      <c r="CK6" s="154" t="str">
        <f>CZ24&amp;"|"&amp;DA24&amp;"|"&amp;DB24</f>
        <v>1|2|120000</v>
      </c>
      <c r="CL6" s="144">
        <f>DC24</f>
        <v>600000</v>
      </c>
      <c r="CM6" s="144">
        <f>DE24</f>
        <v>600000</v>
      </c>
      <c r="CN6" s="2">
        <f>DF24</f>
        <v>0</v>
      </c>
      <c r="CO6" s="144">
        <f>DG24</f>
        <v>0</v>
      </c>
      <c r="CP6" s="144">
        <f>DH24</f>
        <v>0</v>
      </c>
      <c r="CQ6" s="2">
        <v>6</v>
      </c>
      <c r="CR6" s="2" t="s">
        <v>1732</v>
      </c>
      <c r="CT6" s="557"/>
      <c r="CU6" s="167" t="s">
        <v>103</v>
      </c>
      <c r="CV6" s="9">
        <f t="shared" si="5"/>
        <v>1</v>
      </c>
      <c r="CW6" s="9">
        <f t="shared" si="6"/>
        <v>2</v>
      </c>
      <c r="CX6" s="173">
        <v>2000</v>
      </c>
      <c r="CY6" s="167" t="str">
        <f t="shared" ref="CY6:CY69" si="17">CU6</f>
        <v>金币</v>
      </c>
      <c r="CZ6" s="9">
        <f t="shared" ref="CZ6:CZ10" si="18">VLOOKUP(CY6,DN:DR,4,0)</f>
        <v>1</v>
      </c>
      <c r="DA6" s="9">
        <f t="shared" ref="DA6:DA10" si="19">VLOOKUP(CY6,DN:DR,5,0)</f>
        <v>2</v>
      </c>
      <c r="DB6" s="173">
        <f t="shared" si="7"/>
        <v>400</v>
      </c>
      <c r="DC6" s="9">
        <f t="shared" si="8"/>
        <v>2300</v>
      </c>
      <c r="DD6" s="9">
        <f t="shared" si="9"/>
        <v>400</v>
      </c>
      <c r="DE6" s="9">
        <f t="shared" si="10"/>
        <v>2000</v>
      </c>
      <c r="DF6" s="9">
        <v>0</v>
      </c>
      <c r="DG6" s="183">
        <v>0.5</v>
      </c>
      <c r="DH6" s="183">
        <v>0.75</v>
      </c>
      <c r="DJ6" s="128"/>
      <c r="DL6" s="2">
        <f>200*50*6%*5</f>
        <v>3000</v>
      </c>
      <c r="DN6" s="16" t="s">
        <v>738</v>
      </c>
      <c r="DO6" s="2">
        <f>DO7*20000</f>
        <v>0.1</v>
      </c>
      <c r="DP6" s="2">
        <f>DP7*20000</f>
        <v>1</v>
      </c>
      <c r="DQ6" s="2">
        <v>1</v>
      </c>
      <c r="DR6" s="25">
        <v>1</v>
      </c>
      <c r="DS6" s="189">
        <v>1</v>
      </c>
    </row>
    <row r="7" spans="1:123" x14ac:dyDescent="0.45">
      <c r="A7" s="2">
        <v>3</v>
      </c>
      <c r="B7" s="2" t="s">
        <v>1730</v>
      </c>
      <c r="C7" s="60" t="s">
        <v>1735</v>
      </c>
      <c r="D7" s="146">
        <v>500000</v>
      </c>
      <c r="E7" s="9">
        <f>D8</f>
        <v>1000000</v>
      </c>
      <c r="F7" s="9">
        <v>-1</v>
      </c>
      <c r="G7" s="1" t="str">
        <f>CV25&amp;"|"&amp;CW25&amp;"|"&amp;CX25</f>
        <v>2|1204|3000</v>
      </c>
      <c r="H7" s="154" t="str">
        <f t="shared" ref="H7" si="20">CZ7&amp;"|"&amp;DA7&amp;"|"&amp;DB7</f>
        <v>1|2|1000</v>
      </c>
      <c r="I7" s="144">
        <f>DC25</f>
        <v>1590000</v>
      </c>
      <c r="J7" s="144">
        <f>DE25</f>
        <v>1500000</v>
      </c>
      <c r="K7" s="2">
        <f>DF25</f>
        <v>1</v>
      </c>
      <c r="L7" s="144">
        <f t="shared" ref="L7:M7" si="21">DG25</f>
        <v>1</v>
      </c>
      <c r="M7" s="144">
        <f t="shared" si="21"/>
        <v>0.3</v>
      </c>
      <c r="N7" s="2">
        <v>1</v>
      </c>
      <c r="O7" s="2" t="s">
        <v>1732</v>
      </c>
      <c r="P7" s="1" t="str">
        <f>CV26&amp;"|"&amp;CW26&amp;"|"&amp;CX26</f>
        <v>2|1003|2</v>
      </c>
      <c r="Q7" s="154" t="str">
        <f>CZ26&amp;"|"&amp;DA26&amp;"|"&amp;DB26</f>
        <v>2|1003|1</v>
      </c>
      <c r="R7" s="144">
        <f>DC26</f>
        <v>1100000</v>
      </c>
      <c r="S7" s="144">
        <f>DE26</f>
        <v>800000</v>
      </c>
      <c r="T7" s="2">
        <f>DF26</f>
        <v>0</v>
      </c>
      <c r="U7" s="144">
        <f t="shared" ref="U7:V7" si="22">DG26</f>
        <v>1</v>
      </c>
      <c r="V7" s="144">
        <f t="shared" si="22"/>
        <v>0.75</v>
      </c>
      <c r="W7" s="2">
        <v>2</v>
      </c>
      <c r="X7" s="2" t="s">
        <v>1732</v>
      </c>
      <c r="Y7" s="1" t="str">
        <f>CV27&amp;"|"&amp;CW27&amp;"|"&amp;CX27</f>
        <v>2|1003|2</v>
      </c>
      <c r="Z7" s="144" t="str">
        <f>CZ27&amp;"|"&amp;DA27&amp;"|"&amp;DB27</f>
        <v>2|1003|1</v>
      </c>
      <c r="AA7" s="144">
        <f>DC27</f>
        <v>1100000</v>
      </c>
      <c r="AB7" s="144">
        <f>DE27</f>
        <v>800000</v>
      </c>
      <c r="AC7" s="2">
        <f>DF27</f>
        <v>0</v>
      </c>
      <c r="AD7" s="144">
        <f t="shared" ref="AD7:AE7" si="23">DG27</f>
        <v>0.5</v>
      </c>
      <c r="AE7" s="144">
        <f t="shared" si="23"/>
        <v>0.75</v>
      </c>
      <c r="AF7" s="2">
        <v>3</v>
      </c>
      <c r="AG7" s="2" t="s">
        <v>1732</v>
      </c>
      <c r="AH7" s="1" t="str">
        <f>CV28&amp;"|"&amp;CW28&amp;"|"&amp;CX28</f>
        <v>1|2|375000</v>
      </c>
      <c r="AI7" s="154" t="str">
        <f>CZ28&amp;"|"&amp;DA28&amp;"|"&amp;DB28</f>
        <v>1|2|75000</v>
      </c>
      <c r="AJ7" s="144">
        <f>DC28</f>
        <v>431250</v>
      </c>
      <c r="AK7" s="144">
        <f>DE28</f>
        <v>375000</v>
      </c>
      <c r="AL7" s="2">
        <f>DF28</f>
        <v>0</v>
      </c>
      <c r="AM7" s="144">
        <f t="shared" ref="AM7:AN7" si="24">DG28</f>
        <v>1</v>
      </c>
      <c r="AN7" s="144">
        <f t="shared" si="24"/>
        <v>0.75</v>
      </c>
      <c r="AO7" s="2">
        <v>4</v>
      </c>
      <c r="AP7" s="2" t="s">
        <v>1732</v>
      </c>
      <c r="AQ7" s="1" t="str">
        <f>CV29&amp;"|"&amp;CW29&amp;"|"&amp;CX29</f>
        <v>1|2|500000</v>
      </c>
      <c r="AR7" s="154" t="str">
        <f>CZ29&amp;"|"&amp;DA29&amp;"|"&amp;DB29</f>
        <v>1|2|100000</v>
      </c>
      <c r="AS7" s="144">
        <f>DC29</f>
        <v>550000</v>
      </c>
      <c r="AT7" s="144">
        <f>DE29</f>
        <v>500000</v>
      </c>
      <c r="AU7" s="2">
        <f>DF29</f>
        <v>0</v>
      </c>
      <c r="AV7" s="144">
        <f t="shared" ref="AV7:AW7" si="25">DG29</f>
        <v>1</v>
      </c>
      <c r="AW7" s="144">
        <f t="shared" si="25"/>
        <v>0.5</v>
      </c>
      <c r="AX7" s="2">
        <v>5</v>
      </c>
      <c r="AY7" s="2" t="s">
        <v>1732</v>
      </c>
      <c r="AZ7" s="1" t="str">
        <f>CV30&amp;"|"&amp;CW30&amp;"|"&amp;CX30</f>
        <v>1|2|600000</v>
      </c>
      <c r="BA7" s="154" t="str">
        <f>CZ30&amp;"|"&amp;DA30&amp;"|"&amp;DB30</f>
        <v>1|2|120000</v>
      </c>
      <c r="BB7" s="144">
        <f>DC30</f>
        <v>636000</v>
      </c>
      <c r="BC7" s="144">
        <f>DE30</f>
        <v>600000</v>
      </c>
      <c r="BD7" s="2">
        <f>DF30</f>
        <v>0</v>
      </c>
      <c r="BE7" s="144">
        <f t="shared" ref="BE7:BF7" si="26">DG30</f>
        <v>1</v>
      </c>
      <c r="BF7" s="144">
        <f t="shared" si="26"/>
        <v>0.3</v>
      </c>
      <c r="BG7" s="2">
        <v>10</v>
      </c>
      <c r="BH7" s="2" t="s">
        <v>1732</v>
      </c>
      <c r="BI7" s="1" t="str">
        <f>CV31&amp;"|"&amp;CW31&amp;"|"&amp;CX31</f>
        <v>1|2|750000</v>
      </c>
      <c r="BJ7" s="154" t="str">
        <f>CZ31&amp;"|"&amp;DA31&amp;"|"&amp;DB31</f>
        <v>1|2|100</v>
      </c>
      <c r="BK7" s="144">
        <f>DC31</f>
        <v>750000</v>
      </c>
      <c r="BL7" s="144">
        <f>DE31</f>
        <v>750000</v>
      </c>
      <c r="BM7" s="2">
        <f>DF31</f>
        <v>0</v>
      </c>
      <c r="BN7" s="144">
        <f>DG31</f>
        <v>0</v>
      </c>
      <c r="BO7" s="144">
        <f>DH31</f>
        <v>0</v>
      </c>
      <c r="BP7" s="2">
        <v>9</v>
      </c>
      <c r="BQ7" s="2" t="s">
        <v>1732</v>
      </c>
      <c r="BR7" s="1" t="str">
        <f>CV32&amp;"|"&amp;CW32&amp;"|"&amp;CX32</f>
        <v>1|2|900000</v>
      </c>
      <c r="BS7" s="154" t="str">
        <f>CZ32&amp;"|"&amp;DA32&amp;"|"&amp;DB32</f>
        <v>1|2|101</v>
      </c>
      <c r="BT7" s="144">
        <f>DC32</f>
        <v>900000</v>
      </c>
      <c r="BU7" s="144">
        <f>DE32</f>
        <v>900000</v>
      </c>
      <c r="BV7" s="2">
        <f>DF32</f>
        <v>0</v>
      </c>
      <c r="BW7" s="144">
        <f>DG32</f>
        <v>0</v>
      </c>
      <c r="BX7" s="144">
        <f>DH32</f>
        <v>0</v>
      </c>
      <c r="BY7" s="2">
        <v>8</v>
      </c>
      <c r="BZ7" s="2" t="s">
        <v>1732</v>
      </c>
      <c r="CA7" s="1" t="str">
        <f>CV33&amp;"|"&amp;CW33&amp;"|"&amp;CX33</f>
        <v>1|1|40</v>
      </c>
      <c r="CB7" s="154" t="str">
        <f>CZ33&amp;"|"&amp;DA33&amp;"|"&amp;DB33</f>
        <v>1|1|102</v>
      </c>
      <c r="CC7" s="144">
        <f>DC33</f>
        <v>800000</v>
      </c>
      <c r="CD7" s="144">
        <f>DE33</f>
        <v>800000</v>
      </c>
      <c r="CE7" s="2">
        <f>DF33</f>
        <v>0</v>
      </c>
      <c r="CF7" s="144">
        <f>DG33</f>
        <v>0</v>
      </c>
      <c r="CG7" s="144">
        <f>DH33</f>
        <v>0</v>
      </c>
      <c r="CH7" s="2">
        <v>7</v>
      </c>
      <c r="CI7" s="2" t="s">
        <v>1732</v>
      </c>
      <c r="CJ7" s="1" t="str">
        <f>CV34&amp;"|"&amp;CW34&amp;"|"&amp;CX34</f>
        <v>2|1005|1</v>
      </c>
      <c r="CK7" s="154" t="str">
        <f>CZ34&amp;"|"&amp;DA34&amp;"|"&amp;DB34</f>
        <v>2|1005|103</v>
      </c>
      <c r="CL7" s="144">
        <f>DC34</f>
        <v>1000000</v>
      </c>
      <c r="CM7" s="144">
        <f>DE34</f>
        <v>1000000</v>
      </c>
      <c r="CN7" s="2">
        <f>DF34</f>
        <v>0</v>
      </c>
      <c r="CO7" s="144">
        <f>DG34</f>
        <v>0</v>
      </c>
      <c r="CP7" s="144">
        <f>DH34</f>
        <v>0</v>
      </c>
      <c r="CQ7" s="2">
        <v>6</v>
      </c>
      <c r="CR7" s="2" t="s">
        <v>1732</v>
      </c>
      <c r="CT7" s="557"/>
      <c r="CU7" s="167" t="s">
        <v>103</v>
      </c>
      <c r="CV7" s="9">
        <f t="shared" si="5"/>
        <v>1</v>
      </c>
      <c r="CW7" s="9">
        <f t="shared" si="6"/>
        <v>2</v>
      </c>
      <c r="CX7" s="173">
        <v>5000</v>
      </c>
      <c r="CY7" s="167" t="str">
        <f t="shared" si="17"/>
        <v>金币</v>
      </c>
      <c r="CZ7" s="9">
        <f t="shared" si="18"/>
        <v>1</v>
      </c>
      <c r="DA7" s="9">
        <f t="shared" si="19"/>
        <v>2</v>
      </c>
      <c r="DB7" s="173">
        <f t="shared" si="7"/>
        <v>1000</v>
      </c>
      <c r="DC7" s="9">
        <f t="shared" si="8"/>
        <v>5750</v>
      </c>
      <c r="DD7" s="9">
        <f t="shared" si="9"/>
        <v>1000</v>
      </c>
      <c r="DE7" s="9">
        <f t="shared" si="10"/>
        <v>5000</v>
      </c>
      <c r="DF7" s="9">
        <v>0</v>
      </c>
      <c r="DG7" s="183">
        <v>1</v>
      </c>
      <c r="DH7" s="183">
        <v>0.75</v>
      </c>
      <c r="DJ7" s="128"/>
      <c r="DL7" s="2">
        <f>1000*170*6%*10</f>
        <v>102000</v>
      </c>
      <c r="DN7" s="16" t="s">
        <v>103</v>
      </c>
      <c r="DO7" s="2">
        <f>1/200000</f>
        <v>5.0000000000000004E-6</v>
      </c>
      <c r="DP7" s="2">
        <f>1/20000</f>
        <v>5.0000000000000002E-5</v>
      </c>
      <c r="DQ7" s="2">
        <v>1</v>
      </c>
      <c r="DR7" s="25">
        <v>2</v>
      </c>
      <c r="DS7" s="189">
        <v>1</v>
      </c>
    </row>
    <row r="8" spans="1:123" x14ac:dyDescent="0.45">
      <c r="A8" s="2">
        <v>4</v>
      </c>
      <c r="B8" s="2" t="s">
        <v>1730</v>
      </c>
      <c r="C8" s="60" t="s">
        <v>1736</v>
      </c>
      <c r="D8" s="146">
        <v>1000000</v>
      </c>
      <c r="E8" s="9">
        <f>D9</f>
        <v>2000000</v>
      </c>
      <c r="F8" s="9">
        <v>-1</v>
      </c>
      <c r="G8" s="1" t="str">
        <f>CV35&amp;"|"&amp;CW35&amp;"|"&amp;CX35</f>
        <v>2|1204|5000</v>
      </c>
      <c r="H8" s="154" t="str">
        <f>CZ35&amp;"|"&amp;DA35&amp;"|"&amp;DB35</f>
        <v>2|1204|1000</v>
      </c>
      <c r="I8" s="144">
        <f>DC35</f>
        <v>2650000</v>
      </c>
      <c r="J8" s="144">
        <f>DE35</f>
        <v>2500000</v>
      </c>
      <c r="K8" s="2">
        <f>DF35</f>
        <v>1</v>
      </c>
      <c r="L8" s="144">
        <f t="shared" ref="L8:M8" si="27">DG35</f>
        <v>1</v>
      </c>
      <c r="M8" s="144">
        <f t="shared" si="27"/>
        <v>0.3</v>
      </c>
      <c r="N8" s="2">
        <v>1</v>
      </c>
      <c r="O8" s="2" t="s">
        <v>1732</v>
      </c>
      <c r="P8" s="1" t="str">
        <f>CV36&amp;"|"&amp;CW36&amp;"|"&amp;CX36</f>
        <v>2|1003|2</v>
      </c>
      <c r="Q8" s="154" t="str">
        <f>CZ36&amp;"|"&amp;DA36&amp;"|"&amp;DB36</f>
        <v>2|1003|1</v>
      </c>
      <c r="R8" s="144">
        <f>DC36</f>
        <v>1100000</v>
      </c>
      <c r="S8" s="144">
        <f>DE36</f>
        <v>800000</v>
      </c>
      <c r="T8" s="2">
        <f>DF36</f>
        <v>0</v>
      </c>
      <c r="U8" s="144">
        <f t="shared" ref="U8:V8" si="28">DG36</f>
        <v>1</v>
      </c>
      <c r="V8" s="144">
        <f t="shared" si="28"/>
        <v>0.75</v>
      </c>
      <c r="W8" s="2">
        <v>2</v>
      </c>
      <c r="X8" s="2" t="s">
        <v>1732</v>
      </c>
      <c r="Y8" s="1" t="str">
        <f>CV37&amp;"|"&amp;CW37&amp;"|"&amp;CX37</f>
        <v>2|1003|3</v>
      </c>
      <c r="Z8" s="144" t="str">
        <f>CZ37&amp;"|"&amp;DA37&amp;"|"&amp;DB37</f>
        <v>2|1003|1</v>
      </c>
      <c r="AA8" s="144">
        <f>DC37</f>
        <v>1500000</v>
      </c>
      <c r="AB8" s="144">
        <f>DE37</f>
        <v>1200000</v>
      </c>
      <c r="AC8" s="2">
        <f>DF37</f>
        <v>0</v>
      </c>
      <c r="AD8" s="144">
        <f t="shared" ref="AD8:AE8" si="29">DG37</f>
        <v>0.5</v>
      </c>
      <c r="AE8" s="144">
        <f t="shared" si="29"/>
        <v>0.75</v>
      </c>
      <c r="AF8" s="2">
        <v>3</v>
      </c>
      <c r="AG8" s="2" t="s">
        <v>1732</v>
      </c>
      <c r="AH8" s="1" t="str">
        <f>CV38&amp;"|"&amp;CW38&amp;"|"&amp;CX38</f>
        <v>1|2|750000</v>
      </c>
      <c r="AI8" s="154" t="str">
        <f>CZ38&amp;"|"&amp;DA38&amp;"|"&amp;DB38</f>
        <v>1|2|150000</v>
      </c>
      <c r="AJ8" s="144">
        <f>DC38</f>
        <v>862500</v>
      </c>
      <c r="AK8" s="144">
        <f>DE38</f>
        <v>750000</v>
      </c>
      <c r="AL8" s="2">
        <f>DF38</f>
        <v>0</v>
      </c>
      <c r="AM8" s="144">
        <f t="shared" ref="AM8:AN8" si="30">DG38</f>
        <v>1</v>
      </c>
      <c r="AN8" s="144">
        <f t="shared" si="30"/>
        <v>0.75</v>
      </c>
      <c r="AO8" s="2">
        <v>4</v>
      </c>
      <c r="AP8" s="2" t="s">
        <v>1732</v>
      </c>
      <c r="AQ8" s="1" t="str">
        <f>CV39&amp;"|"&amp;CW39&amp;"|"&amp;CX39</f>
        <v>1|2|1000000</v>
      </c>
      <c r="AR8" s="154" t="str">
        <f>CZ39&amp;"|"&amp;DA39&amp;"|"&amp;DB39</f>
        <v>1|2|200000</v>
      </c>
      <c r="AS8" s="144">
        <f>DC39</f>
        <v>1100000</v>
      </c>
      <c r="AT8" s="144">
        <f>DE39</f>
        <v>1000000</v>
      </c>
      <c r="AU8" s="2">
        <f>DF39</f>
        <v>0</v>
      </c>
      <c r="AV8" s="144">
        <f t="shared" ref="AV8:AW8" si="31">DG39</f>
        <v>1</v>
      </c>
      <c r="AW8" s="144">
        <f t="shared" si="31"/>
        <v>0.5</v>
      </c>
      <c r="AX8" s="2">
        <v>5</v>
      </c>
      <c r="AY8" s="2" t="s">
        <v>1732</v>
      </c>
      <c r="AZ8" s="1" t="str">
        <f>CV40&amp;"|"&amp;CW40&amp;"|"&amp;CX40</f>
        <v>1|2|1250000</v>
      </c>
      <c r="BA8" s="154" t="str">
        <f>CZ40&amp;"|"&amp;DA40&amp;"|"&amp;DB40</f>
        <v>1|2|250000</v>
      </c>
      <c r="BB8" s="144">
        <f>DC40</f>
        <v>1325000</v>
      </c>
      <c r="BC8" s="144">
        <f>DE40</f>
        <v>1250000</v>
      </c>
      <c r="BD8" s="2">
        <f>DF40</f>
        <v>0</v>
      </c>
      <c r="BE8" s="144">
        <f t="shared" ref="BE8:BF8" si="32">DG40</f>
        <v>1</v>
      </c>
      <c r="BF8" s="144">
        <f t="shared" si="32"/>
        <v>0.3</v>
      </c>
      <c r="BG8" s="2">
        <v>10</v>
      </c>
      <c r="BH8" s="2" t="s">
        <v>1732</v>
      </c>
      <c r="BI8" s="1" t="str">
        <f>CV41&amp;"|"&amp;CW41&amp;"|"&amp;CX41</f>
        <v>1|2|1750000</v>
      </c>
      <c r="BJ8" s="154" t="str">
        <f>CZ41&amp;"|"&amp;DA41&amp;"|"&amp;DB41</f>
        <v>1|2|350000</v>
      </c>
      <c r="BK8" s="144">
        <f>DC41</f>
        <v>1750000</v>
      </c>
      <c r="BL8" s="144">
        <f>DE41</f>
        <v>1750000</v>
      </c>
      <c r="BM8" s="2">
        <f>DF41</f>
        <v>0</v>
      </c>
      <c r="BN8" s="144">
        <f>DG41</f>
        <v>0</v>
      </c>
      <c r="BO8" s="144">
        <f>DH41</f>
        <v>0</v>
      </c>
      <c r="BP8" s="2">
        <v>9</v>
      </c>
      <c r="BQ8" s="2" t="s">
        <v>1732</v>
      </c>
      <c r="BR8" s="1" t="str">
        <f>CV42&amp;"|"&amp;CW42&amp;"|"&amp;CX42</f>
        <v>1|1|80</v>
      </c>
      <c r="BS8" s="154" t="str">
        <f>CZ42&amp;"|"&amp;DA42&amp;"|"&amp;DB42</f>
        <v>1|1|16</v>
      </c>
      <c r="BT8" s="144">
        <f>DC42</f>
        <v>1600000</v>
      </c>
      <c r="BU8" s="144">
        <f>DE42</f>
        <v>1600000</v>
      </c>
      <c r="BV8" s="2">
        <f>DF42</f>
        <v>0</v>
      </c>
      <c r="BW8" s="144">
        <f>DG42</f>
        <v>0</v>
      </c>
      <c r="BX8" s="144">
        <f>DH42</f>
        <v>0</v>
      </c>
      <c r="BY8" s="2">
        <v>8</v>
      </c>
      <c r="BZ8" s="2" t="s">
        <v>1732</v>
      </c>
      <c r="CA8" s="1" t="str">
        <f>CV43&amp;"|"&amp;CW43&amp;"|"&amp;CX43</f>
        <v>2|1005|2</v>
      </c>
      <c r="CB8" s="154" t="str">
        <f>CZ43&amp;"|"&amp;DA43&amp;"|"&amp;DB43</f>
        <v>2|1005|1</v>
      </c>
      <c r="CC8" s="144">
        <f>DC43</f>
        <v>2000000</v>
      </c>
      <c r="CD8" s="144">
        <f>DE43</f>
        <v>2000000</v>
      </c>
      <c r="CE8" s="2">
        <f>DF43</f>
        <v>0</v>
      </c>
      <c r="CF8" s="144">
        <f>DG43</f>
        <v>0</v>
      </c>
      <c r="CG8" s="144">
        <f>DH43</f>
        <v>0</v>
      </c>
      <c r="CH8" s="2">
        <v>7</v>
      </c>
      <c r="CI8" s="2" t="s">
        <v>1732</v>
      </c>
      <c r="CJ8" s="1" t="str">
        <f>CV44&amp;"|"&amp;CW44&amp;"|"&amp;CX44</f>
        <v>2|1006|1</v>
      </c>
      <c r="CK8" s="154" t="str">
        <f>CZ44&amp;"|"&amp;DA44&amp;"|"&amp;DB44</f>
        <v>2|1006|1</v>
      </c>
      <c r="CL8" s="144">
        <f>DC44</f>
        <v>2000000</v>
      </c>
      <c r="CM8" s="144">
        <f>DE44</f>
        <v>2000000</v>
      </c>
      <c r="CN8" s="2">
        <f>DF44</f>
        <v>0</v>
      </c>
      <c r="CO8" s="144">
        <f>DG44</f>
        <v>0</v>
      </c>
      <c r="CP8" s="144">
        <f>DH44</f>
        <v>0</v>
      </c>
      <c r="CQ8" s="2">
        <v>6</v>
      </c>
      <c r="CR8" s="2" t="s">
        <v>1732</v>
      </c>
      <c r="CT8" s="557"/>
      <c r="CU8" s="167" t="s">
        <v>103</v>
      </c>
      <c r="CV8" s="9">
        <f t="shared" si="5"/>
        <v>1</v>
      </c>
      <c r="CW8" s="9">
        <f t="shared" si="6"/>
        <v>2</v>
      </c>
      <c r="CX8" s="173">
        <v>8000</v>
      </c>
      <c r="CY8" s="167" t="str">
        <f t="shared" si="17"/>
        <v>金币</v>
      </c>
      <c r="CZ8" s="9">
        <f t="shared" si="18"/>
        <v>1</v>
      </c>
      <c r="DA8" s="9">
        <f t="shared" si="19"/>
        <v>2</v>
      </c>
      <c r="DB8" s="173">
        <f t="shared" si="7"/>
        <v>1600</v>
      </c>
      <c r="DC8" s="9">
        <f t="shared" si="8"/>
        <v>9200</v>
      </c>
      <c r="DD8" s="9">
        <f t="shared" si="9"/>
        <v>1600</v>
      </c>
      <c r="DE8" s="9">
        <f t="shared" si="10"/>
        <v>8000</v>
      </c>
      <c r="DF8" s="9">
        <v>0</v>
      </c>
      <c r="DG8" s="183">
        <v>0.8</v>
      </c>
      <c r="DH8" s="183">
        <v>0.75</v>
      </c>
      <c r="DJ8" s="128"/>
      <c r="DN8" s="16" t="s">
        <v>756</v>
      </c>
      <c r="DO8" s="2">
        <f t="shared" ref="DO8:DO19" si="33">DP8/10</f>
        <v>0.2</v>
      </c>
      <c r="DP8" s="2">
        <v>2</v>
      </c>
      <c r="DQ8" s="2">
        <v>2</v>
      </c>
      <c r="DR8" s="25">
        <v>1001</v>
      </c>
      <c r="DS8" s="189">
        <v>1</v>
      </c>
    </row>
    <row r="9" spans="1:123" x14ac:dyDescent="0.45">
      <c r="A9" s="2">
        <v>5</v>
      </c>
      <c r="B9" s="2" t="s">
        <v>1730</v>
      </c>
      <c r="C9" s="60" t="s">
        <v>1737</v>
      </c>
      <c r="D9" s="146">
        <v>2000000</v>
      </c>
      <c r="E9" s="9">
        <f>D10</f>
        <v>6000000</v>
      </c>
      <c r="F9" s="9">
        <v>-1</v>
      </c>
      <c r="G9" s="1" t="str">
        <f>CV45&amp;"|"&amp;CW45&amp;"|"&amp;CX45</f>
        <v>2|1204|15000</v>
      </c>
      <c r="H9" s="154" t="str">
        <f>CZ45&amp;"|"&amp;DA45&amp;"|"&amp;DB45</f>
        <v>2|1204|3000</v>
      </c>
      <c r="I9" s="144">
        <f>DC45</f>
        <v>7950000</v>
      </c>
      <c r="J9" s="144">
        <f>DE45</f>
        <v>7500000</v>
      </c>
      <c r="K9" s="2">
        <f>DF45</f>
        <v>1</v>
      </c>
      <c r="L9" s="144">
        <f t="shared" ref="L9:M9" si="34">DG45</f>
        <v>1</v>
      </c>
      <c r="M9" s="144">
        <f t="shared" si="34"/>
        <v>0.3</v>
      </c>
      <c r="N9" s="2">
        <v>1</v>
      </c>
      <c r="O9" s="2" t="s">
        <v>492</v>
      </c>
      <c r="P9" s="1" t="str">
        <f>CV46&amp;"|"&amp;CW46&amp;"|"&amp;CX46</f>
        <v>1|2|1500000</v>
      </c>
      <c r="Q9" s="154" t="str">
        <f>CZ46&amp;"|"&amp;DA46&amp;"|"&amp;DB46</f>
        <v>1|2|300000</v>
      </c>
      <c r="R9" s="144">
        <f>DC46</f>
        <v>1725000</v>
      </c>
      <c r="S9" s="144">
        <f>DE46</f>
        <v>1500000</v>
      </c>
      <c r="T9" s="2">
        <f>DF46</f>
        <v>0</v>
      </c>
      <c r="U9" s="144">
        <f t="shared" ref="U9:V9" si="35">DG46</f>
        <v>1</v>
      </c>
      <c r="V9" s="144">
        <f t="shared" si="35"/>
        <v>0.75</v>
      </c>
      <c r="W9" s="2">
        <v>2</v>
      </c>
      <c r="X9" s="2" t="s">
        <v>1732</v>
      </c>
      <c r="Y9" s="1" t="str">
        <f>CV47&amp;"|"&amp;CW47&amp;"|"&amp;CX47</f>
        <v>1|2|2000000</v>
      </c>
      <c r="Z9" s="144" t="str">
        <f>CZ47&amp;"|"&amp;DA47&amp;"|"&amp;DB47</f>
        <v>1|2|400000</v>
      </c>
      <c r="AA9" s="144">
        <f>DC47</f>
        <v>2300000</v>
      </c>
      <c r="AB9" s="144">
        <f>DE47</f>
        <v>2000000</v>
      </c>
      <c r="AC9" s="2">
        <f>DF47</f>
        <v>0</v>
      </c>
      <c r="AD9" s="144">
        <f t="shared" ref="AD9:AE9" si="36">DG47</f>
        <v>0.5</v>
      </c>
      <c r="AE9" s="144">
        <f t="shared" si="36"/>
        <v>0.75</v>
      </c>
      <c r="AF9" s="2">
        <v>3</v>
      </c>
      <c r="AG9" s="2" t="s">
        <v>1732</v>
      </c>
      <c r="AH9" s="1" t="str">
        <f>CV48&amp;"|"&amp;CW48&amp;"|"&amp;CX48</f>
        <v>1|2|2500000</v>
      </c>
      <c r="AI9" s="154" t="str">
        <f>CZ48&amp;"|"&amp;DA48&amp;"|"&amp;DB48</f>
        <v>1|2|500000</v>
      </c>
      <c r="AJ9" s="144">
        <f>DC48</f>
        <v>2875000</v>
      </c>
      <c r="AK9" s="144">
        <f>DE48</f>
        <v>2500000</v>
      </c>
      <c r="AL9" s="2">
        <f>DF48</f>
        <v>0</v>
      </c>
      <c r="AM9" s="144">
        <f t="shared" ref="AM9:AN9" si="37">DG48</f>
        <v>1</v>
      </c>
      <c r="AN9" s="144">
        <f t="shared" si="37"/>
        <v>0.75</v>
      </c>
      <c r="AO9" s="2">
        <v>4</v>
      </c>
      <c r="AP9" s="2" t="s">
        <v>1732</v>
      </c>
      <c r="AQ9" s="1" t="str">
        <f>CV49&amp;"|"&amp;CW49&amp;"|"&amp;CX49</f>
        <v>1|2|3000000</v>
      </c>
      <c r="AR9" s="154" t="str">
        <f>CZ49&amp;"|"&amp;DA49&amp;"|"&amp;DB49</f>
        <v>1|2|600000</v>
      </c>
      <c r="AS9" s="144">
        <f>DC49</f>
        <v>3300000</v>
      </c>
      <c r="AT9" s="144">
        <f>DE49</f>
        <v>3000000</v>
      </c>
      <c r="AU9" s="2">
        <f>DF49</f>
        <v>0</v>
      </c>
      <c r="AV9" s="144">
        <f t="shared" ref="AV9:AW9" si="38">DG49</f>
        <v>1</v>
      </c>
      <c r="AW9" s="144">
        <f t="shared" si="38"/>
        <v>0.5</v>
      </c>
      <c r="AX9" s="2">
        <v>5</v>
      </c>
      <c r="AY9" s="2" t="s">
        <v>1732</v>
      </c>
      <c r="AZ9" s="1" t="str">
        <f>CV50&amp;"|"&amp;CW50&amp;"|"&amp;CX50</f>
        <v>1|2|3500000</v>
      </c>
      <c r="BA9" s="154" t="str">
        <f>CZ50&amp;"|"&amp;DA50&amp;"|"&amp;DB50</f>
        <v>1|2|700000</v>
      </c>
      <c r="BB9" s="144">
        <f>DC50</f>
        <v>3710000</v>
      </c>
      <c r="BC9" s="144">
        <f>DE50</f>
        <v>3500000</v>
      </c>
      <c r="BD9" s="2">
        <f>DF50</f>
        <v>0</v>
      </c>
      <c r="BE9" s="144">
        <f t="shared" ref="BE9:BF9" si="39">DG50</f>
        <v>1</v>
      </c>
      <c r="BF9" s="144">
        <f t="shared" si="39"/>
        <v>0.3</v>
      </c>
      <c r="BG9" s="2">
        <v>10</v>
      </c>
      <c r="BH9" s="2" t="s">
        <v>1402</v>
      </c>
      <c r="BI9" s="1" t="str">
        <f>CV51&amp;"|"&amp;CW51&amp;"|"&amp;CX51</f>
        <v>1|2|4500000</v>
      </c>
      <c r="BJ9" s="154" t="str">
        <f>CZ51&amp;"|"&amp;DA51&amp;"|"&amp;DB51</f>
        <v>1|2|900000</v>
      </c>
      <c r="BK9" s="144">
        <f>DC51</f>
        <v>4500000</v>
      </c>
      <c r="BL9" s="144">
        <f>DE51</f>
        <v>4500000</v>
      </c>
      <c r="BM9" s="2">
        <f>DF51</f>
        <v>0</v>
      </c>
      <c r="BN9" s="144">
        <f>DG51</f>
        <v>0</v>
      </c>
      <c r="BO9" s="144">
        <f>DH51</f>
        <v>0</v>
      </c>
      <c r="BP9" s="2">
        <v>9</v>
      </c>
      <c r="BQ9" s="2" t="s">
        <v>1402</v>
      </c>
      <c r="BR9" s="1" t="str">
        <f>CV52&amp;"|"&amp;CW52&amp;"|"&amp;CX52</f>
        <v>1|1|200</v>
      </c>
      <c r="BS9" s="154" t="str">
        <f>CZ52&amp;"|"&amp;DA52&amp;"|"&amp;DB52</f>
        <v>1|1|40</v>
      </c>
      <c r="BT9" s="144">
        <f>DC52</f>
        <v>4000000</v>
      </c>
      <c r="BU9" s="144">
        <f>DE52</f>
        <v>4000000</v>
      </c>
      <c r="BV9" s="2">
        <f>DF52</f>
        <v>0</v>
      </c>
      <c r="BW9" s="144">
        <f>DG52</f>
        <v>0</v>
      </c>
      <c r="BX9" s="144">
        <f>DH52</f>
        <v>0</v>
      </c>
      <c r="BY9" s="2">
        <v>8</v>
      </c>
      <c r="BZ9" s="2" t="s">
        <v>1732</v>
      </c>
      <c r="CA9" s="1" t="str">
        <f>CV53&amp;"|"&amp;CW53&amp;"|"&amp;CX53</f>
        <v>2|1006|3</v>
      </c>
      <c r="CB9" s="154" t="str">
        <f>CZ53&amp;"|"&amp;DA53&amp;"|"&amp;DB53</f>
        <v>2|1006|1</v>
      </c>
      <c r="CC9" s="144">
        <f>DC53</f>
        <v>6000000</v>
      </c>
      <c r="CD9" s="144">
        <f>DE53</f>
        <v>6000000</v>
      </c>
      <c r="CE9" s="2">
        <f>DF53</f>
        <v>0</v>
      </c>
      <c r="CF9" s="144">
        <f>DG53</f>
        <v>0</v>
      </c>
      <c r="CG9" s="144">
        <f>DH53</f>
        <v>0</v>
      </c>
      <c r="CH9" s="2">
        <v>7</v>
      </c>
      <c r="CI9" s="2" t="s">
        <v>1402</v>
      </c>
      <c r="CJ9" s="1" t="str">
        <f>CV54&amp;"|"&amp;CW54&amp;"|"&amp;CX54</f>
        <v>2|1007|2</v>
      </c>
      <c r="CK9" s="154" t="str">
        <f>CZ54&amp;"|"&amp;DA54&amp;"|"&amp;DB54</f>
        <v>2|1007|1</v>
      </c>
      <c r="CL9" s="144">
        <f>DC54</f>
        <v>10000000</v>
      </c>
      <c r="CM9" s="144">
        <f>DE54</f>
        <v>10000000</v>
      </c>
      <c r="CN9" s="2">
        <f>DF54</f>
        <v>0</v>
      </c>
      <c r="CO9" s="144">
        <f>DG54</f>
        <v>0</v>
      </c>
      <c r="CP9" s="144">
        <f>DH54</f>
        <v>0</v>
      </c>
      <c r="CQ9" s="2">
        <v>6</v>
      </c>
      <c r="CR9" s="2" t="s">
        <v>1402</v>
      </c>
      <c r="CT9" s="557"/>
      <c r="CU9" s="167" t="s">
        <v>103</v>
      </c>
      <c r="CV9" s="9">
        <f t="shared" si="5"/>
        <v>1</v>
      </c>
      <c r="CW9" s="9">
        <f t="shared" si="6"/>
        <v>2</v>
      </c>
      <c r="CX9" s="173">
        <v>10000</v>
      </c>
      <c r="CY9" s="167" t="str">
        <f t="shared" si="17"/>
        <v>金币</v>
      </c>
      <c r="CZ9" s="9">
        <f t="shared" si="18"/>
        <v>1</v>
      </c>
      <c r="DA9" s="9">
        <f t="shared" si="19"/>
        <v>2</v>
      </c>
      <c r="DB9" s="173">
        <f t="shared" si="7"/>
        <v>2000</v>
      </c>
      <c r="DC9" s="9">
        <f t="shared" si="8"/>
        <v>11000</v>
      </c>
      <c r="DD9" s="9">
        <f t="shared" si="9"/>
        <v>2000</v>
      </c>
      <c r="DE9" s="9">
        <f t="shared" si="10"/>
        <v>10000</v>
      </c>
      <c r="DF9" s="9">
        <v>0</v>
      </c>
      <c r="DG9" s="183">
        <v>0.5</v>
      </c>
      <c r="DH9" s="184">
        <v>0.5</v>
      </c>
      <c r="DJ9" s="128"/>
      <c r="DN9" s="16" t="s">
        <v>760</v>
      </c>
      <c r="DO9" s="2">
        <f t="shared" si="33"/>
        <v>0.5</v>
      </c>
      <c r="DP9" s="2">
        <v>5</v>
      </c>
      <c r="DQ9" s="2">
        <v>2</v>
      </c>
      <c r="DR9" s="25">
        <v>1002</v>
      </c>
      <c r="DS9" s="189">
        <v>1</v>
      </c>
    </row>
    <row r="10" spans="1:123" x14ac:dyDescent="0.45">
      <c r="A10" s="2">
        <v>6</v>
      </c>
      <c r="B10" s="2" t="s">
        <v>1730</v>
      </c>
      <c r="C10" s="60" t="s">
        <v>1738</v>
      </c>
      <c r="D10" s="146">
        <v>6000000</v>
      </c>
      <c r="E10" s="9">
        <f t="shared" ref="E10:E11" si="40">D11</f>
        <v>12000000</v>
      </c>
      <c r="F10" s="9">
        <v>-1</v>
      </c>
      <c r="G10" s="1" t="str">
        <f>CV55&amp;"|"&amp;CW55&amp;"|"&amp;CX55</f>
        <v>2|1204|30000</v>
      </c>
      <c r="H10" s="154" t="str">
        <f>CZ55&amp;"|"&amp;DA55&amp;"|"&amp;DB55</f>
        <v>2|1204|6000</v>
      </c>
      <c r="I10" s="144">
        <f>DC55</f>
        <v>15900000</v>
      </c>
      <c r="J10" s="144">
        <f>DE55</f>
        <v>15000000</v>
      </c>
      <c r="K10" s="2">
        <f>DF55</f>
        <v>1</v>
      </c>
      <c r="L10" s="144">
        <f t="shared" ref="L10:M10" si="41">DG55</f>
        <v>1</v>
      </c>
      <c r="M10" s="144">
        <f t="shared" si="41"/>
        <v>0.3</v>
      </c>
      <c r="N10" s="2">
        <v>1</v>
      </c>
      <c r="O10" s="2" t="s">
        <v>1494</v>
      </c>
      <c r="P10" s="1" t="str">
        <f>CV56&amp;"|"&amp;CW56&amp;"|"&amp;CX56</f>
        <v>1|2|4000000</v>
      </c>
      <c r="Q10" s="154" t="str">
        <f>CZ56&amp;"|"&amp;DA56&amp;"|"&amp;DB56</f>
        <v>1|2|800000</v>
      </c>
      <c r="R10" s="144">
        <f>DC56</f>
        <v>4600000</v>
      </c>
      <c r="S10" s="144">
        <f>DE56</f>
        <v>4000000</v>
      </c>
      <c r="T10" s="2">
        <f>DF56</f>
        <v>0</v>
      </c>
      <c r="U10" s="144">
        <f t="shared" ref="U10:V10" si="42">DG56</f>
        <v>0.5</v>
      </c>
      <c r="V10" s="144">
        <f t="shared" si="42"/>
        <v>0.75</v>
      </c>
      <c r="W10" s="2">
        <v>2</v>
      </c>
      <c r="X10" s="2" t="s">
        <v>492</v>
      </c>
      <c r="Y10" s="1" t="str">
        <f>CV57&amp;"|"&amp;CW57&amp;"|"&amp;CX57</f>
        <v>1|2|5000000</v>
      </c>
      <c r="Z10" s="144" t="str">
        <f>CZ57&amp;"|"&amp;DA57&amp;"|"&amp;DB57</f>
        <v>1|2|1000000</v>
      </c>
      <c r="AA10" s="144">
        <f>DC57</f>
        <v>5750000</v>
      </c>
      <c r="AB10" s="144">
        <f>DE57</f>
        <v>5000000</v>
      </c>
      <c r="AC10" s="2">
        <f>DF57</f>
        <v>0</v>
      </c>
      <c r="AD10" s="144">
        <f t="shared" ref="AD10:AE10" si="43">DG57</f>
        <v>1</v>
      </c>
      <c r="AE10" s="144">
        <f t="shared" si="43"/>
        <v>0.75</v>
      </c>
      <c r="AF10" s="2">
        <v>3</v>
      </c>
      <c r="AG10" s="2" t="s">
        <v>1732</v>
      </c>
      <c r="AH10" s="1" t="str">
        <f>CV58&amp;"|"&amp;CW58&amp;"|"&amp;CX58</f>
        <v>1|2|6000000</v>
      </c>
      <c r="AI10" s="154" t="str">
        <f>CZ58&amp;"|"&amp;DA58&amp;"|"&amp;DB58</f>
        <v>1|2|1200000</v>
      </c>
      <c r="AJ10" s="144">
        <f>DC58</f>
        <v>6900000</v>
      </c>
      <c r="AK10" s="144">
        <f>DE58</f>
        <v>6000000</v>
      </c>
      <c r="AL10" s="2">
        <f>DF58</f>
        <v>0</v>
      </c>
      <c r="AM10" s="144">
        <f t="shared" ref="AM10:AN10" si="44">DG58</f>
        <v>1</v>
      </c>
      <c r="AN10" s="144">
        <f t="shared" si="44"/>
        <v>0.75</v>
      </c>
      <c r="AO10" s="2">
        <v>4</v>
      </c>
      <c r="AP10" s="2" t="s">
        <v>1732</v>
      </c>
      <c r="AQ10" s="1" t="str">
        <f>CV59&amp;"|"&amp;CW59&amp;"|"&amp;CX59</f>
        <v>1|2|7500000</v>
      </c>
      <c r="AR10" s="154" t="str">
        <f>CZ59&amp;"|"&amp;DA59&amp;"|"&amp;DB59</f>
        <v>1|2|1500000</v>
      </c>
      <c r="AS10" s="144">
        <f>DC59</f>
        <v>8250000</v>
      </c>
      <c r="AT10" s="144">
        <f>DE59</f>
        <v>7500000</v>
      </c>
      <c r="AU10" s="2">
        <f>DF59</f>
        <v>0</v>
      </c>
      <c r="AV10" s="144">
        <f t="shared" ref="AV10:AW10" si="45">DG59</f>
        <v>1</v>
      </c>
      <c r="AW10" s="144">
        <f t="shared" si="45"/>
        <v>0.5</v>
      </c>
      <c r="AX10" s="2">
        <v>5</v>
      </c>
      <c r="AY10" s="2" t="s">
        <v>492</v>
      </c>
      <c r="AZ10" s="1" t="str">
        <f>CV60&amp;"|"&amp;CW60&amp;"|"&amp;CX60</f>
        <v>1|2|9000000</v>
      </c>
      <c r="BA10" s="154" t="str">
        <f>CZ60&amp;"|"&amp;DA60&amp;"|"&amp;DB60</f>
        <v>1|2|1800000</v>
      </c>
      <c r="BB10" s="144">
        <f>DC60</f>
        <v>9540000</v>
      </c>
      <c r="BC10" s="144">
        <f>DE60</f>
        <v>9000000</v>
      </c>
      <c r="BD10" s="2">
        <f>DF60</f>
        <v>0</v>
      </c>
      <c r="BE10" s="144">
        <f t="shared" ref="BE10:BF10" si="46">DG60</f>
        <v>1</v>
      </c>
      <c r="BF10" s="144">
        <f t="shared" si="46"/>
        <v>0.3</v>
      </c>
      <c r="BG10" s="2">
        <v>10</v>
      </c>
      <c r="BH10" s="2" t="s">
        <v>1402</v>
      </c>
      <c r="BI10" s="1" t="str">
        <f>CV61&amp;"|"&amp;CW61&amp;"|"&amp;CX61</f>
        <v>1|2|11000000</v>
      </c>
      <c r="BJ10" s="154" t="str">
        <f>CZ61&amp;"|"&amp;DA61&amp;"|"&amp;DB61</f>
        <v>1|2|2200000</v>
      </c>
      <c r="BK10" s="144">
        <f>DC61</f>
        <v>11000000</v>
      </c>
      <c r="BL10" s="144">
        <f>DE61</f>
        <v>11000000</v>
      </c>
      <c r="BM10" s="2">
        <f>DF61</f>
        <v>0</v>
      </c>
      <c r="BN10" s="144">
        <f>DG61</f>
        <v>0</v>
      </c>
      <c r="BO10" s="144">
        <f>DH61</f>
        <v>0</v>
      </c>
      <c r="BP10" s="2">
        <v>9</v>
      </c>
      <c r="BQ10" s="2" t="s">
        <v>492</v>
      </c>
      <c r="BR10" s="1" t="str">
        <f>CV62&amp;"|"&amp;CW62&amp;"|"&amp;CX62</f>
        <v>1|1|400</v>
      </c>
      <c r="BS10" s="154" t="str">
        <f>CZ62&amp;"|"&amp;DA62&amp;"|"&amp;DB62</f>
        <v>1|1|80</v>
      </c>
      <c r="BT10" s="144">
        <f>DC62</f>
        <v>8000000</v>
      </c>
      <c r="BU10" s="144">
        <f>DE62</f>
        <v>8000000</v>
      </c>
      <c r="BV10" s="2">
        <f>DF62</f>
        <v>0</v>
      </c>
      <c r="BW10" s="144">
        <f>DG62</f>
        <v>0</v>
      </c>
      <c r="BX10" s="144">
        <f>DH62</f>
        <v>0</v>
      </c>
      <c r="BY10" s="2">
        <v>8</v>
      </c>
      <c r="BZ10" s="2" t="s">
        <v>1732</v>
      </c>
      <c r="CA10" s="1" t="str">
        <f>CV63&amp;"|"&amp;CW63&amp;"|"&amp;CX63</f>
        <v>2|1007|2</v>
      </c>
      <c r="CB10" s="154" t="str">
        <f>CZ63&amp;"|"&amp;DA63&amp;"|"&amp;DB63</f>
        <v>2|1007|1</v>
      </c>
      <c r="CC10" s="144">
        <f>DC63</f>
        <v>10000000</v>
      </c>
      <c r="CD10" s="144">
        <f>DE63</f>
        <v>10000000</v>
      </c>
      <c r="CE10" s="2">
        <f>DF63</f>
        <v>0</v>
      </c>
      <c r="CF10" s="144">
        <f>DG63</f>
        <v>0</v>
      </c>
      <c r="CG10" s="144">
        <f>DH63</f>
        <v>0</v>
      </c>
      <c r="CH10" s="2">
        <v>7</v>
      </c>
      <c r="CI10" s="2" t="s">
        <v>1402</v>
      </c>
      <c r="CJ10" s="1" t="str">
        <f>CV64&amp;"|"&amp;CW64&amp;"|"&amp;CX64</f>
        <v>2|1008|2</v>
      </c>
      <c r="CK10" s="154" t="str">
        <f>CZ64&amp;"|"&amp;DA64&amp;"|"&amp;DB64</f>
        <v>2|1008|1</v>
      </c>
      <c r="CL10" s="144">
        <f>DC64</f>
        <v>20000000</v>
      </c>
      <c r="CM10" s="144">
        <f>DE64</f>
        <v>20000000</v>
      </c>
      <c r="CN10" s="2">
        <f>DF64</f>
        <v>0</v>
      </c>
      <c r="CO10" s="144">
        <f>DG64</f>
        <v>0</v>
      </c>
      <c r="CP10" s="144">
        <f>DH64</f>
        <v>0</v>
      </c>
      <c r="CQ10" s="2">
        <v>6</v>
      </c>
      <c r="CR10" s="2" t="s">
        <v>1402</v>
      </c>
      <c r="CT10" s="557"/>
      <c r="CU10" s="167" t="s">
        <v>103</v>
      </c>
      <c r="CV10" s="9">
        <f t="shared" si="5"/>
        <v>1</v>
      </c>
      <c r="CW10" s="9">
        <f t="shared" si="6"/>
        <v>2</v>
      </c>
      <c r="CX10" s="173">
        <v>15000</v>
      </c>
      <c r="CY10" s="167" t="str">
        <f t="shared" si="17"/>
        <v>金币</v>
      </c>
      <c r="CZ10" s="9">
        <f t="shared" si="18"/>
        <v>1</v>
      </c>
      <c r="DA10" s="9">
        <f t="shared" si="19"/>
        <v>2</v>
      </c>
      <c r="DB10" s="173">
        <f t="shared" si="7"/>
        <v>3000</v>
      </c>
      <c r="DC10" s="9">
        <f t="shared" si="8"/>
        <v>15900</v>
      </c>
      <c r="DD10" s="9">
        <f t="shared" si="9"/>
        <v>3000</v>
      </c>
      <c r="DE10" s="9">
        <f t="shared" si="10"/>
        <v>15000</v>
      </c>
      <c r="DF10" s="9">
        <v>0</v>
      </c>
      <c r="DG10" s="183">
        <v>1</v>
      </c>
      <c r="DH10" s="184">
        <v>0.3</v>
      </c>
      <c r="DJ10" s="128"/>
      <c r="DN10" s="16" t="s">
        <v>764</v>
      </c>
      <c r="DO10" s="2">
        <f t="shared" si="33"/>
        <v>2</v>
      </c>
      <c r="DP10" s="2">
        <v>20</v>
      </c>
      <c r="DQ10" s="2">
        <v>2</v>
      </c>
      <c r="DR10" s="25">
        <v>1003</v>
      </c>
      <c r="DS10" s="189">
        <v>1</v>
      </c>
    </row>
    <row r="11" spans="1:123" ht="16.5" customHeight="1" x14ac:dyDescent="0.45">
      <c r="A11" s="2">
        <v>7</v>
      </c>
      <c r="B11" s="2" t="s">
        <v>1739</v>
      </c>
      <c r="C11" s="60" t="s">
        <v>1740</v>
      </c>
      <c r="D11" s="146">
        <v>12000000</v>
      </c>
      <c r="E11" s="9">
        <f t="shared" si="40"/>
        <v>24000000</v>
      </c>
      <c r="F11" s="9">
        <v>-1</v>
      </c>
      <c r="G11" s="1" t="str">
        <f>CV65&amp;"|"&amp;CW65&amp;"|"&amp;CX65</f>
        <v>2|1008|4</v>
      </c>
      <c r="H11" s="154" t="str">
        <f>CZ65&amp;"|"&amp;DA65&amp;"|"&amp;DB65</f>
        <v>2|1008|1</v>
      </c>
      <c r="I11" s="144">
        <f>DC65</f>
        <v>43000000</v>
      </c>
      <c r="J11" s="144">
        <f>DE65</f>
        <v>40000000</v>
      </c>
      <c r="K11" s="2">
        <f>DF65</f>
        <v>1</v>
      </c>
      <c r="L11" s="144">
        <f>DG65</f>
        <v>1</v>
      </c>
      <c r="M11" s="144">
        <f>DH65</f>
        <v>0.3</v>
      </c>
      <c r="N11" s="2">
        <v>1</v>
      </c>
      <c r="O11" s="2" t="s">
        <v>492</v>
      </c>
      <c r="P11" s="1" t="str">
        <f>CV66&amp;"|"&amp;CW66&amp;"|"&amp;CX66</f>
        <v>1|2|9000000</v>
      </c>
      <c r="Q11" s="154" t="str">
        <f>CZ66&amp;"|"&amp;DA66&amp;"|"&amp;DB66</f>
        <v>1|2|1800000</v>
      </c>
      <c r="R11" s="144">
        <f>DC66</f>
        <v>10350000</v>
      </c>
      <c r="S11" s="144">
        <f>DE66</f>
        <v>9000000</v>
      </c>
      <c r="T11" s="2">
        <f>DF66</f>
        <v>0</v>
      </c>
      <c r="U11" s="144">
        <f>DG66</f>
        <v>0.5</v>
      </c>
      <c r="V11" s="144">
        <f>DH66</f>
        <v>0.75</v>
      </c>
      <c r="W11" s="2">
        <v>2</v>
      </c>
      <c r="X11" s="2" t="s">
        <v>492</v>
      </c>
      <c r="Y11" s="1" t="str">
        <f>CV67&amp;"|"&amp;CW67&amp;"|"&amp;CX67</f>
        <v>1|2|10000000</v>
      </c>
      <c r="Z11" s="144" t="str">
        <f>CZ67&amp;"|"&amp;DA67&amp;"|"&amp;DB67</f>
        <v>1|2|2000000</v>
      </c>
      <c r="AA11" s="144">
        <f>DC67</f>
        <v>11500000</v>
      </c>
      <c r="AB11" s="144">
        <f>DE67</f>
        <v>10000000</v>
      </c>
      <c r="AC11" s="2">
        <f>DF67</f>
        <v>0</v>
      </c>
      <c r="AD11" s="144">
        <f>DG67</f>
        <v>1</v>
      </c>
      <c r="AE11" s="144">
        <f>DH67</f>
        <v>0.75</v>
      </c>
      <c r="AF11" s="2">
        <v>3</v>
      </c>
      <c r="AG11" s="2" t="s">
        <v>492</v>
      </c>
      <c r="AH11" s="1" t="str">
        <f>CV68&amp;"|"&amp;CW68&amp;"|"&amp;CX68</f>
        <v>1|2|12500000</v>
      </c>
      <c r="AI11" s="154" t="str">
        <f>CZ68&amp;"|"&amp;DA68&amp;"|"&amp;DB68</f>
        <v>1|2|2500000</v>
      </c>
      <c r="AJ11" s="144">
        <f>DC68</f>
        <v>14375000</v>
      </c>
      <c r="AK11" s="144">
        <f>DE68</f>
        <v>12500000</v>
      </c>
      <c r="AL11" s="2">
        <f>DF68</f>
        <v>0</v>
      </c>
      <c r="AM11" s="144">
        <f>DG68</f>
        <v>1</v>
      </c>
      <c r="AN11" s="144">
        <f>DH68</f>
        <v>0.75</v>
      </c>
      <c r="AO11" s="2">
        <v>4</v>
      </c>
      <c r="AP11" s="2" t="s">
        <v>492</v>
      </c>
      <c r="AQ11" s="1" t="str">
        <f>CV69&amp;"|"&amp;CW69&amp;"|"&amp;CX69</f>
        <v>1|2|15000000</v>
      </c>
      <c r="AR11" s="154" t="str">
        <f>CZ69&amp;"|"&amp;DA69&amp;"|"&amp;DB69</f>
        <v>1|2|3000000</v>
      </c>
      <c r="AS11" s="144">
        <f>DC69</f>
        <v>16500000</v>
      </c>
      <c r="AT11" s="144">
        <f>DE69</f>
        <v>15000000</v>
      </c>
      <c r="AU11" s="2">
        <f>DF69</f>
        <v>0</v>
      </c>
      <c r="AV11" s="144">
        <f>DG69</f>
        <v>1</v>
      </c>
      <c r="AW11" s="144">
        <f>DH69</f>
        <v>0.5</v>
      </c>
      <c r="AX11" s="2">
        <v>5</v>
      </c>
      <c r="AY11" s="2" t="s">
        <v>492</v>
      </c>
      <c r="AZ11" s="1" t="str">
        <f>CV70&amp;"|"&amp;CW70&amp;"|"&amp;CX70</f>
        <v>1|2|17500000</v>
      </c>
      <c r="BA11" s="154" t="str">
        <f>CZ70&amp;"|"&amp;DA70&amp;"|"&amp;DB70</f>
        <v>1|2|3500000</v>
      </c>
      <c r="BB11" s="144">
        <f>DC70</f>
        <v>18550000</v>
      </c>
      <c r="BC11" s="144">
        <f>DE70</f>
        <v>17500000</v>
      </c>
      <c r="BD11" s="2">
        <f>DF70</f>
        <v>0</v>
      </c>
      <c r="BE11" s="144">
        <f>DG70</f>
        <v>1</v>
      </c>
      <c r="BF11" s="144">
        <f>DH70</f>
        <v>0.3</v>
      </c>
      <c r="BG11" s="2">
        <v>10</v>
      </c>
      <c r="BH11" s="2" t="s">
        <v>492</v>
      </c>
      <c r="BI11" s="1" t="str">
        <f>CV71&amp;"|"&amp;CW71&amp;"|"&amp;CX71</f>
        <v>1|2|20000000</v>
      </c>
      <c r="BJ11" s="154" t="str">
        <f>CZ71&amp;"|"&amp;DA71&amp;"|"&amp;DB71</f>
        <v>1|2|4000000</v>
      </c>
      <c r="BK11" s="144">
        <f>DC71</f>
        <v>20000000</v>
      </c>
      <c r="BL11" s="144">
        <f>DE71</f>
        <v>20000000</v>
      </c>
      <c r="BM11" s="2">
        <f>DF71</f>
        <v>0</v>
      </c>
      <c r="BN11" s="144">
        <f>DG71</f>
        <v>0</v>
      </c>
      <c r="BO11" s="144">
        <f>DH71</f>
        <v>0</v>
      </c>
      <c r="BP11" s="2">
        <v>9</v>
      </c>
      <c r="BQ11" s="2" t="s">
        <v>492</v>
      </c>
      <c r="BR11" s="1" t="str">
        <f>CV72&amp;"|"&amp;CW72&amp;"|"&amp;CX72</f>
        <v>1|2|22500000</v>
      </c>
      <c r="BS11" s="154" t="str">
        <f>CZ72&amp;"|"&amp;DA72&amp;"|"&amp;DB72</f>
        <v>1|2|4500000</v>
      </c>
      <c r="BT11" s="144">
        <f>DC72</f>
        <v>22500000</v>
      </c>
      <c r="BU11" s="144">
        <f>DE72</f>
        <v>22500000</v>
      </c>
      <c r="BV11" s="2">
        <f>DF72</f>
        <v>0</v>
      </c>
      <c r="BW11" s="144">
        <f>DG72</f>
        <v>0</v>
      </c>
      <c r="BX11" s="144">
        <f>DH72</f>
        <v>0</v>
      </c>
      <c r="BY11" s="2">
        <v>8</v>
      </c>
      <c r="BZ11" s="2" t="s">
        <v>492</v>
      </c>
      <c r="CA11" s="1" t="str">
        <f>CV73&amp;"|"&amp;CW73&amp;"|"&amp;CX73</f>
        <v>2|1007|4</v>
      </c>
      <c r="CB11" s="154" t="str">
        <f>CZ73&amp;"|"&amp;DA73&amp;"|"&amp;DB73</f>
        <v>2|1007|1</v>
      </c>
      <c r="CC11" s="144">
        <f>DC73</f>
        <v>20000000</v>
      </c>
      <c r="CD11" s="144">
        <f>DE73</f>
        <v>20000000</v>
      </c>
      <c r="CE11" s="2">
        <f>DF73</f>
        <v>0</v>
      </c>
      <c r="CF11" s="144">
        <f>DG73</f>
        <v>0</v>
      </c>
      <c r="CG11" s="144">
        <f>DH73</f>
        <v>0</v>
      </c>
      <c r="CH11" s="2">
        <v>7</v>
      </c>
      <c r="CI11" s="2" t="s">
        <v>492</v>
      </c>
      <c r="CJ11" s="1" t="str">
        <f>CV74&amp;"|"&amp;CW74&amp;"|"&amp;CX74</f>
        <v>2|1008|3</v>
      </c>
      <c r="CK11" s="154" t="str">
        <f>CZ74&amp;"|"&amp;DA74&amp;"|"&amp;DB74</f>
        <v>2|1008|1</v>
      </c>
      <c r="CL11" s="144">
        <f>DC74</f>
        <v>30000000</v>
      </c>
      <c r="CM11" s="144">
        <f>DE74</f>
        <v>30000000</v>
      </c>
      <c r="CN11" s="2">
        <f>DF74</f>
        <v>0</v>
      </c>
      <c r="CO11" s="144">
        <f>DG74</f>
        <v>0</v>
      </c>
      <c r="CP11" s="144">
        <f>DH74</f>
        <v>0</v>
      </c>
      <c r="CQ11" s="2">
        <v>6</v>
      </c>
      <c r="CR11" s="2" t="s">
        <v>492</v>
      </c>
      <c r="CT11" s="557"/>
      <c r="CU11" s="167" t="s">
        <v>103</v>
      </c>
      <c r="CV11" s="9">
        <f t="shared" si="5"/>
        <v>1</v>
      </c>
      <c r="CW11" s="9">
        <f t="shared" si="6"/>
        <v>2</v>
      </c>
      <c r="CX11" s="173">
        <v>30000</v>
      </c>
      <c r="CY11" s="167" t="str">
        <f t="shared" si="17"/>
        <v>金币</v>
      </c>
      <c r="CZ11" s="9">
        <f>VLOOKUP(CY11,DN:DR,4,0)</f>
        <v>1</v>
      </c>
      <c r="DA11" s="9">
        <f>VLOOKUP(CY11,DN:DR,5,0)</f>
        <v>2</v>
      </c>
      <c r="DB11" s="173">
        <v>250</v>
      </c>
      <c r="DC11" s="9">
        <f t="shared" si="8"/>
        <v>30000</v>
      </c>
      <c r="DD11" s="9">
        <f t="shared" si="9"/>
        <v>250</v>
      </c>
      <c r="DE11" s="9">
        <f t="shared" si="10"/>
        <v>30000</v>
      </c>
      <c r="DF11" s="9">
        <v>0</v>
      </c>
      <c r="DJ11" s="128"/>
      <c r="DN11" s="16" t="s">
        <v>768</v>
      </c>
      <c r="DO11" s="2">
        <f t="shared" si="33"/>
        <v>0.2</v>
      </c>
      <c r="DP11" s="2">
        <v>2</v>
      </c>
      <c r="DQ11" s="2">
        <v>2</v>
      </c>
      <c r="DR11" s="25">
        <v>1004</v>
      </c>
      <c r="DS11" s="189">
        <v>1</v>
      </c>
    </row>
    <row r="12" spans="1:123" ht="16.5" customHeight="1" x14ac:dyDescent="0.45">
      <c r="A12" s="2">
        <v>8</v>
      </c>
      <c r="B12" s="2" t="s">
        <v>1741</v>
      </c>
      <c r="C12" s="60" t="s">
        <v>1742</v>
      </c>
      <c r="D12" s="146">
        <v>24000000</v>
      </c>
      <c r="E12" s="9">
        <v>999999999</v>
      </c>
      <c r="F12" s="9">
        <v>-1</v>
      </c>
      <c r="G12" s="1" t="str">
        <f>CV75&amp;"|"&amp;CW75&amp;"|"&amp;CX75</f>
        <v>2|1008|5</v>
      </c>
      <c r="H12" s="154" t="str">
        <f>CZ75&amp;"|"&amp;DA75&amp;"|"&amp;DB75</f>
        <v>2|1008|1</v>
      </c>
      <c r="I12" s="144">
        <f>DC75</f>
        <v>53000000</v>
      </c>
      <c r="J12" s="144">
        <f>DE75</f>
        <v>50000000</v>
      </c>
      <c r="K12" s="2">
        <f>DF75</f>
        <v>1</v>
      </c>
      <c r="L12" s="144">
        <f>DG75</f>
        <v>1</v>
      </c>
      <c r="M12" s="144">
        <f>DH75</f>
        <v>0.3</v>
      </c>
      <c r="N12" s="2">
        <v>1</v>
      </c>
      <c r="O12" s="2" t="s">
        <v>1494</v>
      </c>
      <c r="P12" s="1" t="str">
        <f>CV76&amp;"|"&amp;CW76&amp;"|"&amp;CX76</f>
        <v>1|2|18000000</v>
      </c>
      <c r="Q12" s="154" t="str">
        <f>CZ76&amp;"|"&amp;DA76&amp;"|"&amp;DB76</f>
        <v>1|2|3600000</v>
      </c>
      <c r="R12" s="144">
        <f>DC76</f>
        <v>20700000</v>
      </c>
      <c r="S12" s="144">
        <f>DE76</f>
        <v>18000000</v>
      </c>
      <c r="T12" s="2">
        <f>DF76</f>
        <v>0</v>
      </c>
      <c r="U12" s="144">
        <f>DG76</f>
        <v>0.5</v>
      </c>
      <c r="V12" s="144">
        <f>DH76</f>
        <v>0.75</v>
      </c>
      <c r="W12" s="2">
        <v>2</v>
      </c>
      <c r="X12" s="2" t="s">
        <v>1494</v>
      </c>
      <c r="Y12" s="1" t="str">
        <f>CV77&amp;"|"&amp;CW77&amp;"|"&amp;CX77</f>
        <v>1|2|20000000</v>
      </c>
      <c r="Z12" s="144" t="str">
        <f>CZ77&amp;"|"&amp;DA77&amp;"|"&amp;DB77</f>
        <v>1|2|4000000</v>
      </c>
      <c r="AA12" s="144">
        <f>DC77</f>
        <v>23000000</v>
      </c>
      <c r="AB12" s="144">
        <f>DE77</f>
        <v>20000000</v>
      </c>
      <c r="AC12" s="2">
        <f>DF77</f>
        <v>0</v>
      </c>
      <c r="AD12" s="144">
        <f>DG77</f>
        <v>1</v>
      </c>
      <c r="AE12" s="144">
        <f>DH77</f>
        <v>0.75</v>
      </c>
      <c r="AF12" s="2">
        <v>3</v>
      </c>
      <c r="AG12" s="2" t="s">
        <v>1494</v>
      </c>
      <c r="AH12" s="1" t="str">
        <f>CV78&amp;"|"&amp;CW78&amp;"|"&amp;CX78</f>
        <v>1|2|25000000</v>
      </c>
      <c r="AI12" s="154" t="str">
        <f>CZ78&amp;"|"&amp;DA78&amp;"|"&amp;DB78</f>
        <v>1|2|5000000</v>
      </c>
      <c r="AJ12" s="144">
        <f>DC78</f>
        <v>28750000</v>
      </c>
      <c r="AK12" s="144">
        <f>DE78</f>
        <v>25000000</v>
      </c>
      <c r="AL12" s="2">
        <f>DF78</f>
        <v>0</v>
      </c>
      <c r="AM12" s="144">
        <f>DG78</f>
        <v>1</v>
      </c>
      <c r="AN12" s="144">
        <f>DH78</f>
        <v>0.75</v>
      </c>
      <c r="AO12" s="2">
        <v>4</v>
      </c>
      <c r="AP12" s="2" t="s">
        <v>492</v>
      </c>
      <c r="AQ12" s="1" t="str">
        <f>CV79&amp;"|"&amp;CW79&amp;"|"&amp;CX79</f>
        <v>1|2|30000000</v>
      </c>
      <c r="AR12" s="154" t="str">
        <f>CZ79&amp;"|"&amp;DA79&amp;"|"&amp;DB79</f>
        <v>1|2|6000000</v>
      </c>
      <c r="AS12" s="144">
        <f>DC79</f>
        <v>33000000</v>
      </c>
      <c r="AT12" s="144">
        <f>DE79</f>
        <v>30000000</v>
      </c>
      <c r="AU12" s="2">
        <f>DF79</f>
        <v>0</v>
      </c>
      <c r="AV12" s="144">
        <f>DG79</f>
        <v>1</v>
      </c>
      <c r="AW12" s="144">
        <f>DH79</f>
        <v>0.5</v>
      </c>
      <c r="AX12" s="2">
        <v>5</v>
      </c>
      <c r="AY12" s="2" t="s">
        <v>492</v>
      </c>
      <c r="AZ12" s="1" t="str">
        <f>CV80&amp;"|"&amp;CW80&amp;"|"&amp;CX80</f>
        <v>1|2|37500000</v>
      </c>
      <c r="BA12" s="154" t="str">
        <f>CZ80&amp;"|"&amp;DA80&amp;"|"&amp;DB80</f>
        <v>1|2|7500000</v>
      </c>
      <c r="BB12" s="144">
        <f>DC80</f>
        <v>39750000</v>
      </c>
      <c r="BC12" s="144">
        <f>DE80</f>
        <v>37500000</v>
      </c>
      <c r="BD12" s="2">
        <f>DF80</f>
        <v>0</v>
      </c>
      <c r="BE12" s="144">
        <f>DG80</f>
        <v>1</v>
      </c>
      <c r="BF12" s="144">
        <f>DH80</f>
        <v>0.3</v>
      </c>
      <c r="BG12" s="2">
        <v>10</v>
      </c>
      <c r="BH12" s="2" t="s">
        <v>492</v>
      </c>
      <c r="BI12" s="1" t="str">
        <f>CV81&amp;"|"&amp;CW81&amp;"|"&amp;CX81</f>
        <v>1|2|45000000</v>
      </c>
      <c r="BJ12" s="154" t="str">
        <f>CZ81&amp;"|"&amp;DA81&amp;"|"&amp;DB81</f>
        <v>1|2|9000000</v>
      </c>
      <c r="BK12" s="144">
        <f>DC81</f>
        <v>45000000</v>
      </c>
      <c r="BL12" s="144">
        <f>DE81</f>
        <v>45000000</v>
      </c>
      <c r="BM12" s="2">
        <f>DF81</f>
        <v>0</v>
      </c>
      <c r="BN12" s="144">
        <f>DG81</f>
        <v>0</v>
      </c>
      <c r="BO12" s="144">
        <f>DH81</f>
        <v>0</v>
      </c>
      <c r="BP12" s="2">
        <v>9</v>
      </c>
      <c r="BQ12" s="2" t="s">
        <v>492</v>
      </c>
      <c r="BR12" s="1" t="str">
        <f>CV82&amp;"|"&amp;CW82&amp;"|"&amp;CX82</f>
        <v>2|1007|6</v>
      </c>
      <c r="BS12" s="154" t="str">
        <f>CZ82&amp;"|"&amp;DA82&amp;"|"&amp;DB82</f>
        <v>2|1007|2</v>
      </c>
      <c r="BT12" s="144">
        <f>DC82</f>
        <v>30000000</v>
      </c>
      <c r="BU12" s="144">
        <f>DE82</f>
        <v>30000000</v>
      </c>
      <c r="BV12" s="2">
        <f>DF82</f>
        <v>0</v>
      </c>
      <c r="BW12" s="144">
        <f>DG82</f>
        <v>0</v>
      </c>
      <c r="BX12" s="144">
        <f>DH82</f>
        <v>0</v>
      </c>
      <c r="BY12" s="2">
        <v>8</v>
      </c>
      <c r="BZ12" s="2" t="s">
        <v>492</v>
      </c>
      <c r="CA12" s="1" t="str">
        <f>CV83&amp;"|"&amp;CW83&amp;"|"&amp;CX83</f>
        <v>2|1007|7</v>
      </c>
      <c r="CB12" s="154" t="str">
        <f>CZ83&amp;"|"&amp;DA83&amp;"|"&amp;DB83</f>
        <v>2|1007|2</v>
      </c>
      <c r="CC12" s="144">
        <f>DC83</f>
        <v>35000000</v>
      </c>
      <c r="CD12" s="144">
        <f>DE83</f>
        <v>35000000</v>
      </c>
      <c r="CE12" s="2">
        <f>DF83</f>
        <v>0</v>
      </c>
      <c r="CF12" s="144">
        <f>DG83</f>
        <v>0</v>
      </c>
      <c r="CG12" s="144">
        <f>DH83</f>
        <v>0</v>
      </c>
      <c r="CH12" s="2">
        <v>7</v>
      </c>
      <c r="CI12" s="2" t="s">
        <v>492</v>
      </c>
      <c r="CJ12" s="1" t="str">
        <f>CV84&amp;"|"&amp;CW84&amp;"|"&amp;CX84</f>
        <v>2|1008|4</v>
      </c>
      <c r="CK12" s="154" t="str">
        <f>CZ84&amp;"|"&amp;DA84&amp;"|"&amp;DB84</f>
        <v>2|1008|1</v>
      </c>
      <c r="CL12" s="144">
        <f>DC84</f>
        <v>40000000</v>
      </c>
      <c r="CM12" s="144">
        <f>DE84</f>
        <v>40000000</v>
      </c>
      <c r="CN12" s="2">
        <f>DF84</f>
        <v>0</v>
      </c>
      <c r="CO12" s="144">
        <f>DG84</f>
        <v>0</v>
      </c>
      <c r="CP12" s="144">
        <f>DH84</f>
        <v>0</v>
      </c>
      <c r="CQ12" s="2">
        <v>6</v>
      </c>
      <c r="CR12" s="2" t="s">
        <v>492</v>
      </c>
      <c r="CT12" s="557"/>
      <c r="CU12" s="167" t="s">
        <v>103</v>
      </c>
      <c r="CV12" s="9">
        <f t="shared" si="5"/>
        <v>1</v>
      </c>
      <c r="CW12" s="9">
        <f t="shared" si="6"/>
        <v>2</v>
      </c>
      <c r="CX12" s="173">
        <v>50000</v>
      </c>
      <c r="CY12" s="167" t="str">
        <f t="shared" si="17"/>
        <v>金币</v>
      </c>
      <c r="CZ12" s="9">
        <f>VLOOKUP(CY12,DN:DR,4,0)</f>
        <v>1</v>
      </c>
      <c r="DA12" s="9">
        <f>VLOOKUP(CY12,DN:DR,5,0)</f>
        <v>2</v>
      </c>
      <c r="DB12" s="173">
        <v>260</v>
      </c>
      <c r="DC12" s="9">
        <f t="shared" si="8"/>
        <v>50000</v>
      </c>
      <c r="DD12" s="9">
        <f t="shared" si="9"/>
        <v>260</v>
      </c>
      <c r="DE12" s="9">
        <f t="shared" si="10"/>
        <v>50000</v>
      </c>
      <c r="DF12" s="9">
        <v>0</v>
      </c>
      <c r="DJ12" s="128"/>
      <c r="DN12" s="16" t="s">
        <v>801</v>
      </c>
      <c r="DO12" s="2">
        <f>DO7*500</f>
        <v>2.5000000000000001E-3</v>
      </c>
      <c r="DP12" s="2">
        <f>DP7*500</f>
        <v>2.5000000000000001E-2</v>
      </c>
      <c r="DQ12" s="2">
        <v>2</v>
      </c>
      <c r="DR12" s="25">
        <v>1204</v>
      </c>
      <c r="DS12" s="189">
        <v>1</v>
      </c>
    </row>
    <row r="13" spans="1:123" ht="16.5" customHeight="1" x14ac:dyDescent="0.25">
      <c r="CT13" s="557"/>
      <c r="CU13" s="167" t="s">
        <v>103</v>
      </c>
      <c r="CV13" s="9">
        <f t="shared" si="5"/>
        <v>1</v>
      </c>
      <c r="CW13" s="9">
        <f t="shared" si="6"/>
        <v>2</v>
      </c>
      <c r="CX13" s="173">
        <v>75000</v>
      </c>
      <c r="CY13" s="167" t="str">
        <f t="shared" si="17"/>
        <v>金币</v>
      </c>
      <c r="CZ13" s="9">
        <f>VLOOKUP(CY13,DN:DR,4,0)</f>
        <v>1</v>
      </c>
      <c r="DA13" s="9">
        <f>VLOOKUP(CY13,DN:DR,5,0)</f>
        <v>2</v>
      </c>
      <c r="DB13" s="173">
        <v>270</v>
      </c>
      <c r="DC13" s="9">
        <f t="shared" si="8"/>
        <v>75000</v>
      </c>
      <c r="DD13" s="9">
        <f t="shared" si="9"/>
        <v>270</v>
      </c>
      <c r="DE13" s="9">
        <f t="shared" si="10"/>
        <v>75000</v>
      </c>
      <c r="DF13" s="9">
        <v>0</v>
      </c>
      <c r="DJ13" s="128"/>
      <c r="DN13" s="16" t="s">
        <v>1493</v>
      </c>
      <c r="DO13" s="2">
        <f t="shared" si="33"/>
        <v>5</v>
      </c>
      <c r="DP13" s="2">
        <f>DP7*1000000</f>
        <v>50</v>
      </c>
      <c r="DQ13" s="2">
        <v>2</v>
      </c>
      <c r="DR13" s="25">
        <v>1005</v>
      </c>
      <c r="DS13" s="189">
        <v>1</v>
      </c>
    </row>
    <row r="14" spans="1:123" ht="16.5" customHeight="1" x14ac:dyDescent="0.25">
      <c r="CT14" s="558"/>
      <c r="CU14" s="168" t="s">
        <v>103</v>
      </c>
      <c r="CV14" s="169">
        <f t="shared" si="5"/>
        <v>1</v>
      </c>
      <c r="CW14" s="169">
        <f t="shared" si="6"/>
        <v>2</v>
      </c>
      <c r="CX14" s="173">
        <v>100000</v>
      </c>
      <c r="CY14" s="168" t="str">
        <f t="shared" si="17"/>
        <v>金币</v>
      </c>
      <c r="CZ14" s="169">
        <f>VLOOKUP(CY14,DN:DR,4,0)</f>
        <v>1</v>
      </c>
      <c r="DA14" s="169">
        <f>VLOOKUP(CY14,DN:DR,5,0)</f>
        <v>2</v>
      </c>
      <c r="DB14" s="173">
        <v>280</v>
      </c>
      <c r="DC14" s="169">
        <f t="shared" si="8"/>
        <v>100000</v>
      </c>
      <c r="DD14" s="169">
        <f t="shared" si="9"/>
        <v>280</v>
      </c>
      <c r="DE14" s="169">
        <f t="shared" si="10"/>
        <v>100000</v>
      </c>
      <c r="DF14" s="169">
        <v>0</v>
      </c>
      <c r="DG14" s="116"/>
      <c r="DH14" s="116"/>
      <c r="DI14" s="116"/>
      <c r="DJ14" s="129"/>
      <c r="DN14" s="16" t="s">
        <v>1540</v>
      </c>
      <c r="DO14" s="2">
        <f t="shared" si="33"/>
        <v>10</v>
      </c>
      <c r="DP14" s="2">
        <f>DP7*2000000</f>
        <v>100</v>
      </c>
      <c r="DQ14" s="2">
        <v>2</v>
      </c>
      <c r="DR14" s="25">
        <v>1006</v>
      </c>
      <c r="DS14" s="189">
        <v>1</v>
      </c>
    </row>
    <row r="15" spans="1:123" ht="16.5" customHeight="1" x14ac:dyDescent="0.25">
      <c r="CT15" s="556" t="str">
        <f>"抽奖
第2档
"&amp;D6&amp;"~
"&amp;E6</f>
        <v>抽奖
第2档
100000~
500000</v>
      </c>
      <c r="CU15" s="165" t="s">
        <v>801</v>
      </c>
      <c r="CV15" s="166">
        <f t="shared" si="5"/>
        <v>2</v>
      </c>
      <c r="CW15" s="166">
        <f t="shared" si="6"/>
        <v>1204</v>
      </c>
      <c r="CX15" s="172">
        <v>1500</v>
      </c>
      <c r="CY15" s="165" t="str">
        <f t="shared" si="17"/>
        <v>福卡</v>
      </c>
      <c r="CZ15" s="166">
        <f>VLOOKUP(CY15,DN:DR,4,0)</f>
        <v>2</v>
      </c>
      <c r="DA15" s="166">
        <f>VLOOKUP(CY15,DN:DR,5,0)</f>
        <v>1204</v>
      </c>
      <c r="DB15" s="172">
        <f t="shared" ref="DB15:DB20" si="47">ROUNDUP(CX15/5,0)</f>
        <v>300</v>
      </c>
      <c r="DC15" s="166">
        <f t="shared" si="8"/>
        <v>795000</v>
      </c>
      <c r="DD15" s="166">
        <f t="shared" si="9"/>
        <v>150000</v>
      </c>
      <c r="DE15" s="185">
        <f t="shared" si="10"/>
        <v>750000</v>
      </c>
      <c r="DF15" s="166">
        <v>1</v>
      </c>
      <c r="DG15" s="182">
        <v>1</v>
      </c>
      <c r="DH15" s="182">
        <v>0.3</v>
      </c>
      <c r="DI15" s="113"/>
      <c r="DJ15" s="127"/>
      <c r="DN15" s="16" t="s">
        <v>1549</v>
      </c>
      <c r="DO15" s="2">
        <f t="shared" si="33"/>
        <v>25</v>
      </c>
      <c r="DP15" s="2">
        <f>DP7*5000000</f>
        <v>250</v>
      </c>
      <c r="DQ15" s="2">
        <v>2</v>
      </c>
      <c r="DR15" s="25">
        <v>1007</v>
      </c>
      <c r="DS15" s="189">
        <v>1</v>
      </c>
    </row>
    <row r="16" spans="1:123" x14ac:dyDescent="0.25">
      <c r="CT16" s="557"/>
      <c r="CU16" s="167" t="s">
        <v>764</v>
      </c>
      <c r="CV16" s="9">
        <f t="shared" si="5"/>
        <v>2</v>
      </c>
      <c r="CW16" s="9">
        <f t="shared" si="6"/>
        <v>1003</v>
      </c>
      <c r="CX16" s="173">
        <v>1</v>
      </c>
      <c r="CY16" s="167" t="str">
        <f t="shared" si="17"/>
        <v>狂暴</v>
      </c>
      <c r="CZ16" s="9">
        <f t="shared" ref="CZ16:CZ20" si="48">VLOOKUP(CY16,DN:DR,4,0)</f>
        <v>2</v>
      </c>
      <c r="DA16" s="9">
        <f t="shared" ref="DA16:DA20" si="49">VLOOKUP(CY16,DN:DR,5,0)</f>
        <v>1003</v>
      </c>
      <c r="DB16" s="173">
        <f t="shared" si="47"/>
        <v>1</v>
      </c>
      <c r="DC16" s="9">
        <f t="shared" si="8"/>
        <v>700000</v>
      </c>
      <c r="DD16" s="9">
        <f t="shared" si="9"/>
        <v>400000</v>
      </c>
      <c r="DE16" s="9">
        <f t="shared" si="10"/>
        <v>400000</v>
      </c>
      <c r="DF16" s="9">
        <v>0</v>
      </c>
      <c r="DG16" s="183">
        <v>0.5</v>
      </c>
      <c r="DH16" s="183">
        <v>0.75</v>
      </c>
      <c r="DJ16" s="128"/>
      <c r="DN16" s="16" t="s">
        <v>1539</v>
      </c>
      <c r="DO16" s="2">
        <f t="shared" si="33"/>
        <v>50</v>
      </c>
      <c r="DP16" s="2">
        <f>DP7*10000000</f>
        <v>500</v>
      </c>
      <c r="DQ16" s="2">
        <v>2</v>
      </c>
      <c r="DR16" s="25">
        <v>1008</v>
      </c>
      <c r="DS16" s="189">
        <v>1</v>
      </c>
    </row>
    <row r="17" spans="98:130" ht="16.5" customHeight="1" x14ac:dyDescent="0.25">
      <c r="CT17" s="557"/>
      <c r="CU17" s="167" t="s">
        <v>103</v>
      </c>
      <c r="CV17" s="9">
        <f t="shared" si="5"/>
        <v>1</v>
      </c>
      <c r="CW17" s="9">
        <f t="shared" si="6"/>
        <v>2</v>
      </c>
      <c r="CX17" s="173">
        <v>60000</v>
      </c>
      <c r="CY17" s="167" t="str">
        <f t="shared" si="17"/>
        <v>金币</v>
      </c>
      <c r="CZ17" s="9">
        <f t="shared" si="48"/>
        <v>1</v>
      </c>
      <c r="DA17" s="9">
        <f t="shared" si="49"/>
        <v>2</v>
      </c>
      <c r="DB17" s="173">
        <f t="shared" si="47"/>
        <v>12000</v>
      </c>
      <c r="DC17" s="9">
        <f t="shared" si="8"/>
        <v>69000</v>
      </c>
      <c r="DD17" s="9">
        <f t="shared" si="9"/>
        <v>12000</v>
      </c>
      <c r="DE17" s="9">
        <f t="shared" si="10"/>
        <v>60000</v>
      </c>
      <c r="DF17" s="9">
        <v>0</v>
      </c>
      <c r="DG17" s="183">
        <v>1</v>
      </c>
      <c r="DH17" s="183">
        <v>0.75</v>
      </c>
      <c r="DJ17" s="128"/>
      <c r="DN17" s="16" t="s">
        <v>1743</v>
      </c>
      <c r="DO17" s="2">
        <v>5</v>
      </c>
      <c r="DP17" s="2">
        <f>DO17*10</f>
        <v>50</v>
      </c>
      <c r="DQ17" s="2">
        <v>2</v>
      </c>
      <c r="DR17" s="25">
        <v>1206</v>
      </c>
      <c r="DS17" s="189">
        <v>1</v>
      </c>
    </row>
    <row r="18" spans="98:130" ht="16.5" customHeight="1" x14ac:dyDescent="0.25">
      <c r="CT18" s="557"/>
      <c r="CU18" s="167" t="s">
        <v>103</v>
      </c>
      <c r="CV18" s="9">
        <f t="shared" si="5"/>
        <v>1</v>
      </c>
      <c r="CW18" s="9">
        <f t="shared" si="6"/>
        <v>2</v>
      </c>
      <c r="CX18" s="173">
        <v>100000</v>
      </c>
      <c r="CY18" s="167" t="str">
        <f t="shared" si="17"/>
        <v>金币</v>
      </c>
      <c r="CZ18" s="9">
        <f t="shared" si="48"/>
        <v>1</v>
      </c>
      <c r="DA18" s="9">
        <f t="shared" si="49"/>
        <v>2</v>
      </c>
      <c r="DB18" s="173">
        <f t="shared" si="47"/>
        <v>20000</v>
      </c>
      <c r="DC18" s="9">
        <f t="shared" si="8"/>
        <v>115000</v>
      </c>
      <c r="DD18" s="9">
        <f t="shared" si="9"/>
        <v>20000</v>
      </c>
      <c r="DE18" s="9">
        <f t="shared" si="10"/>
        <v>100000</v>
      </c>
      <c r="DF18" s="9">
        <v>0</v>
      </c>
      <c r="DG18" s="183">
        <v>0.5</v>
      </c>
      <c r="DH18" s="183">
        <v>0.75</v>
      </c>
      <c r="DJ18" s="128"/>
      <c r="DN18" s="16" t="s">
        <v>1744</v>
      </c>
      <c r="DO18" s="2">
        <v>2</v>
      </c>
      <c r="DP18" s="2">
        <f>DO18*10</f>
        <v>20</v>
      </c>
      <c r="DQ18" s="2">
        <v>2</v>
      </c>
      <c r="DR18" s="25">
        <v>1205</v>
      </c>
      <c r="DS18" s="189">
        <v>1</v>
      </c>
    </row>
    <row r="19" spans="98:130" ht="16.5" customHeight="1" x14ac:dyDescent="0.25">
      <c r="CT19" s="557"/>
      <c r="CU19" s="167" t="s">
        <v>103</v>
      </c>
      <c r="CV19" s="9">
        <f t="shared" si="5"/>
        <v>1</v>
      </c>
      <c r="CW19" s="9">
        <f t="shared" si="6"/>
        <v>2</v>
      </c>
      <c r="CX19" s="173">
        <v>150000</v>
      </c>
      <c r="CY19" s="167" t="str">
        <f t="shared" si="17"/>
        <v>金币</v>
      </c>
      <c r="CZ19" s="9">
        <f t="shared" si="48"/>
        <v>1</v>
      </c>
      <c r="DA19" s="9">
        <f t="shared" si="49"/>
        <v>2</v>
      </c>
      <c r="DB19" s="173">
        <f t="shared" si="47"/>
        <v>30000</v>
      </c>
      <c r="DC19" s="9">
        <f t="shared" si="8"/>
        <v>165000</v>
      </c>
      <c r="DD19" s="9">
        <f t="shared" si="9"/>
        <v>30000</v>
      </c>
      <c r="DE19" s="9">
        <f t="shared" si="10"/>
        <v>150000</v>
      </c>
      <c r="DF19" s="9">
        <v>0</v>
      </c>
      <c r="DG19" s="183">
        <v>0.5</v>
      </c>
      <c r="DH19" s="184">
        <v>0.5</v>
      </c>
      <c r="DJ19" s="128"/>
      <c r="DN19" s="18" t="s">
        <v>1745</v>
      </c>
      <c r="DO19" s="19">
        <f t="shared" si="33"/>
        <v>200</v>
      </c>
      <c r="DP19" s="19">
        <v>2000</v>
      </c>
      <c r="DQ19" s="19">
        <v>2</v>
      </c>
      <c r="DR19" s="27">
        <v>1208</v>
      </c>
      <c r="DS19" s="189">
        <v>1</v>
      </c>
    </row>
    <row r="20" spans="98:130" ht="16.5" customHeight="1" x14ac:dyDescent="0.25">
      <c r="CT20" s="557"/>
      <c r="CU20" s="167" t="s">
        <v>103</v>
      </c>
      <c r="CV20" s="9">
        <f t="shared" si="5"/>
        <v>1</v>
      </c>
      <c r="CW20" s="9">
        <f t="shared" si="6"/>
        <v>2</v>
      </c>
      <c r="CX20" s="173">
        <v>250000</v>
      </c>
      <c r="CY20" s="167" t="str">
        <f t="shared" si="17"/>
        <v>金币</v>
      </c>
      <c r="CZ20" s="9">
        <f t="shared" si="48"/>
        <v>1</v>
      </c>
      <c r="DA20" s="9">
        <f t="shared" si="49"/>
        <v>2</v>
      </c>
      <c r="DB20" s="173">
        <f t="shared" si="47"/>
        <v>50000</v>
      </c>
      <c r="DC20" s="9">
        <f t="shared" si="8"/>
        <v>265000</v>
      </c>
      <c r="DD20" s="9">
        <f t="shared" si="9"/>
        <v>50000</v>
      </c>
      <c r="DE20" s="9">
        <f t="shared" si="10"/>
        <v>250000</v>
      </c>
      <c r="DF20" s="9">
        <v>0</v>
      </c>
      <c r="DG20" s="183">
        <v>1</v>
      </c>
      <c r="DH20" s="184">
        <v>0.3</v>
      </c>
      <c r="DJ20" s="128"/>
      <c r="DN20" s="16" t="s">
        <v>827</v>
      </c>
      <c r="DO20" s="2">
        <v>30</v>
      </c>
      <c r="DP20" s="2">
        <f>DO20*10</f>
        <v>300</v>
      </c>
      <c r="DQ20" s="2">
        <v>2</v>
      </c>
      <c r="DR20" s="2">
        <v>1209</v>
      </c>
      <c r="DS20" s="189">
        <v>1</v>
      </c>
    </row>
    <row r="21" spans="98:130" ht="16.5" customHeight="1" x14ac:dyDescent="0.25">
      <c r="CT21" s="557"/>
      <c r="CU21" s="167" t="s">
        <v>103</v>
      </c>
      <c r="CV21" s="9">
        <f t="shared" si="5"/>
        <v>1</v>
      </c>
      <c r="CW21" s="9">
        <f t="shared" si="6"/>
        <v>2</v>
      </c>
      <c r="CX21" s="173">
        <v>400000</v>
      </c>
      <c r="CY21" s="167" t="str">
        <f t="shared" si="17"/>
        <v>金币</v>
      </c>
      <c r="CZ21" s="9">
        <f>VLOOKUP(CY21,DN:DR,4,0)</f>
        <v>1</v>
      </c>
      <c r="DA21" s="9">
        <f>VLOOKUP(CY21,DN:DR,5,0)</f>
        <v>2</v>
      </c>
      <c r="DB21" s="173">
        <f t="shared" ref="DB21:DB28" si="50">ROUNDUP(CX21/5,0)</f>
        <v>80000</v>
      </c>
      <c r="DC21" s="9">
        <f t="shared" si="8"/>
        <v>400000</v>
      </c>
      <c r="DD21" s="9">
        <f t="shared" si="9"/>
        <v>80000</v>
      </c>
      <c r="DE21" s="9">
        <f t="shared" si="10"/>
        <v>400000</v>
      </c>
      <c r="DF21" s="9">
        <v>0</v>
      </c>
      <c r="DJ21" s="128"/>
      <c r="DN21" s="16" t="s">
        <v>831</v>
      </c>
      <c r="DO21" s="2">
        <v>50</v>
      </c>
      <c r="DP21" s="2">
        <f>DO21*10</f>
        <v>500</v>
      </c>
      <c r="DQ21" s="2">
        <v>2</v>
      </c>
      <c r="DR21" s="2">
        <v>1210</v>
      </c>
      <c r="DS21" s="189">
        <v>1</v>
      </c>
    </row>
    <row r="22" spans="98:130" x14ac:dyDescent="0.25">
      <c r="CT22" s="557"/>
      <c r="CU22" s="167" t="s">
        <v>738</v>
      </c>
      <c r="CV22" s="9">
        <f t="shared" si="5"/>
        <v>1</v>
      </c>
      <c r="CW22" s="9">
        <f t="shared" si="6"/>
        <v>1</v>
      </c>
      <c r="CX22" s="173">
        <v>10</v>
      </c>
      <c r="CY22" s="167" t="str">
        <f t="shared" si="17"/>
        <v>钻石</v>
      </c>
      <c r="CZ22" s="9">
        <f>VLOOKUP(CY22,DN:DR,4,0)</f>
        <v>1</v>
      </c>
      <c r="DA22" s="9">
        <f>VLOOKUP(CY22,DN:DR,5,0)</f>
        <v>1</v>
      </c>
      <c r="DB22" s="173">
        <f t="shared" si="50"/>
        <v>2</v>
      </c>
      <c r="DC22" s="9">
        <f t="shared" si="8"/>
        <v>200000</v>
      </c>
      <c r="DD22" s="9">
        <f t="shared" si="9"/>
        <v>40000</v>
      </c>
      <c r="DE22" s="9">
        <f t="shared" si="10"/>
        <v>200000</v>
      </c>
      <c r="DF22" s="9">
        <v>0</v>
      </c>
      <c r="DJ22" s="128"/>
      <c r="DN22" s="2" t="s">
        <v>751</v>
      </c>
      <c r="DO22" s="2">
        <v>1</v>
      </c>
      <c r="DP22" s="2">
        <v>10</v>
      </c>
      <c r="DQ22" s="2">
        <v>1</v>
      </c>
      <c r="DR22" s="2">
        <v>6</v>
      </c>
      <c r="DS22" s="189">
        <v>1</v>
      </c>
    </row>
    <row r="23" spans="98:130" ht="16.5" customHeight="1" x14ac:dyDescent="0.25">
      <c r="CT23" s="557"/>
      <c r="CU23" s="167" t="s">
        <v>738</v>
      </c>
      <c r="CV23" s="9">
        <f t="shared" si="5"/>
        <v>1</v>
      </c>
      <c r="CW23" s="9">
        <f t="shared" si="6"/>
        <v>1</v>
      </c>
      <c r="CX23" s="173">
        <v>20</v>
      </c>
      <c r="CY23" s="167" t="str">
        <f t="shared" si="17"/>
        <v>钻石</v>
      </c>
      <c r="CZ23" s="9">
        <f>VLOOKUP(CY23,DN:DR,4,0)</f>
        <v>1</v>
      </c>
      <c r="DA23" s="9">
        <f>VLOOKUP(CY23,DN:DR,5,0)</f>
        <v>1</v>
      </c>
      <c r="DB23" s="173">
        <f t="shared" si="50"/>
        <v>4</v>
      </c>
      <c r="DC23" s="9">
        <f t="shared" si="8"/>
        <v>400000</v>
      </c>
      <c r="DD23" s="9">
        <f t="shared" si="9"/>
        <v>80000</v>
      </c>
      <c r="DE23" s="9">
        <f t="shared" si="10"/>
        <v>400000</v>
      </c>
      <c r="DF23" s="9">
        <v>0</v>
      </c>
      <c r="DJ23" s="128"/>
      <c r="DN23" s="2" t="s">
        <v>1746</v>
      </c>
      <c r="DO23" s="2">
        <v>1</v>
      </c>
      <c r="DP23" s="2">
        <v>10</v>
      </c>
      <c r="DQ23" s="2">
        <v>2</v>
      </c>
      <c r="DR23" s="2">
        <v>1301</v>
      </c>
      <c r="DS23" s="189">
        <v>1</v>
      </c>
    </row>
    <row r="24" spans="98:130" ht="16.5" customHeight="1" x14ac:dyDescent="0.25">
      <c r="CT24" s="558"/>
      <c r="CU24" s="168" t="s">
        <v>103</v>
      </c>
      <c r="CV24" s="169">
        <f t="shared" si="5"/>
        <v>1</v>
      </c>
      <c r="CW24" s="169">
        <f t="shared" si="6"/>
        <v>2</v>
      </c>
      <c r="CX24" s="173">
        <v>600000</v>
      </c>
      <c r="CY24" s="168" t="str">
        <f t="shared" si="17"/>
        <v>金币</v>
      </c>
      <c r="CZ24" s="169">
        <f>VLOOKUP(CY24,DN:DR,4,0)</f>
        <v>1</v>
      </c>
      <c r="DA24" s="169">
        <f>VLOOKUP(CY24,DN:DR,5,0)</f>
        <v>2</v>
      </c>
      <c r="DB24" s="174">
        <f t="shared" si="50"/>
        <v>120000</v>
      </c>
      <c r="DC24" s="169">
        <f t="shared" si="8"/>
        <v>600000</v>
      </c>
      <c r="DD24" s="169">
        <f t="shared" si="9"/>
        <v>120000</v>
      </c>
      <c r="DE24" s="169">
        <f t="shared" si="10"/>
        <v>600000</v>
      </c>
      <c r="DF24" s="169">
        <v>0</v>
      </c>
      <c r="DG24" s="116"/>
      <c r="DH24" s="116"/>
      <c r="DI24" s="116"/>
      <c r="DJ24" s="129"/>
      <c r="DN24" s="2" t="s">
        <v>1747</v>
      </c>
      <c r="DO24" s="2">
        <v>1</v>
      </c>
      <c r="DP24" s="2">
        <v>10</v>
      </c>
      <c r="DQ24" s="2">
        <v>2</v>
      </c>
      <c r="DR24" s="2">
        <v>1302</v>
      </c>
      <c r="DS24" s="189">
        <v>1</v>
      </c>
    </row>
    <row r="25" spans="98:130" ht="16.5" customHeight="1" x14ac:dyDescent="0.25">
      <c r="CT25" s="556" t="str">
        <f>"抽奖
第3档
"&amp;D7&amp;"~
"&amp;E7</f>
        <v>抽奖
第3档
500000~
1000000</v>
      </c>
      <c r="CU25" s="165" t="s">
        <v>801</v>
      </c>
      <c r="CV25" s="166">
        <f t="shared" si="5"/>
        <v>2</v>
      </c>
      <c r="CW25" s="166">
        <f t="shared" si="6"/>
        <v>1204</v>
      </c>
      <c r="CX25" s="172">
        <v>3000</v>
      </c>
      <c r="CY25" s="165" t="str">
        <f t="shared" si="17"/>
        <v>福卡</v>
      </c>
      <c r="CZ25" s="166">
        <f>VLOOKUP(CY25,DN:DR,4,0)</f>
        <v>2</v>
      </c>
      <c r="DA25" s="166">
        <f>VLOOKUP(CY25,DN:DR,5,0)</f>
        <v>1204</v>
      </c>
      <c r="DB25" s="172">
        <f t="shared" si="50"/>
        <v>600</v>
      </c>
      <c r="DC25" s="166">
        <f t="shared" si="8"/>
        <v>1590000</v>
      </c>
      <c r="DD25" s="166">
        <f t="shared" si="9"/>
        <v>300000</v>
      </c>
      <c r="DE25" s="185">
        <f t="shared" si="10"/>
        <v>1500000</v>
      </c>
      <c r="DF25" s="166">
        <v>1</v>
      </c>
      <c r="DG25" s="182">
        <v>1</v>
      </c>
      <c r="DH25" s="182">
        <v>0.3</v>
      </c>
      <c r="DI25" s="113"/>
      <c r="DJ25" s="127"/>
      <c r="DN25" s="2" t="s">
        <v>1748</v>
      </c>
      <c r="DO25" s="2">
        <v>1</v>
      </c>
      <c r="DP25" s="2">
        <v>10</v>
      </c>
      <c r="DQ25" s="2">
        <v>2</v>
      </c>
      <c r="DR25" s="2">
        <v>1303</v>
      </c>
      <c r="DS25" s="189">
        <v>1</v>
      </c>
      <c r="DU25" s="2" t="s">
        <v>1749</v>
      </c>
      <c r="DV25" s="2">
        <v>40</v>
      </c>
      <c r="DW25" s="2">
        <f>'抽奖|MoonBless'!HP25</f>
        <v>0</v>
      </c>
      <c r="DX25" s="2">
        <v>2</v>
      </c>
      <c r="DY25" s="2">
        <v>1500</v>
      </c>
      <c r="DZ25" s="111">
        <v>1</v>
      </c>
    </row>
    <row r="26" spans="98:130" ht="16.5" customHeight="1" x14ac:dyDescent="0.25">
      <c r="CT26" s="557"/>
      <c r="CU26" s="167" t="s">
        <v>764</v>
      </c>
      <c r="CV26" s="9">
        <f t="shared" si="5"/>
        <v>2</v>
      </c>
      <c r="CW26" s="9">
        <f t="shared" si="6"/>
        <v>1003</v>
      </c>
      <c r="CX26" s="173">
        <v>2</v>
      </c>
      <c r="CY26" s="167" t="str">
        <f t="shared" si="17"/>
        <v>狂暴</v>
      </c>
      <c r="CZ26" s="9">
        <f t="shared" ref="CZ26:CZ30" si="51">VLOOKUP(CY26,DN:DR,4,0)</f>
        <v>2</v>
      </c>
      <c r="DA26" s="9">
        <f t="shared" ref="DA26:DA30" si="52">VLOOKUP(CY26,DN:DR,5,0)</f>
        <v>1003</v>
      </c>
      <c r="DB26" s="173">
        <f t="shared" si="50"/>
        <v>1</v>
      </c>
      <c r="DC26" s="9">
        <f t="shared" si="8"/>
        <v>1100000</v>
      </c>
      <c r="DD26" s="9">
        <f t="shared" si="9"/>
        <v>400000</v>
      </c>
      <c r="DE26" s="9">
        <f t="shared" si="10"/>
        <v>800000</v>
      </c>
      <c r="DF26" s="9">
        <v>0</v>
      </c>
      <c r="DG26" s="183">
        <v>1</v>
      </c>
      <c r="DH26" s="183">
        <v>0.75</v>
      </c>
      <c r="DJ26" s="128"/>
      <c r="DN26" s="2" t="s">
        <v>1750</v>
      </c>
      <c r="DO26" s="2">
        <v>1</v>
      </c>
      <c r="DP26" s="2">
        <v>10</v>
      </c>
      <c r="DQ26" s="2">
        <v>2</v>
      </c>
      <c r="DR26" s="2">
        <v>1304</v>
      </c>
      <c r="DS26" s="189">
        <v>1</v>
      </c>
      <c r="DU26" s="2" t="s">
        <v>1751</v>
      </c>
      <c r="DV26" s="2">
        <v>80</v>
      </c>
      <c r="DW26" s="2">
        <v>0</v>
      </c>
      <c r="DX26" s="2">
        <v>2</v>
      </c>
      <c r="DY26" s="2">
        <v>1503</v>
      </c>
      <c r="DZ26" s="111">
        <v>1</v>
      </c>
    </row>
    <row r="27" spans="98:130" ht="16.5" customHeight="1" x14ac:dyDescent="0.25">
      <c r="CT27" s="557"/>
      <c r="CU27" s="167" t="s">
        <v>764</v>
      </c>
      <c r="CV27" s="9">
        <f t="shared" si="5"/>
        <v>2</v>
      </c>
      <c r="CW27" s="9">
        <f t="shared" si="6"/>
        <v>1003</v>
      </c>
      <c r="CX27" s="173">
        <v>2</v>
      </c>
      <c r="CY27" s="167" t="str">
        <f t="shared" si="17"/>
        <v>狂暴</v>
      </c>
      <c r="CZ27" s="9">
        <f t="shared" si="51"/>
        <v>2</v>
      </c>
      <c r="DA27" s="9">
        <f t="shared" si="52"/>
        <v>1003</v>
      </c>
      <c r="DB27" s="173">
        <f t="shared" si="50"/>
        <v>1</v>
      </c>
      <c r="DC27" s="9">
        <f t="shared" si="8"/>
        <v>1100000</v>
      </c>
      <c r="DD27" s="9">
        <f t="shared" si="9"/>
        <v>400000</v>
      </c>
      <c r="DE27" s="9">
        <f t="shared" si="10"/>
        <v>800000</v>
      </c>
      <c r="DF27" s="9">
        <v>0</v>
      </c>
      <c r="DG27" s="183">
        <v>0.5</v>
      </c>
      <c r="DH27" s="183">
        <v>0.75</v>
      </c>
      <c r="DJ27" s="128"/>
      <c r="DN27" s="2" t="s">
        <v>1749</v>
      </c>
      <c r="DO27" s="2">
        <f>DO12*1000*40</f>
        <v>100</v>
      </c>
      <c r="DP27" s="2">
        <f t="shared" ref="DP27:DP30" si="53">DO27*10</f>
        <v>1000</v>
      </c>
      <c r="DQ27" s="2">
        <v>2</v>
      </c>
      <c r="DR27" s="2">
        <v>1500</v>
      </c>
      <c r="DS27" s="111">
        <v>1</v>
      </c>
      <c r="DU27" s="2" t="s">
        <v>1752</v>
      </c>
      <c r="DV27" s="2">
        <v>110</v>
      </c>
      <c r="DW27" s="2">
        <v>0</v>
      </c>
      <c r="DX27" s="2">
        <v>2</v>
      </c>
      <c r="DY27" s="2">
        <v>1504</v>
      </c>
      <c r="DZ27" s="111">
        <v>1</v>
      </c>
    </row>
    <row r="28" spans="98:130" x14ac:dyDescent="0.25">
      <c r="CT28" s="557"/>
      <c r="CU28" s="167" t="s">
        <v>103</v>
      </c>
      <c r="CV28" s="9">
        <f t="shared" si="5"/>
        <v>1</v>
      </c>
      <c r="CW28" s="9">
        <f t="shared" si="6"/>
        <v>2</v>
      </c>
      <c r="CX28" s="173">
        <v>375000</v>
      </c>
      <c r="CY28" s="167" t="str">
        <f t="shared" si="17"/>
        <v>金币</v>
      </c>
      <c r="CZ28" s="9">
        <f t="shared" si="51"/>
        <v>1</v>
      </c>
      <c r="DA28" s="9">
        <f t="shared" si="52"/>
        <v>2</v>
      </c>
      <c r="DB28" s="173">
        <f t="shared" si="50"/>
        <v>75000</v>
      </c>
      <c r="DC28" s="9">
        <f t="shared" si="8"/>
        <v>431250</v>
      </c>
      <c r="DD28" s="9">
        <f t="shared" si="9"/>
        <v>75000</v>
      </c>
      <c r="DE28" s="9">
        <f t="shared" si="10"/>
        <v>375000</v>
      </c>
      <c r="DF28" s="9">
        <v>0</v>
      </c>
      <c r="DG28" s="183">
        <v>1</v>
      </c>
      <c r="DH28" s="183">
        <v>0.75</v>
      </c>
      <c r="DJ28" s="128"/>
      <c r="DN28" s="2" t="s">
        <v>1751</v>
      </c>
      <c r="DO28" s="2">
        <f>DO12*1000*80</f>
        <v>200</v>
      </c>
      <c r="DP28" s="2">
        <f t="shared" si="53"/>
        <v>2000</v>
      </c>
      <c r="DQ28" s="2">
        <v>2</v>
      </c>
      <c r="DR28" s="2">
        <v>1503</v>
      </c>
      <c r="DS28" s="111">
        <v>1</v>
      </c>
      <c r="DU28" s="2" t="s">
        <v>805</v>
      </c>
      <c r="DV28" s="2">
        <v>1</v>
      </c>
      <c r="DW28" s="2">
        <v>10</v>
      </c>
      <c r="DX28" s="2">
        <v>2</v>
      </c>
      <c r="DY28" s="2">
        <v>1213</v>
      </c>
      <c r="DZ28" s="111">
        <v>1</v>
      </c>
    </row>
    <row r="29" spans="98:130" ht="16.5" customHeight="1" x14ac:dyDescent="0.25">
      <c r="CT29" s="557"/>
      <c r="CU29" s="167" t="s">
        <v>103</v>
      </c>
      <c r="CV29" s="9">
        <f t="shared" si="5"/>
        <v>1</v>
      </c>
      <c r="CW29" s="9">
        <f t="shared" si="6"/>
        <v>2</v>
      </c>
      <c r="CX29" s="173">
        <v>500000</v>
      </c>
      <c r="CY29" s="167" t="str">
        <f t="shared" si="17"/>
        <v>金币</v>
      </c>
      <c r="CZ29" s="9">
        <f t="shared" si="51"/>
        <v>1</v>
      </c>
      <c r="DA29" s="9">
        <f t="shared" si="52"/>
        <v>2</v>
      </c>
      <c r="DB29" s="173">
        <f>ROUNDUP(DE29/5,0)</f>
        <v>100000</v>
      </c>
      <c r="DC29" s="9">
        <f t="shared" si="8"/>
        <v>550000</v>
      </c>
      <c r="DD29" s="9">
        <f t="shared" si="9"/>
        <v>100000</v>
      </c>
      <c r="DE29" s="9">
        <f t="shared" si="10"/>
        <v>500000</v>
      </c>
      <c r="DF29" s="9">
        <v>0</v>
      </c>
      <c r="DG29" s="183">
        <v>1</v>
      </c>
      <c r="DH29" s="184">
        <v>0.5</v>
      </c>
      <c r="DJ29" s="128"/>
      <c r="DN29" s="2" t="s">
        <v>1752</v>
      </c>
      <c r="DO29" s="2">
        <f>DO12*1000*110</f>
        <v>275</v>
      </c>
      <c r="DP29" s="2">
        <f t="shared" si="53"/>
        <v>2750</v>
      </c>
      <c r="DQ29" s="2">
        <v>2</v>
      </c>
      <c r="DR29" s="2">
        <v>1504</v>
      </c>
      <c r="DS29" s="111">
        <v>1</v>
      </c>
    </row>
    <row r="30" spans="98:130" ht="16.5" customHeight="1" x14ac:dyDescent="0.25">
      <c r="CT30" s="557"/>
      <c r="CU30" s="167" t="s">
        <v>103</v>
      </c>
      <c r="CV30" s="9">
        <f t="shared" si="5"/>
        <v>1</v>
      </c>
      <c r="CW30" s="9">
        <f t="shared" si="6"/>
        <v>2</v>
      </c>
      <c r="CX30" s="173">
        <v>600000</v>
      </c>
      <c r="CY30" s="167" t="str">
        <f t="shared" si="17"/>
        <v>金币</v>
      </c>
      <c r="CZ30" s="9">
        <f t="shared" si="51"/>
        <v>1</v>
      </c>
      <c r="DA30" s="9">
        <f t="shared" si="52"/>
        <v>2</v>
      </c>
      <c r="DB30" s="173">
        <f>ROUNDUP(DE30/5,0)</f>
        <v>120000</v>
      </c>
      <c r="DC30" s="9">
        <f t="shared" si="8"/>
        <v>636000</v>
      </c>
      <c r="DD30" s="9">
        <f t="shared" si="9"/>
        <v>120000</v>
      </c>
      <c r="DE30" s="9">
        <f t="shared" si="10"/>
        <v>600000</v>
      </c>
      <c r="DF30" s="9">
        <v>0</v>
      </c>
      <c r="DG30" s="183">
        <v>1</v>
      </c>
      <c r="DH30" s="184">
        <v>0.3</v>
      </c>
      <c r="DJ30" s="128"/>
      <c r="DN30" s="2" t="s">
        <v>805</v>
      </c>
      <c r="DO30" s="2">
        <f>DO12*1000*1</f>
        <v>2.5</v>
      </c>
      <c r="DP30" s="2">
        <f t="shared" si="53"/>
        <v>25</v>
      </c>
      <c r="DQ30" s="2">
        <v>2</v>
      </c>
      <c r="DR30" s="2">
        <v>1213</v>
      </c>
      <c r="DS30" s="111">
        <v>1</v>
      </c>
    </row>
    <row r="31" spans="98:130" ht="16.5" customHeight="1" x14ac:dyDescent="0.25">
      <c r="CT31" s="557"/>
      <c r="CU31" s="167" t="s">
        <v>103</v>
      </c>
      <c r="CV31" s="9">
        <f t="shared" si="5"/>
        <v>1</v>
      </c>
      <c r="CW31" s="9">
        <f t="shared" si="6"/>
        <v>2</v>
      </c>
      <c r="CX31" s="173">
        <v>750000</v>
      </c>
      <c r="CY31" s="167" t="str">
        <f t="shared" si="17"/>
        <v>金币</v>
      </c>
      <c r="CZ31" s="9">
        <f>VLOOKUP(CY31,DN:DR,4,0)</f>
        <v>1</v>
      </c>
      <c r="DA31" s="9">
        <f>VLOOKUP(CY31,DN:DR,5,0)</f>
        <v>2</v>
      </c>
      <c r="DB31" s="173">
        <v>100</v>
      </c>
      <c r="DC31" s="9">
        <f t="shared" si="8"/>
        <v>750000</v>
      </c>
      <c r="DD31" s="9">
        <f t="shared" si="9"/>
        <v>100</v>
      </c>
      <c r="DE31" s="9">
        <f t="shared" si="10"/>
        <v>750000</v>
      </c>
      <c r="DF31" s="9">
        <v>0</v>
      </c>
      <c r="DJ31" s="128"/>
    </row>
    <row r="32" spans="98:130" ht="16.5" customHeight="1" x14ac:dyDescent="0.25">
      <c r="CT32" s="557"/>
      <c r="CU32" s="167" t="s">
        <v>103</v>
      </c>
      <c r="CV32" s="9">
        <f t="shared" si="5"/>
        <v>1</v>
      </c>
      <c r="CW32" s="9">
        <f t="shared" si="6"/>
        <v>2</v>
      </c>
      <c r="CX32" s="173">
        <v>900000</v>
      </c>
      <c r="CY32" s="167" t="str">
        <f t="shared" si="17"/>
        <v>金币</v>
      </c>
      <c r="CZ32" s="9">
        <f>VLOOKUP(CY32,DN:DR,4,0)</f>
        <v>1</v>
      </c>
      <c r="DA32" s="9">
        <f>VLOOKUP(CY32,DN:DR,5,0)</f>
        <v>2</v>
      </c>
      <c r="DB32" s="173">
        <v>101</v>
      </c>
      <c r="DC32" s="9">
        <f t="shared" si="8"/>
        <v>900000</v>
      </c>
      <c r="DD32" s="9">
        <f t="shared" si="9"/>
        <v>101</v>
      </c>
      <c r="DE32" s="9">
        <f t="shared" si="10"/>
        <v>900000</v>
      </c>
      <c r="DF32" s="9">
        <v>0</v>
      </c>
      <c r="DJ32" s="128"/>
    </row>
    <row r="33" spans="98:114" ht="16.5" customHeight="1" x14ac:dyDescent="0.25">
      <c r="CT33" s="557"/>
      <c r="CU33" s="167" t="s">
        <v>738</v>
      </c>
      <c r="CV33" s="9">
        <f t="shared" si="5"/>
        <v>1</v>
      </c>
      <c r="CW33" s="9">
        <f t="shared" si="6"/>
        <v>1</v>
      </c>
      <c r="CX33" s="173">
        <v>40</v>
      </c>
      <c r="CY33" s="167" t="str">
        <f t="shared" si="17"/>
        <v>钻石</v>
      </c>
      <c r="CZ33" s="9">
        <f>VLOOKUP(CY33,DN:DR,4,0)</f>
        <v>1</v>
      </c>
      <c r="DA33" s="9">
        <f>VLOOKUP(CY33,DN:DR,5,0)</f>
        <v>1</v>
      </c>
      <c r="DB33" s="173">
        <v>102</v>
      </c>
      <c r="DC33" s="9">
        <f t="shared" si="8"/>
        <v>800000</v>
      </c>
      <c r="DD33" s="9">
        <f t="shared" si="9"/>
        <v>2040000</v>
      </c>
      <c r="DE33" s="9">
        <f t="shared" si="10"/>
        <v>800000</v>
      </c>
      <c r="DF33" s="9">
        <v>0</v>
      </c>
      <c r="DJ33" s="128"/>
    </row>
    <row r="34" spans="98:114" x14ac:dyDescent="0.25">
      <c r="CT34" s="558"/>
      <c r="CU34" s="168" t="s">
        <v>1493</v>
      </c>
      <c r="CV34" s="169">
        <f t="shared" si="5"/>
        <v>2</v>
      </c>
      <c r="CW34" s="169">
        <f t="shared" si="6"/>
        <v>1005</v>
      </c>
      <c r="CX34" s="174">
        <v>1</v>
      </c>
      <c r="CY34" s="168" t="str">
        <f t="shared" si="17"/>
        <v>超级武器1</v>
      </c>
      <c r="CZ34" s="169">
        <f>VLOOKUP(CY34,DN:DR,4,0)</f>
        <v>2</v>
      </c>
      <c r="DA34" s="169">
        <f>VLOOKUP(CY34,DN:DR,5,0)</f>
        <v>1005</v>
      </c>
      <c r="DB34" s="174">
        <v>103</v>
      </c>
      <c r="DC34" s="169">
        <f t="shared" si="8"/>
        <v>1000000</v>
      </c>
      <c r="DD34" s="169">
        <f t="shared" si="9"/>
        <v>103000000</v>
      </c>
      <c r="DE34" s="169">
        <f t="shared" si="10"/>
        <v>1000000</v>
      </c>
      <c r="DF34" s="169">
        <v>0</v>
      </c>
      <c r="DG34" s="116"/>
      <c r="DH34" s="116"/>
      <c r="DI34" s="116"/>
      <c r="DJ34" s="129"/>
    </row>
    <row r="35" spans="98:114" ht="16.5" customHeight="1" x14ac:dyDescent="0.25">
      <c r="CT35" s="556" t="str">
        <f>"抽奖
第4档
"&amp;D8&amp;"~
"&amp;E8</f>
        <v>抽奖
第4档
1000000~
2000000</v>
      </c>
      <c r="CU35" s="165" t="s">
        <v>801</v>
      </c>
      <c r="CV35" s="166">
        <f t="shared" si="5"/>
        <v>2</v>
      </c>
      <c r="CW35" s="166">
        <f t="shared" si="6"/>
        <v>1204</v>
      </c>
      <c r="CX35" s="172">
        <v>5000</v>
      </c>
      <c r="CY35" s="165" t="str">
        <f t="shared" si="17"/>
        <v>福卡</v>
      </c>
      <c r="CZ35" s="166">
        <f>VLOOKUP(CY35,DN:DR,4,0)</f>
        <v>2</v>
      </c>
      <c r="DA35" s="166">
        <f>VLOOKUP(CY35,DN:DR,5,0)</f>
        <v>1204</v>
      </c>
      <c r="DB35" s="172">
        <f t="shared" ref="DB35:DB40" si="54">ROUNDUP(CX35/5,0)</f>
        <v>1000</v>
      </c>
      <c r="DC35" s="166">
        <f t="shared" si="8"/>
        <v>2650000</v>
      </c>
      <c r="DD35" s="166">
        <f t="shared" si="9"/>
        <v>500000</v>
      </c>
      <c r="DE35" s="185">
        <f t="shared" si="10"/>
        <v>2500000</v>
      </c>
      <c r="DF35" s="166">
        <v>1</v>
      </c>
      <c r="DG35" s="182">
        <v>1</v>
      </c>
      <c r="DH35" s="182">
        <v>0.3</v>
      </c>
      <c r="DI35" s="113"/>
      <c r="DJ35" s="127"/>
    </row>
    <row r="36" spans="98:114" ht="16.5" customHeight="1" x14ac:dyDescent="0.25">
      <c r="CT36" s="557"/>
      <c r="CU36" s="167" t="s">
        <v>764</v>
      </c>
      <c r="CV36" s="9">
        <f t="shared" si="5"/>
        <v>2</v>
      </c>
      <c r="CW36" s="9">
        <f t="shared" si="6"/>
        <v>1003</v>
      </c>
      <c r="CX36" s="173">
        <v>2</v>
      </c>
      <c r="CY36" s="167" t="str">
        <f t="shared" si="17"/>
        <v>狂暴</v>
      </c>
      <c r="CZ36" s="9">
        <f t="shared" ref="CZ36:CZ40" si="55">VLOOKUP(CY36,DN:DR,4,0)</f>
        <v>2</v>
      </c>
      <c r="DA36" s="9">
        <f t="shared" ref="DA36:DA40" si="56">VLOOKUP(CY36,DN:DR,5,0)</f>
        <v>1003</v>
      </c>
      <c r="DB36" s="173">
        <f t="shared" si="54"/>
        <v>1</v>
      </c>
      <c r="DC36" s="9">
        <f t="shared" si="8"/>
        <v>1100000</v>
      </c>
      <c r="DD36" s="9">
        <f t="shared" si="9"/>
        <v>400000</v>
      </c>
      <c r="DE36" s="9">
        <f t="shared" si="10"/>
        <v>800000</v>
      </c>
      <c r="DF36" s="9">
        <v>0</v>
      </c>
      <c r="DG36" s="183">
        <v>1</v>
      </c>
      <c r="DH36" s="183">
        <v>0.75</v>
      </c>
      <c r="DJ36" s="128"/>
    </row>
    <row r="37" spans="98:114" ht="16.5" customHeight="1" x14ac:dyDescent="0.25">
      <c r="CT37" s="557"/>
      <c r="CU37" s="167" t="s">
        <v>764</v>
      </c>
      <c r="CV37" s="9">
        <f t="shared" si="5"/>
        <v>2</v>
      </c>
      <c r="CW37" s="9">
        <f t="shared" si="6"/>
        <v>1003</v>
      </c>
      <c r="CX37" s="173">
        <v>3</v>
      </c>
      <c r="CY37" s="167" t="str">
        <f t="shared" si="17"/>
        <v>狂暴</v>
      </c>
      <c r="CZ37" s="9">
        <f t="shared" si="55"/>
        <v>2</v>
      </c>
      <c r="DA37" s="9">
        <f t="shared" si="56"/>
        <v>1003</v>
      </c>
      <c r="DB37" s="173">
        <f t="shared" si="54"/>
        <v>1</v>
      </c>
      <c r="DC37" s="9">
        <f t="shared" si="8"/>
        <v>1500000</v>
      </c>
      <c r="DD37" s="9">
        <f t="shared" ref="DD37:DD65" si="57">VLOOKUP(CY37,DN:DR,3,0)/$DP$7*DB37*VLOOKUP(CY37,DN:DS,6,0)</f>
        <v>400000</v>
      </c>
      <c r="DE37" s="9">
        <f t="shared" ref="DE37:DE55" si="58">VLOOKUP(CU37,DN:DR,3,0)/$DP$7*CX37*VLOOKUP(CU37,DN:DS,6,0)</f>
        <v>1200000</v>
      </c>
      <c r="DF37" s="9">
        <v>0</v>
      </c>
      <c r="DG37" s="183">
        <v>0.5</v>
      </c>
      <c r="DH37" s="183">
        <v>0.75</v>
      </c>
      <c r="DJ37" s="128"/>
    </row>
    <row r="38" spans="98:114" ht="16.5" customHeight="1" x14ac:dyDescent="0.25">
      <c r="CT38" s="557"/>
      <c r="CU38" s="167" t="s">
        <v>103</v>
      </c>
      <c r="CV38" s="9">
        <f t="shared" si="5"/>
        <v>1</v>
      </c>
      <c r="CW38" s="9">
        <f t="shared" si="6"/>
        <v>2</v>
      </c>
      <c r="CX38" s="173">
        <v>750000</v>
      </c>
      <c r="CY38" s="167" t="str">
        <f t="shared" si="17"/>
        <v>金币</v>
      </c>
      <c r="CZ38" s="9">
        <f t="shared" si="55"/>
        <v>1</v>
      </c>
      <c r="DA38" s="9">
        <f t="shared" si="56"/>
        <v>2</v>
      </c>
      <c r="DB38" s="173">
        <f t="shared" si="54"/>
        <v>150000</v>
      </c>
      <c r="DC38" s="9">
        <f t="shared" si="8"/>
        <v>862500</v>
      </c>
      <c r="DD38" s="9">
        <f t="shared" si="57"/>
        <v>150000</v>
      </c>
      <c r="DE38" s="9">
        <f t="shared" si="58"/>
        <v>750000</v>
      </c>
      <c r="DF38" s="9">
        <v>0</v>
      </c>
      <c r="DG38" s="183">
        <v>1</v>
      </c>
      <c r="DH38" s="183">
        <v>0.75</v>
      </c>
      <c r="DJ38" s="128"/>
    </row>
    <row r="39" spans="98:114" ht="16.5" customHeight="1" x14ac:dyDescent="0.25">
      <c r="CT39" s="557"/>
      <c r="CU39" s="167" t="s">
        <v>103</v>
      </c>
      <c r="CV39" s="9">
        <f t="shared" si="5"/>
        <v>1</v>
      </c>
      <c r="CW39" s="9">
        <f t="shared" si="6"/>
        <v>2</v>
      </c>
      <c r="CX39" s="173">
        <v>1000000</v>
      </c>
      <c r="CY39" s="167" t="str">
        <f t="shared" si="17"/>
        <v>金币</v>
      </c>
      <c r="CZ39" s="9">
        <f t="shared" si="55"/>
        <v>1</v>
      </c>
      <c r="DA39" s="9">
        <f t="shared" si="56"/>
        <v>2</v>
      </c>
      <c r="DB39" s="173">
        <f t="shared" si="54"/>
        <v>200000</v>
      </c>
      <c r="DC39" s="9">
        <f t="shared" si="8"/>
        <v>1100000</v>
      </c>
      <c r="DD39" s="9">
        <f t="shared" si="57"/>
        <v>200000</v>
      </c>
      <c r="DE39" s="9">
        <f t="shared" si="58"/>
        <v>1000000</v>
      </c>
      <c r="DF39" s="9">
        <v>0</v>
      </c>
      <c r="DG39" s="183">
        <v>1</v>
      </c>
      <c r="DH39" s="184">
        <v>0.5</v>
      </c>
      <c r="DJ39" s="128"/>
    </row>
    <row r="40" spans="98:114" x14ac:dyDescent="0.25">
      <c r="CT40" s="557"/>
      <c r="CU40" s="167" t="s">
        <v>103</v>
      </c>
      <c r="CV40" s="9">
        <f t="shared" si="5"/>
        <v>1</v>
      </c>
      <c r="CW40" s="9">
        <f t="shared" si="6"/>
        <v>2</v>
      </c>
      <c r="CX40" s="173">
        <v>1250000</v>
      </c>
      <c r="CY40" s="167" t="str">
        <f t="shared" si="17"/>
        <v>金币</v>
      </c>
      <c r="CZ40" s="9">
        <f t="shared" si="55"/>
        <v>1</v>
      </c>
      <c r="DA40" s="9">
        <f t="shared" si="56"/>
        <v>2</v>
      </c>
      <c r="DB40" s="173">
        <f t="shared" si="54"/>
        <v>250000</v>
      </c>
      <c r="DC40" s="9">
        <f t="shared" si="8"/>
        <v>1325000</v>
      </c>
      <c r="DD40" s="9">
        <f t="shared" si="57"/>
        <v>250000</v>
      </c>
      <c r="DE40" s="9">
        <f t="shared" si="58"/>
        <v>1250000</v>
      </c>
      <c r="DF40" s="9">
        <v>0</v>
      </c>
      <c r="DG40" s="183">
        <v>1</v>
      </c>
      <c r="DH40" s="184">
        <v>0.3</v>
      </c>
      <c r="DJ40" s="128"/>
    </row>
    <row r="41" spans="98:114" x14ac:dyDescent="0.25">
      <c r="CT41" s="557"/>
      <c r="CU41" s="167" t="s">
        <v>103</v>
      </c>
      <c r="CV41" s="9">
        <f t="shared" ref="CV41:CV80" si="59">VLOOKUP(CU41,DN:DR,4,0)</f>
        <v>1</v>
      </c>
      <c r="CW41" s="9">
        <f t="shared" si="6"/>
        <v>2</v>
      </c>
      <c r="CX41" s="173">
        <v>1750000</v>
      </c>
      <c r="CY41" s="167" t="str">
        <f t="shared" si="17"/>
        <v>金币</v>
      </c>
      <c r="CZ41" s="9">
        <f t="shared" ref="CZ41:CZ84" si="60">VLOOKUP(CY41,DN:DR,4,0)</f>
        <v>1</v>
      </c>
      <c r="DA41" s="9">
        <f t="shared" ref="DA41:DA84" si="61">VLOOKUP(CY41,DN:DR,5,0)</f>
        <v>2</v>
      </c>
      <c r="DB41" s="173">
        <f t="shared" ref="DB41:DB66" si="62">ROUNDUP(CX41/5,0)</f>
        <v>350000</v>
      </c>
      <c r="DC41" s="9">
        <f t="shared" si="8"/>
        <v>1750000</v>
      </c>
      <c r="DD41" s="9">
        <f t="shared" si="57"/>
        <v>350000</v>
      </c>
      <c r="DE41" s="9">
        <f t="shared" si="58"/>
        <v>1750000</v>
      </c>
      <c r="DF41" s="9">
        <v>0</v>
      </c>
      <c r="DJ41" s="128"/>
    </row>
    <row r="42" spans="98:114" x14ac:dyDescent="0.25">
      <c r="CT42" s="557"/>
      <c r="CU42" s="167" t="s">
        <v>738</v>
      </c>
      <c r="CV42" s="9">
        <f t="shared" si="59"/>
        <v>1</v>
      </c>
      <c r="CW42" s="9">
        <f t="shared" si="6"/>
        <v>1</v>
      </c>
      <c r="CX42" s="173">
        <v>80</v>
      </c>
      <c r="CY42" s="167" t="str">
        <f t="shared" si="17"/>
        <v>钻石</v>
      </c>
      <c r="CZ42" s="9">
        <f t="shared" si="60"/>
        <v>1</v>
      </c>
      <c r="DA42" s="9">
        <f t="shared" si="61"/>
        <v>1</v>
      </c>
      <c r="DB42" s="173">
        <f t="shared" si="62"/>
        <v>16</v>
      </c>
      <c r="DC42" s="9">
        <f t="shared" si="8"/>
        <v>1600000</v>
      </c>
      <c r="DD42" s="9">
        <f t="shared" si="57"/>
        <v>320000</v>
      </c>
      <c r="DE42" s="9">
        <f t="shared" si="58"/>
        <v>1600000</v>
      </c>
      <c r="DF42" s="9">
        <v>0</v>
      </c>
      <c r="DJ42" s="128"/>
    </row>
    <row r="43" spans="98:114" x14ac:dyDescent="0.25">
      <c r="CT43" s="557"/>
      <c r="CU43" s="167" t="s">
        <v>1493</v>
      </c>
      <c r="CV43" s="9">
        <f t="shared" si="59"/>
        <v>2</v>
      </c>
      <c r="CW43" s="9">
        <f t="shared" si="6"/>
        <v>1005</v>
      </c>
      <c r="CX43" s="173">
        <v>2</v>
      </c>
      <c r="CY43" s="167" t="str">
        <f t="shared" si="17"/>
        <v>超级武器1</v>
      </c>
      <c r="CZ43" s="9">
        <f t="shared" si="60"/>
        <v>2</v>
      </c>
      <c r="DA43" s="9">
        <f t="shared" si="61"/>
        <v>1005</v>
      </c>
      <c r="DB43" s="173">
        <f t="shared" si="62"/>
        <v>1</v>
      </c>
      <c r="DC43" s="9">
        <f t="shared" si="8"/>
        <v>2000000</v>
      </c>
      <c r="DD43" s="9">
        <f t="shared" si="57"/>
        <v>1000000</v>
      </c>
      <c r="DE43" s="9">
        <f t="shared" si="58"/>
        <v>2000000</v>
      </c>
      <c r="DF43" s="9">
        <v>0</v>
      </c>
      <c r="DJ43" s="128"/>
    </row>
    <row r="44" spans="98:114" x14ac:dyDescent="0.25">
      <c r="CT44" s="558"/>
      <c r="CU44" s="168" t="s">
        <v>1540</v>
      </c>
      <c r="CV44" s="169">
        <f t="shared" si="59"/>
        <v>2</v>
      </c>
      <c r="CW44" s="169">
        <f t="shared" si="6"/>
        <v>1006</v>
      </c>
      <c r="CX44" s="174">
        <v>1</v>
      </c>
      <c r="CY44" s="168" t="str">
        <f t="shared" si="17"/>
        <v>超级武器2</v>
      </c>
      <c r="CZ44" s="169">
        <f t="shared" si="60"/>
        <v>2</v>
      </c>
      <c r="DA44" s="169">
        <f t="shared" si="61"/>
        <v>1006</v>
      </c>
      <c r="DB44" s="174">
        <f t="shared" si="62"/>
        <v>1</v>
      </c>
      <c r="DC44" s="169">
        <f t="shared" si="8"/>
        <v>2000000</v>
      </c>
      <c r="DD44" s="169">
        <f t="shared" si="57"/>
        <v>2000000</v>
      </c>
      <c r="DE44" s="169">
        <f t="shared" si="58"/>
        <v>2000000</v>
      </c>
      <c r="DF44" s="169">
        <v>0</v>
      </c>
      <c r="DG44" s="116"/>
      <c r="DH44" s="116"/>
      <c r="DI44" s="116"/>
      <c r="DJ44" s="129"/>
    </row>
    <row r="45" spans="98:114" x14ac:dyDescent="0.25">
      <c r="CT45" s="556" t="str">
        <f>"抽奖
第5档
"&amp;D9&amp;"~
"&amp;E9</f>
        <v>抽奖
第5档
2000000~
6000000</v>
      </c>
      <c r="CU45" s="165" t="s">
        <v>801</v>
      </c>
      <c r="CV45" s="166">
        <f t="shared" si="59"/>
        <v>2</v>
      </c>
      <c r="CW45" s="166">
        <f t="shared" ref="CW45:CW80" si="63">VLOOKUP(CU45,DN:DR,5,0)</f>
        <v>1204</v>
      </c>
      <c r="CX45" s="172">
        <v>15000</v>
      </c>
      <c r="CY45" s="165" t="str">
        <f t="shared" si="17"/>
        <v>福卡</v>
      </c>
      <c r="CZ45" s="166">
        <f t="shared" si="60"/>
        <v>2</v>
      </c>
      <c r="DA45" s="166">
        <f t="shared" si="61"/>
        <v>1204</v>
      </c>
      <c r="DB45" s="172">
        <f t="shared" si="62"/>
        <v>3000</v>
      </c>
      <c r="DC45" s="166">
        <f t="shared" ref="DC45:DC50" si="64">DD45*DH45+DE45</f>
        <v>7950000</v>
      </c>
      <c r="DD45" s="166">
        <f t="shared" si="57"/>
        <v>1500000</v>
      </c>
      <c r="DE45" s="185">
        <f t="shared" si="58"/>
        <v>7500000</v>
      </c>
      <c r="DF45" s="166">
        <v>1</v>
      </c>
      <c r="DG45" s="182">
        <v>1</v>
      </c>
      <c r="DH45" s="182">
        <v>0.3</v>
      </c>
      <c r="DI45" s="113"/>
      <c r="DJ45" s="127"/>
    </row>
    <row r="46" spans="98:114" x14ac:dyDescent="0.25">
      <c r="CT46" s="557"/>
      <c r="CU46" s="167" t="s">
        <v>103</v>
      </c>
      <c r="CV46" s="9">
        <f t="shared" si="59"/>
        <v>1</v>
      </c>
      <c r="CW46" s="9">
        <f t="shared" si="63"/>
        <v>2</v>
      </c>
      <c r="CX46" s="173">
        <v>1500000</v>
      </c>
      <c r="CY46" s="167" t="str">
        <f t="shared" si="17"/>
        <v>金币</v>
      </c>
      <c r="CZ46" s="9">
        <f t="shared" si="60"/>
        <v>1</v>
      </c>
      <c r="DA46" s="9">
        <f t="shared" si="61"/>
        <v>2</v>
      </c>
      <c r="DB46" s="173">
        <f t="shared" si="62"/>
        <v>300000</v>
      </c>
      <c r="DC46" s="9">
        <f t="shared" si="64"/>
        <v>1725000</v>
      </c>
      <c r="DD46" s="9">
        <f t="shared" si="57"/>
        <v>300000</v>
      </c>
      <c r="DE46" s="9">
        <f t="shared" si="58"/>
        <v>1500000</v>
      </c>
      <c r="DF46" s="9">
        <v>0</v>
      </c>
      <c r="DG46" s="183">
        <v>1</v>
      </c>
      <c r="DH46" s="183">
        <v>0.75</v>
      </c>
      <c r="DJ46" s="128"/>
    </row>
    <row r="47" spans="98:114" x14ac:dyDescent="0.25">
      <c r="CT47" s="557"/>
      <c r="CU47" s="167" t="s">
        <v>103</v>
      </c>
      <c r="CV47" s="9">
        <f t="shared" si="59"/>
        <v>1</v>
      </c>
      <c r="CW47" s="9">
        <f t="shared" si="63"/>
        <v>2</v>
      </c>
      <c r="CX47" s="173">
        <v>2000000</v>
      </c>
      <c r="CY47" s="167" t="str">
        <f t="shared" si="17"/>
        <v>金币</v>
      </c>
      <c r="CZ47" s="9">
        <f t="shared" si="60"/>
        <v>1</v>
      </c>
      <c r="DA47" s="9">
        <f t="shared" si="61"/>
        <v>2</v>
      </c>
      <c r="DB47" s="173">
        <f t="shared" si="62"/>
        <v>400000</v>
      </c>
      <c r="DC47" s="9">
        <f t="shared" si="64"/>
        <v>2300000</v>
      </c>
      <c r="DD47" s="9">
        <f t="shared" si="57"/>
        <v>400000</v>
      </c>
      <c r="DE47" s="9">
        <f t="shared" si="58"/>
        <v>2000000</v>
      </c>
      <c r="DF47" s="9">
        <v>0</v>
      </c>
      <c r="DG47" s="183">
        <v>0.5</v>
      </c>
      <c r="DH47" s="183">
        <v>0.75</v>
      </c>
      <c r="DJ47" s="128"/>
    </row>
    <row r="48" spans="98:114" x14ac:dyDescent="0.25">
      <c r="CT48" s="557"/>
      <c r="CU48" s="167" t="s">
        <v>103</v>
      </c>
      <c r="CV48" s="9">
        <f t="shared" si="59"/>
        <v>1</v>
      </c>
      <c r="CW48" s="9">
        <f t="shared" si="63"/>
        <v>2</v>
      </c>
      <c r="CX48" s="173">
        <v>2500000</v>
      </c>
      <c r="CY48" s="167" t="str">
        <f t="shared" si="17"/>
        <v>金币</v>
      </c>
      <c r="CZ48" s="9">
        <f t="shared" si="60"/>
        <v>1</v>
      </c>
      <c r="DA48" s="9">
        <f t="shared" si="61"/>
        <v>2</v>
      </c>
      <c r="DB48" s="173">
        <f t="shared" si="62"/>
        <v>500000</v>
      </c>
      <c r="DC48" s="9">
        <f t="shared" si="64"/>
        <v>2875000</v>
      </c>
      <c r="DD48" s="9">
        <f t="shared" si="57"/>
        <v>500000</v>
      </c>
      <c r="DE48" s="9">
        <f t="shared" si="58"/>
        <v>2500000</v>
      </c>
      <c r="DF48" s="9">
        <v>0</v>
      </c>
      <c r="DG48" s="183">
        <v>1</v>
      </c>
      <c r="DH48" s="183">
        <v>0.75</v>
      </c>
      <c r="DJ48" s="128"/>
    </row>
    <row r="49" spans="98:114" x14ac:dyDescent="0.25">
      <c r="CT49" s="557"/>
      <c r="CU49" s="167" t="s">
        <v>103</v>
      </c>
      <c r="CV49" s="9">
        <f t="shared" si="59"/>
        <v>1</v>
      </c>
      <c r="CW49" s="9">
        <f t="shared" si="63"/>
        <v>2</v>
      </c>
      <c r="CX49" s="173">
        <v>3000000</v>
      </c>
      <c r="CY49" s="167" t="str">
        <f t="shared" si="17"/>
        <v>金币</v>
      </c>
      <c r="CZ49" s="9">
        <f t="shared" si="60"/>
        <v>1</v>
      </c>
      <c r="DA49" s="9">
        <f t="shared" si="61"/>
        <v>2</v>
      </c>
      <c r="DB49" s="173">
        <f t="shared" si="62"/>
        <v>600000</v>
      </c>
      <c r="DC49" s="9">
        <f t="shared" si="64"/>
        <v>3300000</v>
      </c>
      <c r="DD49" s="9">
        <f t="shared" si="57"/>
        <v>600000</v>
      </c>
      <c r="DE49" s="9">
        <f t="shared" si="58"/>
        <v>3000000</v>
      </c>
      <c r="DF49" s="9">
        <v>0</v>
      </c>
      <c r="DG49" s="183">
        <v>1</v>
      </c>
      <c r="DH49" s="184">
        <v>0.5</v>
      </c>
      <c r="DJ49" s="128"/>
    </row>
    <row r="50" spans="98:114" x14ac:dyDescent="0.25">
      <c r="CT50" s="557"/>
      <c r="CU50" s="167" t="s">
        <v>103</v>
      </c>
      <c r="CV50" s="9">
        <f t="shared" si="59"/>
        <v>1</v>
      </c>
      <c r="CW50" s="9">
        <f t="shared" si="63"/>
        <v>2</v>
      </c>
      <c r="CX50" s="173">
        <v>3500000</v>
      </c>
      <c r="CY50" s="167" t="str">
        <f t="shared" si="17"/>
        <v>金币</v>
      </c>
      <c r="CZ50" s="9">
        <f t="shared" si="60"/>
        <v>1</v>
      </c>
      <c r="DA50" s="9">
        <f t="shared" si="61"/>
        <v>2</v>
      </c>
      <c r="DB50" s="173">
        <f t="shared" si="62"/>
        <v>700000</v>
      </c>
      <c r="DC50" s="9">
        <f t="shared" si="64"/>
        <v>3710000</v>
      </c>
      <c r="DD50" s="9">
        <f t="shared" si="57"/>
        <v>700000</v>
      </c>
      <c r="DE50" s="9">
        <f t="shared" si="58"/>
        <v>3500000</v>
      </c>
      <c r="DF50" s="9">
        <v>0</v>
      </c>
      <c r="DG50" s="183">
        <v>1</v>
      </c>
      <c r="DH50" s="184">
        <v>0.3</v>
      </c>
      <c r="DJ50" s="128"/>
    </row>
    <row r="51" spans="98:114" x14ac:dyDescent="0.25">
      <c r="CT51" s="557"/>
      <c r="CU51" s="167" t="s">
        <v>103</v>
      </c>
      <c r="CV51" s="9">
        <f t="shared" si="59"/>
        <v>1</v>
      </c>
      <c r="CW51" s="9">
        <f t="shared" si="63"/>
        <v>2</v>
      </c>
      <c r="CX51" s="173">
        <v>4500000</v>
      </c>
      <c r="CY51" s="167" t="str">
        <f t="shared" si="17"/>
        <v>金币</v>
      </c>
      <c r="CZ51" s="9">
        <f t="shared" si="60"/>
        <v>1</v>
      </c>
      <c r="DA51" s="9">
        <f t="shared" si="61"/>
        <v>2</v>
      </c>
      <c r="DB51" s="173">
        <f t="shared" si="62"/>
        <v>900000</v>
      </c>
      <c r="DC51" s="9">
        <f t="shared" ref="DC51:DC64" si="65">DD51*DH51+DE51</f>
        <v>4500000</v>
      </c>
      <c r="DD51" s="9">
        <f t="shared" si="57"/>
        <v>900000</v>
      </c>
      <c r="DE51" s="9">
        <f t="shared" si="58"/>
        <v>4500000</v>
      </c>
      <c r="DF51" s="9">
        <v>0</v>
      </c>
      <c r="DJ51" s="128"/>
    </row>
    <row r="52" spans="98:114" x14ac:dyDescent="0.25">
      <c r="CT52" s="557"/>
      <c r="CU52" s="167" t="s">
        <v>738</v>
      </c>
      <c r="CV52" s="9">
        <f t="shared" si="59"/>
        <v>1</v>
      </c>
      <c r="CW52" s="9">
        <f t="shared" si="63"/>
        <v>1</v>
      </c>
      <c r="CX52" s="173">
        <v>200</v>
      </c>
      <c r="CY52" s="167" t="str">
        <f t="shared" si="17"/>
        <v>钻石</v>
      </c>
      <c r="CZ52" s="9">
        <f t="shared" si="60"/>
        <v>1</v>
      </c>
      <c r="DA52" s="9">
        <f t="shared" si="61"/>
        <v>1</v>
      </c>
      <c r="DB52" s="173">
        <f t="shared" si="62"/>
        <v>40</v>
      </c>
      <c r="DC52" s="9">
        <f t="shared" si="65"/>
        <v>4000000</v>
      </c>
      <c r="DD52" s="9">
        <f t="shared" si="57"/>
        <v>800000</v>
      </c>
      <c r="DE52" s="9">
        <f t="shared" si="58"/>
        <v>4000000</v>
      </c>
      <c r="DF52" s="9">
        <v>0</v>
      </c>
      <c r="DJ52" s="128"/>
    </row>
    <row r="53" spans="98:114" x14ac:dyDescent="0.25">
      <c r="CT53" s="557"/>
      <c r="CU53" s="167" t="s">
        <v>1540</v>
      </c>
      <c r="CV53" s="9">
        <f t="shared" si="59"/>
        <v>2</v>
      </c>
      <c r="CW53" s="9">
        <f t="shared" si="63"/>
        <v>1006</v>
      </c>
      <c r="CX53" s="173">
        <v>3</v>
      </c>
      <c r="CY53" s="167" t="str">
        <f t="shared" si="17"/>
        <v>超级武器2</v>
      </c>
      <c r="CZ53" s="9">
        <f t="shared" si="60"/>
        <v>2</v>
      </c>
      <c r="DA53" s="9">
        <f t="shared" si="61"/>
        <v>1006</v>
      </c>
      <c r="DB53" s="173">
        <f t="shared" si="62"/>
        <v>1</v>
      </c>
      <c r="DC53" s="9">
        <f t="shared" si="65"/>
        <v>6000000</v>
      </c>
      <c r="DD53" s="9">
        <f t="shared" si="57"/>
        <v>2000000</v>
      </c>
      <c r="DE53" s="9">
        <f t="shared" si="58"/>
        <v>6000000</v>
      </c>
      <c r="DF53" s="9">
        <v>0</v>
      </c>
      <c r="DJ53" s="128"/>
    </row>
    <row r="54" spans="98:114" x14ac:dyDescent="0.25">
      <c r="CT54" s="558"/>
      <c r="CU54" s="168" t="s">
        <v>1549</v>
      </c>
      <c r="CV54" s="169">
        <f t="shared" si="59"/>
        <v>2</v>
      </c>
      <c r="CW54" s="169">
        <f t="shared" si="63"/>
        <v>1007</v>
      </c>
      <c r="CX54" s="174">
        <v>2</v>
      </c>
      <c r="CY54" s="168" t="str">
        <f t="shared" si="17"/>
        <v>超级武器3</v>
      </c>
      <c r="CZ54" s="169">
        <f t="shared" si="60"/>
        <v>2</v>
      </c>
      <c r="DA54" s="169">
        <f t="shared" si="61"/>
        <v>1007</v>
      </c>
      <c r="DB54" s="174">
        <f t="shared" si="62"/>
        <v>1</v>
      </c>
      <c r="DC54" s="169">
        <f t="shared" si="65"/>
        <v>10000000</v>
      </c>
      <c r="DD54" s="169">
        <f t="shared" si="57"/>
        <v>5000000</v>
      </c>
      <c r="DE54" s="169">
        <f t="shared" si="58"/>
        <v>10000000</v>
      </c>
      <c r="DF54" s="169">
        <v>0</v>
      </c>
      <c r="DG54" s="116"/>
      <c r="DH54" s="116"/>
      <c r="DI54" s="116"/>
      <c r="DJ54" s="129"/>
    </row>
    <row r="55" spans="98:114" x14ac:dyDescent="0.25">
      <c r="CT55" s="556" t="str">
        <f>"抽奖
第6档
"&amp;D10&amp;"~
"&amp;E10</f>
        <v>抽奖
第6档
6000000~
12000000</v>
      </c>
      <c r="CU55" s="165" t="s">
        <v>801</v>
      </c>
      <c r="CV55" s="166">
        <f t="shared" si="59"/>
        <v>2</v>
      </c>
      <c r="CW55" s="166">
        <f t="shared" si="63"/>
        <v>1204</v>
      </c>
      <c r="CX55" s="172">
        <v>30000</v>
      </c>
      <c r="CY55" s="165" t="str">
        <f t="shared" si="17"/>
        <v>福卡</v>
      </c>
      <c r="CZ55" s="166">
        <f t="shared" si="60"/>
        <v>2</v>
      </c>
      <c r="DA55" s="166">
        <f t="shared" si="61"/>
        <v>1204</v>
      </c>
      <c r="DB55" s="172">
        <f t="shared" si="62"/>
        <v>6000</v>
      </c>
      <c r="DC55" s="166">
        <f t="shared" si="65"/>
        <v>15900000</v>
      </c>
      <c r="DD55" s="166">
        <f t="shared" si="57"/>
        <v>3000000</v>
      </c>
      <c r="DE55" s="185">
        <f t="shared" si="58"/>
        <v>15000000</v>
      </c>
      <c r="DF55" s="166">
        <v>1</v>
      </c>
      <c r="DG55" s="182">
        <v>1</v>
      </c>
      <c r="DH55" s="182">
        <v>0.3</v>
      </c>
      <c r="DI55" s="113"/>
      <c r="DJ55" s="187"/>
    </row>
    <row r="56" spans="98:114" x14ac:dyDescent="0.25">
      <c r="CT56" s="557"/>
      <c r="CU56" s="167" t="s">
        <v>103</v>
      </c>
      <c r="CV56" s="9">
        <f t="shared" si="59"/>
        <v>1</v>
      </c>
      <c r="CW56" s="9">
        <f t="shared" si="63"/>
        <v>2</v>
      </c>
      <c r="CX56" s="173">
        <v>4000000</v>
      </c>
      <c r="CY56" s="167" t="str">
        <f t="shared" si="17"/>
        <v>金币</v>
      </c>
      <c r="CZ56" s="9">
        <f t="shared" si="60"/>
        <v>1</v>
      </c>
      <c r="DA56" s="9">
        <f t="shared" si="61"/>
        <v>2</v>
      </c>
      <c r="DB56" s="173">
        <f t="shared" si="62"/>
        <v>800000</v>
      </c>
      <c r="DC56" s="9">
        <f t="shared" si="65"/>
        <v>4600000</v>
      </c>
      <c r="DD56" s="9">
        <f t="shared" si="57"/>
        <v>800000</v>
      </c>
      <c r="DE56" s="9">
        <f t="shared" ref="DE56:DE75" si="66">VLOOKUP(CU56,DN:DR,3,0)/$DP$7*CX56*VLOOKUP(CU56,DN:DS,6,0)</f>
        <v>4000000</v>
      </c>
      <c r="DF56" s="9">
        <v>0</v>
      </c>
      <c r="DG56" s="183">
        <v>0.5</v>
      </c>
      <c r="DH56" s="184">
        <v>0.75</v>
      </c>
      <c r="DJ56" s="128"/>
    </row>
    <row r="57" spans="98:114" x14ac:dyDescent="0.25">
      <c r="CT57" s="557"/>
      <c r="CU57" s="167" t="s">
        <v>103</v>
      </c>
      <c r="CV57" s="9">
        <f t="shared" si="59"/>
        <v>1</v>
      </c>
      <c r="CW57" s="9">
        <f t="shared" si="63"/>
        <v>2</v>
      </c>
      <c r="CX57" s="173">
        <v>5000000</v>
      </c>
      <c r="CY57" s="167" t="str">
        <f t="shared" si="17"/>
        <v>金币</v>
      </c>
      <c r="CZ57" s="9">
        <f t="shared" si="60"/>
        <v>1</v>
      </c>
      <c r="DA57" s="9">
        <f t="shared" si="61"/>
        <v>2</v>
      </c>
      <c r="DB57" s="173">
        <f t="shared" si="62"/>
        <v>1000000</v>
      </c>
      <c r="DC57" s="9">
        <f t="shared" si="65"/>
        <v>5750000</v>
      </c>
      <c r="DD57" s="9">
        <f t="shared" si="57"/>
        <v>1000000</v>
      </c>
      <c r="DE57" s="9">
        <f t="shared" si="66"/>
        <v>5000000</v>
      </c>
      <c r="DF57" s="9">
        <v>0</v>
      </c>
      <c r="DG57" s="183">
        <v>1</v>
      </c>
      <c r="DH57" s="184">
        <v>0.75</v>
      </c>
      <c r="DJ57" s="128"/>
    </row>
    <row r="58" spans="98:114" x14ac:dyDescent="0.25">
      <c r="CT58" s="557"/>
      <c r="CU58" s="167" t="s">
        <v>103</v>
      </c>
      <c r="CV58" s="9">
        <f t="shared" si="59"/>
        <v>1</v>
      </c>
      <c r="CW58" s="9">
        <f t="shared" si="63"/>
        <v>2</v>
      </c>
      <c r="CX58" s="173">
        <v>6000000</v>
      </c>
      <c r="CY58" s="167" t="str">
        <f t="shared" si="17"/>
        <v>金币</v>
      </c>
      <c r="CZ58" s="9">
        <f t="shared" si="60"/>
        <v>1</v>
      </c>
      <c r="DA58" s="9">
        <f t="shared" si="61"/>
        <v>2</v>
      </c>
      <c r="DB58" s="173">
        <f t="shared" si="62"/>
        <v>1200000</v>
      </c>
      <c r="DC58" s="9">
        <f t="shared" si="65"/>
        <v>6900000</v>
      </c>
      <c r="DD58" s="9">
        <f t="shared" si="57"/>
        <v>1200000</v>
      </c>
      <c r="DE58" s="9">
        <f t="shared" si="66"/>
        <v>6000000</v>
      </c>
      <c r="DF58" s="9">
        <v>0</v>
      </c>
      <c r="DG58" s="183">
        <v>1</v>
      </c>
      <c r="DH58" s="183">
        <v>0.75</v>
      </c>
      <c r="DJ58" s="128"/>
    </row>
    <row r="59" spans="98:114" x14ac:dyDescent="0.25">
      <c r="CT59" s="557"/>
      <c r="CU59" s="167" t="s">
        <v>103</v>
      </c>
      <c r="CV59" s="9">
        <f t="shared" si="59"/>
        <v>1</v>
      </c>
      <c r="CW59" s="9">
        <f t="shared" si="63"/>
        <v>2</v>
      </c>
      <c r="CX59" s="173">
        <v>7500000</v>
      </c>
      <c r="CY59" s="167" t="str">
        <f t="shared" si="17"/>
        <v>金币</v>
      </c>
      <c r="CZ59" s="9">
        <f t="shared" si="60"/>
        <v>1</v>
      </c>
      <c r="DA59" s="9">
        <f t="shared" si="61"/>
        <v>2</v>
      </c>
      <c r="DB59" s="173">
        <f t="shared" si="62"/>
        <v>1500000</v>
      </c>
      <c r="DC59" s="9">
        <f t="shared" si="65"/>
        <v>8250000</v>
      </c>
      <c r="DD59" s="9">
        <f t="shared" si="57"/>
        <v>1500000</v>
      </c>
      <c r="DE59" s="9">
        <f t="shared" si="66"/>
        <v>7500000</v>
      </c>
      <c r="DF59" s="9">
        <v>0</v>
      </c>
      <c r="DG59" s="183">
        <v>1</v>
      </c>
      <c r="DH59" s="184">
        <v>0.5</v>
      </c>
      <c r="DJ59" s="128"/>
    </row>
    <row r="60" spans="98:114" x14ac:dyDescent="0.25">
      <c r="CT60" s="557"/>
      <c r="CU60" s="167" t="s">
        <v>103</v>
      </c>
      <c r="CV60" s="9">
        <f t="shared" si="59"/>
        <v>1</v>
      </c>
      <c r="CW60" s="9">
        <f t="shared" si="63"/>
        <v>2</v>
      </c>
      <c r="CX60" s="173">
        <v>9000000</v>
      </c>
      <c r="CY60" s="167" t="str">
        <f t="shared" si="17"/>
        <v>金币</v>
      </c>
      <c r="CZ60" s="9">
        <f t="shared" si="60"/>
        <v>1</v>
      </c>
      <c r="DA60" s="9">
        <f t="shared" si="61"/>
        <v>2</v>
      </c>
      <c r="DB60" s="173">
        <f t="shared" si="62"/>
        <v>1800000</v>
      </c>
      <c r="DC60" s="9">
        <f t="shared" si="65"/>
        <v>9540000</v>
      </c>
      <c r="DD60" s="9">
        <f t="shared" si="57"/>
        <v>1800000</v>
      </c>
      <c r="DE60" s="9">
        <f t="shared" si="66"/>
        <v>9000000</v>
      </c>
      <c r="DF60" s="9">
        <v>0</v>
      </c>
      <c r="DG60" s="183">
        <v>1</v>
      </c>
      <c r="DH60" s="183">
        <v>0.3</v>
      </c>
      <c r="DJ60" s="128"/>
    </row>
    <row r="61" spans="98:114" x14ac:dyDescent="0.25">
      <c r="CT61" s="557"/>
      <c r="CU61" s="167" t="s">
        <v>103</v>
      </c>
      <c r="CV61" s="9">
        <f t="shared" si="59"/>
        <v>1</v>
      </c>
      <c r="CW61" s="9">
        <f t="shared" si="63"/>
        <v>2</v>
      </c>
      <c r="CX61" s="173">
        <v>11000000</v>
      </c>
      <c r="CY61" s="167" t="str">
        <f t="shared" si="17"/>
        <v>金币</v>
      </c>
      <c r="CZ61" s="9">
        <f t="shared" si="60"/>
        <v>1</v>
      </c>
      <c r="DA61" s="9">
        <f t="shared" si="61"/>
        <v>2</v>
      </c>
      <c r="DB61" s="173">
        <f t="shared" si="62"/>
        <v>2200000</v>
      </c>
      <c r="DC61" s="9">
        <f t="shared" si="65"/>
        <v>11000000</v>
      </c>
      <c r="DD61" s="9">
        <f t="shared" si="57"/>
        <v>2200000</v>
      </c>
      <c r="DE61" s="9">
        <f t="shared" si="66"/>
        <v>11000000</v>
      </c>
      <c r="DF61" s="9">
        <v>0</v>
      </c>
      <c r="DJ61" s="128"/>
    </row>
    <row r="62" spans="98:114" x14ac:dyDescent="0.25">
      <c r="CT62" s="557"/>
      <c r="CU62" s="167" t="s">
        <v>738</v>
      </c>
      <c r="CV62" s="9">
        <f t="shared" si="59"/>
        <v>1</v>
      </c>
      <c r="CW62" s="9">
        <f t="shared" si="63"/>
        <v>1</v>
      </c>
      <c r="CX62" s="173">
        <v>400</v>
      </c>
      <c r="CY62" s="167" t="str">
        <f t="shared" si="17"/>
        <v>钻石</v>
      </c>
      <c r="CZ62" s="9">
        <f t="shared" si="60"/>
        <v>1</v>
      </c>
      <c r="DA62" s="9">
        <f t="shared" si="61"/>
        <v>1</v>
      </c>
      <c r="DB62" s="173">
        <f t="shared" si="62"/>
        <v>80</v>
      </c>
      <c r="DC62" s="9">
        <f t="shared" si="65"/>
        <v>8000000</v>
      </c>
      <c r="DD62" s="9">
        <f t="shared" si="57"/>
        <v>1600000</v>
      </c>
      <c r="DE62" s="9">
        <f t="shared" si="66"/>
        <v>8000000</v>
      </c>
      <c r="DF62" s="9">
        <v>0</v>
      </c>
      <c r="DJ62" s="128"/>
    </row>
    <row r="63" spans="98:114" x14ac:dyDescent="0.25">
      <c r="CT63" s="557"/>
      <c r="CU63" s="167" t="s">
        <v>1549</v>
      </c>
      <c r="CV63" s="9">
        <f t="shared" si="59"/>
        <v>2</v>
      </c>
      <c r="CW63" s="9">
        <f t="shared" si="63"/>
        <v>1007</v>
      </c>
      <c r="CX63" s="173">
        <v>2</v>
      </c>
      <c r="CY63" s="167" t="str">
        <f t="shared" si="17"/>
        <v>超级武器3</v>
      </c>
      <c r="CZ63" s="9">
        <f t="shared" si="60"/>
        <v>2</v>
      </c>
      <c r="DA63" s="9">
        <f t="shared" si="61"/>
        <v>1007</v>
      </c>
      <c r="DB63" s="173">
        <f t="shared" si="62"/>
        <v>1</v>
      </c>
      <c r="DC63" s="9">
        <f t="shared" si="65"/>
        <v>10000000</v>
      </c>
      <c r="DD63" s="9">
        <f t="shared" si="57"/>
        <v>5000000</v>
      </c>
      <c r="DE63" s="9">
        <f t="shared" si="66"/>
        <v>10000000</v>
      </c>
      <c r="DF63" s="9">
        <v>0</v>
      </c>
      <c r="DJ63" s="128"/>
    </row>
    <row r="64" spans="98:114" x14ac:dyDescent="0.25">
      <c r="CT64" s="558"/>
      <c r="CU64" s="168" t="s">
        <v>1539</v>
      </c>
      <c r="CV64" s="169">
        <f t="shared" si="59"/>
        <v>2</v>
      </c>
      <c r="CW64" s="169">
        <f t="shared" si="63"/>
        <v>1008</v>
      </c>
      <c r="CX64" s="173">
        <v>2</v>
      </c>
      <c r="CY64" s="168" t="str">
        <f t="shared" si="17"/>
        <v>超级武器4</v>
      </c>
      <c r="CZ64" s="169">
        <f t="shared" si="60"/>
        <v>2</v>
      </c>
      <c r="DA64" s="169">
        <f t="shared" si="61"/>
        <v>1008</v>
      </c>
      <c r="DB64" s="174">
        <f t="shared" si="62"/>
        <v>1</v>
      </c>
      <c r="DC64" s="169">
        <f t="shared" si="65"/>
        <v>20000000</v>
      </c>
      <c r="DD64" s="169">
        <f t="shared" si="57"/>
        <v>10000000</v>
      </c>
      <c r="DE64" s="169">
        <f t="shared" si="66"/>
        <v>20000000</v>
      </c>
      <c r="DF64" s="169">
        <v>0</v>
      </c>
      <c r="DG64" s="116"/>
      <c r="DH64" s="116"/>
      <c r="DI64" s="116"/>
      <c r="DJ64" s="129"/>
    </row>
    <row r="65" spans="98:114" x14ac:dyDescent="0.25">
      <c r="CT65" s="556" t="str">
        <f>"抽奖
第7档
"&amp;D11&amp;"~
"&amp;E11</f>
        <v>抽奖
第7档
12000000~
24000000</v>
      </c>
      <c r="CU65" s="165" t="s">
        <v>1539</v>
      </c>
      <c r="CV65" s="166">
        <f t="shared" si="59"/>
        <v>2</v>
      </c>
      <c r="CW65" s="166">
        <f t="shared" si="63"/>
        <v>1008</v>
      </c>
      <c r="CX65" s="172">
        <v>4</v>
      </c>
      <c r="CY65" s="165" t="str">
        <f t="shared" si="17"/>
        <v>超级武器4</v>
      </c>
      <c r="CZ65" s="166">
        <f t="shared" si="60"/>
        <v>2</v>
      </c>
      <c r="DA65" s="166">
        <f t="shared" si="61"/>
        <v>1008</v>
      </c>
      <c r="DB65" s="172">
        <f t="shared" si="62"/>
        <v>1</v>
      </c>
      <c r="DC65" s="166">
        <f t="shared" ref="DC65:DC70" si="67">DD65*DH65+DE65</f>
        <v>43000000</v>
      </c>
      <c r="DD65" s="166">
        <f t="shared" si="57"/>
        <v>10000000</v>
      </c>
      <c r="DE65" s="185">
        <f t="shared" si="66"/>
        <v>40000000</v>
      </c>
      <c r="DF65" s="166">
        <v>1</v>
      </c>
      <c r="DG65" s="182">
        <v>1</v>
      </c>
      <c r="DH65" s="182">
        <v>0.3</v>
      </c>
      <c r="DI65" s="113"/>
      <c r="DJ65" s="187"/>
    </row>
    <row r="66" spans="98:114" x14ac:dyDescent="0.25">
      <c r="CT66" s="557"/>
      <c r="CU66" s="167" t="s">
        <v>103</v>
      </c>
      <c r="CV66" s="9">
        <f t="shared" si="59"/>
        <v>1</v>
      </c>
      <c r="CW66" s="9">
        <f t="shared" si="63"/>
        <v>2</v>
      </c>
      <c r="CX66" s="173">
        <v>9000000</v>
      </c>
      <c r="CY66" s="167" t="str">
        <f t="shared" si="17"/>
        <v>金币</v>
      </c>
      <c r="CZ66" s="9">
        <f t="shared" si="60"/>
        <v>1</v>
      </c>
      <c r="DA66" s="9">
        <f t="shared" si="61"/>
        <v>2</v>
      </c>
      <c r="DB66" s="173">
        <f t="shared" si="62"/>
        <v>1800000</v>
      </c>
      <c r="DC66" s="9">
        <f t="shared" si="67"/>
        <v>10350000</v>
      </c>
      <c r="DD66" s="9">
        <f t="shared" ref="DD66:DD70" si="68">VLOOKUP(CY66,DN:DR,3,0)/$DP$7*DB66*VLOOKUP(CY66,DN:DS,6,0)</f>
        <v>1800000</v>
      </c>
      <c r="DE66" s="9">
        <f t="shared" si="66"/>
        <v>9000000</v>
      </c>
      <c r="DF66" s="9">
        <v>0</v>
      </c>
      <c r="DG66" s="183">
        <v>0.5</v>
      </c>
      <c r="DH66" s="184">
        <v>0.75</v>
      </c>
      <c r="DJ66" s="128"/>
    </row>
    <row r="67" spans="98:114" x14ac:dyDescent="0.25">
      <c r="CT67" s="557"/>
      <c r="CU67" s="167" t="s">
        <v>103</v>
      </c>
      <c r="CV67" s="9">
        <f t="shared" si="59"/>
        <v>1</v>
      </c>
      <c r="CW67" s="9">
        <f t="shared" si="63"/>
        <v>2</v>
      </c>
      <c r="CX67" s="173">
        <v>10000000</v>
      </c>
      <c r="CY67" s="167" t="str">
        <f t="shared" si="17"/>
        <v>金币</v>
      </c>
      <c r="CZ67" s="9">
        <f t="shared" si="60"/>
        <v>1</v>
      </c>
      <c r="DA67" s="9">
        <f t="shared" si="61"/>
        <v>2</v>
      </c>
      <c r="DB67" s="173">
        <f t="shared" ref="DB67:DB84" si="69">ROUNDUP(CX67/5,0)</f>
        <v>2000000</v>
      </c>
      <c r="DC67" s="9">
        <f t="shared" si="67"/>
        <v>11500000</v>
      </c>
      <c r="DD67" s="9">
        <f t="shared" si="68"/>
        <v>2000000</v>
      </c>
      <c r="DE67" s="9">
        <f t="shared" si="66"/>
        <v>10000000</v>
      </c>
      <c r="DF67" s="9">
        <v>0</v>
      </c>
      <c r="DG67" s="183">
        <v>1</v>
      </c>
      <c r="DH67" s="184">
        <v>0.75</v>
      </c>
      <c r="DJ67" s="128"/>
    </row>
    <row r="68" spans="98:114" x14ac:dyDescent="0.25">
      <c r="CT68" s="557"/>
      <c r="CU68" s="167" t="s">
        <v>103</v>
      </c>
      <c r="CV68" s="9">
        <f t="shared" si="59"/>
        <v>1</v>
      </c>
      <c r="CW68" s="9">
        <f t="shared" si="63"/>
        <v>2</v>
      </c>
      <c r="CX68" s="173">
        <v>12500000</v>
      </c>
      <c r="CY68" s="167" t="str">
        <f t="shared" si="17"/>
        <v>金币</v>
      </c>
      <c r="CZ68" s="9">
        <f t="shared" si="60"/>
        <v>1</v>
      </c>
      <c r="DA68" s="9">
        <f t="shared" si="61"/>
        <v>2</v>
      </c>
      <c r="DB68" s="173">
        <f t="shared" si="69"/>
        <v>2500000</v>
      </c>
      <c r="DC68" s="9">
        <f t="shared" si="67"/>
        <v>14375000</v>
      </c>
      <c r="DD68" s="9">
        <f t="shared" si="68"/>
        <v>2500000</v>
      </c>
      <c r="DE68" s="5">
        <f t="shared" si="66"/>
        <v>12500000</v>
      </c>
      <c r="DF68" s="9">
        <v>0</v>
      </c>
      <c r="DG68" s="183">
        <v>1</v>
      </c>
      <c r="DH68" s="183">
        <v>0.75</v>
      </c>
      <c r="DJ68" s="128"/>
    </row>
    <row r="69" spans="98:114" x14ac:dyDescent="0.25">
      <c r="CT69" s="557"/>
      <c r="CU69" s="167" t="s">
        <v>103</v>
      </c>
      <c r="CV69" s="9">
        <f t="shared" si="59"/>
        <v>1</v>
      </c>
      <c r="CW69" s="9">
        <f t="shared" si="63"/>
        <v>2</v>
      </c>
      <c r="CX69" s="173">
        <v>15000000</v>
      </c>
      <c r="CY69" s="167" t="str">
        <f t="shared" si="17"/>
        <v>金币</v>
      </c>
      <c r="CZ69" s="9">
        <f t="shared" si="60"/>
        <v>1</v>
      </c>
      <c r="DA69" s="9">
        <f t="shared" si="61"/>
        <v>2</v>
      </c>
      <c r="DB69" s="173">
        <f t="shared" si="69"/>
        <v>3000000</v>
      </c>
      <c r="DC69" s="9">
        <f t="shared" si="67"/>
        <v>16500000</v>
      </c>
      <c r="DD69" s="9">
        <f t="shared" si="68"/>
        <v>3000000</v>
      </c>
      <c r="DE69" s="9">
        <f t="shared" si="66"/>
        <v>15000000</v>
      </c>
      <c r="DF69" s="9">
        <v>0</v>
      </c>
      <c r="DG69" s="183">
        <v>1</v>
      </c>
      <c r="DH69" s="184">
        <v>0.5</v>
      </c>
      <c r="DJ69" s="128"/>
    </row>
    <row r="70" spans="98:114" x14ac:dyDescent="0.25">
      <c r="CT70" s="557"/>
      <c r="CU70" s="167" t="s">
        <v>103</v>
      </c>
      <c r="CV70" s="9">
        <f t="shared" si="59"/>
        <v>1</v>
      </c>
      <c r="CW70" s="9">
        <f t="shared" si="63"/>
        <v>2</v>
      </c>
      <c r="CX70" s="173">
        <v>17500000</v>
      </c>
      <c r="CY70" s="167" t="str">
        <f t="shared" ref="CY70:CY84" si="70">CU70</f>
        <v>金币</v>
      </c>
      <c r="CZ70" s="9">
        <f t="shared" si="60"/>
        <v>1</v>
      </c>
      <c r="DA70" s="9">
        <f t="shared" si="61"/>
        <v>2</v>
      </c>
      <c r="DB70" s="173">
        <f t="shared" si="69"/>
        <v>3500000</v>
      </c>
      <c r="DC70" s="9">
        <f t="shared" si="67"/>
        <v>18550000</v>
      </c>
      <c r="DD70" s="9">
        <f t="shared" si="68"/>
        <v>3500000</v>
      </c>
      <c r="DE70" s="9">
        <f t="shared" si="66"/>
        <v>17500000</v>
      </c>
      <c r="DF70" s="9">
        <v>0</v>
      </c>
      <c r="DG70" s="183">
        <v>1</v>
      </c>
      <c r="DH70" s="183">
        <v>0.3</v>
      </c>
      <c r="DJ70" s="128"/>
    </row>
    <row r="71" spans="98:114" x14ac:dyDescent="0.25">
      <c r="CT71" s="557"/>
      <c r="CU71" s="167" t="s">
        <v>103</v>
      </c>
      <c r="CV71" s="9">
        <f t="shared" si="59"/>
        <v>1</v>
      </c>
      <c r="CW71" s="9">
        <f t="shared" si="63"/>
        <v>2</v>
      </c>
      <c r="CX71" s="173">
        <v>20000000</v>
      </c>
      <c r="CY71" s="167" t="str">
        <f t="shared" si="70"/>
        <v>金币</v>
      </c>
      <c r="CZ71" s="9">
        <f t="shared" si="60"/>
        <v>1</v>
      </c>
      <c r="DA71" s="9">
        <f t="shared" si="61"/>
        <v>2</v>
      </c>
      <c r="DB71" s="173">
        <f t="shared" si="69"/>
        <v>4000000</v>
      </c>
      <c r="DC71" s="9">
        <f t="shared" ref="DC71:DC84" si="71">DD71*DH71+DE71</f>
        <v>20000000</v>
      </c>
      <c r="DD71" s="9">
        <f>VLOOKUP(CY71,DN:DR,3,0)/$DP$7*DB71*VLOOKUP(CY71,DN:DS,6,0)</f>
        <v>4000000</v>
      </c>
      <c r="DE71" s="9">
        <f t="shared" si="66"/>
        <v>20000000</v>
      </c>
      <c r="DF71" s="9">
        <v>0</v>
      </c>
      <c r="DJ71" s="128"/>
    </row>
    <row r="72" spans="98:114" x14ac:dyDescent="0.25">
      <c r="CT72" s="557"/>
      <c r="CU72" s="167" t="s">
        <v>103</v>
      </c>
      <c r="CV72" s="9">
        <f t="shared" si="59"/>
        <v>1</v>
      </c>
      <c r="CW72" s="9">
        <f t="shared" si="63"/>
        <v>2</v>
      </c>
      <c r="CX72" s="173">
        <v>22500000</v>
      </c>
      <c r="CY72" s="167" t="str">
        <f t="shared" si="70"/>
        <v>金币</v>
      </c>
      <c r="CZ72" s="9">
        <f t="shared" si="60"/>
        <v>1</v>
      </c>
      <c r="DA72" s="9">
        <f t="shared" si="61"/>
        <v>2</v>
      </c>
      <c r="DB72" s="173">
        <f t="shared" si="69"/>
        <v>4500000</v>
      </c>
      <c r="DC72" s="9">
        <f t="shared" si="71"/>
        <v>22500000</v>
      </c>
      <c r="DD72" s="9">
        <f>VLOOKUP(CY72,DN:DR,3,0)/$DP$7*DB72*VLOOKUP(CY72,DN:DS,6,0)</f>
        <v>4500000</v>
      </c>
      <c r="DE72" s="9">
        <f t="shared" si="66"/>
        <v>22500000</v>
      </c>
      <c r="DF72" s="9">
        <v>0</v>
      </c>
      <c r="DJ72" s="128"/>
    </row>
    <row r="73" spans="98:114" x14ac:dyDescent="0.25">
      <c r="CT73" s="557"/>
      <c r="CU73" s="167" t="s">
        <v>1549</v>
      </c>
      <c r="CV73" s="9">
        <f t="shared" si="59"/>
        <v>2</v>
      </c>
      <c r="CW73" s="9">
        <f t="shared" si="63"/>
        <v>1007</v>
      </c>
      <c r="CX73" s="173">
        <v>4</v>
      </c>
      <c r="CY73" s="167" t="str">
        <f t="shared" si="70"/>
        <v>超级武器3</v>
      </c>
      <c r="CZ73" s="9">
        <f t="shared" si="60"/>
        <v>2</v>
      </c>
      <c r="DA73" s="9">
        <f t="shared" si="61"/>
        <v>1007</v>
      </c>
      <c r="DB73" s="173">
        <f t="shared" si="69"/>
        <v>1</v>
      </c>
      <c r="DC73" s="9">
        <f t="shared" si="71"/>
        <v>20000000</v>
      </c>
      <c r="DD73" s="9">
        <f>VLOOKUP(CY73,DN:DR,3,0)/$DP$7*DB73*VLOOKUP(CY73,DN:DS,6,0)</f>
        <v>5000000</v>
      </c>
      <c r="DE73" s="9">
        <f t="shared" si="66"/>
        <v>20000000</v>
      </c>
      <c r="DF73" s="9">
        <v>0</v>
      </c>
      <c r="DJ73" s="128"/>
    </row>
    <row r="74" spans="98:114" x14ac:dyDescent="0.25">
      <c r="CT74" s="558"/>
      <c r="CU74" s="168" t="s">
        <v>1539</v>
      </c>
      <c r="CV74" s="169">
        <f t="shared" si="59"/>
        <v>2</v>
      </c>
      <c r="CW74" s="169">
        <f t="shared" si="63"/>
        <v>1008</v>
      </c>
      <c r="CX74" s="174">
        <v>3</v>
      </c>
      <c r="CY74" s="168" t="str">
        <f t="shared" si="70"/>
        <v>超级武器4</v>
      </c>
      <c r="CZ74" s="169">
        <f t="shared" si="60"/>
        <v>2</v>
      </c>
      <c r="DA74" s="169">
        <f t="shared" si="61"/>
        <v>1008</v>
      </c>
      <c r="DB74" s="174">
        <f t="shared" si="69"/>
        <v>1</v>
      </c>
      <c r="DC74" s="169">
        <f t="shared" si="71"/>
        <v>30000000</v>
      </c>
      <c r="DD74" s="169">
        <f>VLOOKUP(CY74,DN:DR,3,0)/$DP$7*DB74*VLOOKUP(CY74,DN:DS,6,0)</f>
        <v>10000000</v>
      </c>
      <c r="DE74" s="169">
        <f t="shared" si="66"/>
        <v>30000000</v>
      </c>
      <c r="DF74" s="169">
        <v>0</v>
      </c>
      <c r="DG74" s="116"/>
      <c r="DH74" s="116"/>
      <c r="DI74" s="116"/>
      <c r="DJ74" s="129"/>
    </row>
    <row r="75" spans="98:114" x14ac:dyDescent="0.25">
      <c r="CT75" s="556" t="str">
        <f>"抽奖
第8档
"&amp;D12&amp;"~
"&amp;E12</f>
        <v>抽奖
第8档
24000000~
999999999</v>
      </c>
      <c r="CU75" s="165" t="s">
        <v>1539</v>
      </c>
      <c r="CV75" s="166">
        <f t="shared" si="59"/>
        <v>2</v>
      </c>
      <c r="CW75" s="166">
        <f t="shared" si="63"/>
        <v>1008</v>
      </c>
      <c r="CX75" s="172">
        <v>5</v>
      </c>
      <c r="CY75" s="165" t="str">
        <f t="shared" si="70"/>
        <v>超级武器4</v>
      </c>
      <c r="CZ75" s="166">
        <f t="shared" si="60"/>
        <v>2</v>
      </c>
      <c r="DA75" s="166">
        <f t="shared" si="61"/>
        <v>1008</v>
      </c>
      <c r="DB75" s="172">
        <f t="shared" si="69"/>
        <v>1</v>
      </c>
      <c r="DC75" s="166">
        <f t="shared" si="71"/>
        <v>53000000</v>
      </c>
      <c r="DD75" s="166">
        <f>VLOOKUP(CY75,DN:DR,3,0)/$DP$7*DB75*VLOOKUP(CY75,DN:DS,6,0)</f>
        <v>10000000</v>
      </c>
      <c r="DE75" s="185">
        <f t="shared" si="66"/>
        <v>50000000</v>
      </c>
      <c r="DF75" s="166">
        <v>1</v>
      </c>
      <c r="DG75" s="182">
        <v>1</v>
      </c>
      <c r="DH75" s="182">
        <v>0.3</v>
      </c>
      <c r="DI75" s="113"/>
      <c r="DJ75" s="187"/>
    </row>
    <row r="76" spans="98:114" x14ac:dyDescent="0.25">
      <c r="CT76" s="557"/>
      <c r="CU76" s="167" t="s">
        <v>103</v>
      </c>
      <c r="CV76" s="9">
        <f t="shared" si="59"/>
        <v>1</v>
      </c>
      <c r="CW76" s="9">
        <f t="shared" si="63"/>
        <v>2</v>
      </c>
      <c r="CX76" s="173">
        <v>18000000</v>
      </c>
      <c r="CY76" s="167" t="str">
        <f t="shared" si="70"/>
        <v>金币</v>
      </c>
      <c r="CZ76" s="9">
        <f t="shared" si="60"/>
        <v>1</v>
      </c>
      <c r="DA76" s="9">
        <f t="shared" si="61"/>
        <v>2</v>
      </c>
      <c r="DB76" s="173">
        <f t="shared" si="69"/>
        <v>3600000</v>
      </c>
      <c r="DC76" s="9">
        <f t="shared" si="71"/>
        <v>20700000</v>
      </c>
      <c r="DD76" s="9">
        <f t="shared" ref="DD76:DD80" si="72">VLOOKUP(CY76,DN:DR,3,0)/$DP$7*DB76*VLOOKUP(CY76,DN:DS,6,0)</f>
        <v>3600000</v>
      </c>
      <c r="DE76" s="5">
        <f t="shared" ref="DE76:DE80" si="73">VLOOKUP(CU76,DN:DR,3,0)/$DP$7*CX76*VLOOKUP(CU76,DN:DS,6,0)</f>
        <v>18000000</v>
      </c>
      <c r="DF76" s="9">
        <v>0</v>
      </c>
      <c r="DG76" s="183">
        <v>0.5</v>
      </c>
      <c r="DH76" s="184">
        <v>0.75</v>
      </c>
      <c r="DJ76" s="128"/>
    </row>
    <row r="77" spans="98:114" x14ac:dyDescent="0.25">
      <c r="CT77" s="557"/>
      <c r="CU77" s="167" t="s">
        <v>103</v>
      </c>
      <c r="CV77" s="9">
        <f t="shared" si="59"/>
        <v>1</v>
      </c>
      <c r="CW77" s="9">
        <f t="shared" si="63"/>
        <v>2</v>
      </c>
      <c r="CX77" s="173">
        <v>20000000</v>
      </c>
      <c r="CY77" s="167" t="str">
        <f t="shared" si="70"/>
        <v>金币</v>
      </c>
      <c r="CZ77" s="9">
        <f t="shared" si="60"/>
        <v>1</v>
      </c>
      <c r="DA77" s="9">
        <f t="shared" si="61"/>
        <v>2</v>
      </c>
      <c r="DB77" s="173">
        <f t="shared" si="69"/>
        <v>4000000</v>
      </c>
      <c r="DC77" s="9">
        <f t="shared" si="71"/>
        <v>23000000</v>
      </c>
      <c r="DD77" s="9">
        <f t="shared" si="72"/>
        <v>4000000</v>
      </c>
      <c r="DE77" s="5">
        <f t="shared" si="73"/>
        <v>20000000</v>
      </c>
      <c r="DF77" s="9">
        <v>0</v>
      </c>
      <c r="DG77" s="183">
        <v>1</v>
      </c>
      <c r="DH77" s="184">
        <v>0.75</v>
      </c>
      <c r="DJ77" s="128"/>
    </row>
    <row r="78" spans="98:114" x14ac:dyDescent="0.25">
      <c r="CT78" s="557"/>
      <c r="CU78" s="167" t="s">
        <v>103</v>
      </c>
      <c r="CV78" s="9">
        <f t="shared" si="59"/>
        <v>1</v>
      </c>
      <c r="CW78" s="9">
        <f t="shared" si="63"/>
        <v>2</v>
      </c>
      <c r="CX78" s="173">
        <v>25000000</v>
      </c>
      <c r="CY78" s="167" t="str">
        <f t="shared" si="70"/>
        <v>金币</v>
      </c>
      <c r="CZ78" s="9">
        <f t="shared" si="60"/>
        <v>1</v>
      </c>
      <c r="DA78" s="9">
        <f t="shared" si="61"/>
        <v>2</v>
      </c>
      <c r="DB78" s="173">
        <f t="shared" si="69"/>
        <v>5000000</v>
      </c>
      <c r="DC78" s="9">
        <f t="shared" si="71"/>
        <v>28750000</v>
      </c>
      <c r="DD78" s="9">
        <f t="shared" si="72"/>
        <v>5000000</v>
      </c>
      <c r="DE78" s="9">
        <f t="shared" si="73"/>
        <v>25000000</v>
      </c>
      <c r="DF78" s="9">
        <v>0</v>
      </c>
      <c r="DG78" s="183">
        <v>1</v>
      </c>
      <c r="DH78" s="183">
        <v>0.75</v>
      </c>
      <c r="DJ78" s="128"/>
    </row>
    <row r="79" spans="98:114" x14ac:dyDescent="0.25">
      <c r="CT79" s="557"/>
      <c r="CU79" s="167" t="s">
        <v>103</v>
      </c>
      <c r="CV79" s="9">
        <f t="shared" si="59"/>
        <v>1</v>
      </c>
      <c r="CW79" s="9">
        <f t="shared" si="63"/>
        <v>2</v>
      </c>
      <c r="CX79" s="173">
        <v>30000000</v>
      </c>
      <c r="CY79" s="167" t="str">
        <f t="shared" si="70"/>
        <v>金币</v>
      </c>
      <c r="CZ79" s="9">
        <f t="shared" si="60"/>
        <v>1</v>
      </c>
      <c r="DA79" s="9">
        <f t="shared" si="61"/>
        <v>2</v>
      </c>
      <c r="DB79" s="173">
        <f t="shared" si="69"/>
        <v>6000000</v>
      </c>
      <c r="DC79" s="9">
        <f t="shared" si="71"/>
        <v>33000000</v>
      </c>
      <c r="DD79" s="9">
        <f t="shared" si="72"/>
        <v>6000000</v>
      </c>
      <c r="DE79" s="9">
        <f t="shared" si="73"/>
        <v>30000000</v>
      </c>
      <c r="DF79" s="9">
        <v>0</v>
      </c>
      <c r="DG79" s="183">
        <v>1</v>
      </c>
      <c r="DH79" s="184">
        <v>0.5</v>
      </c>
      <c r="DJ79" s="128"/>
    </row>
    <row r="80" spans="98:114" x14ac:dyDescent="0.25">
      <c r="CT80" s="557"/>
      <c r="CU80" s="167" t="s">
        <v>103</v>
      </c>
      <c r="CV80" s="9">
        <f t="shared" si="59"/>
        <v>1</v>
      </c>
      <c r="CW80" s="9">
        <f t="shared" si="63"/>
        <v>2</v>
      </c>
      <c r="CX80" s="173">
        <v>37500000</v>
      </c>
      <c r="CY80" s="167" t="str">
        <f t="shared" si="70"/>
        <v>金币</v>
      </c>
      <c r="CZ80" s="9">
        <f t="shared" si="60"/>
        <v>1</v>
      </c>
      <c r="DA80" s="9">
        <f t="shared" si="61"/>
        <v>2</v>
      </c>
      <c r="DB80" s="173">
        <f t="shared" si="69"/>
        <v>7500000</v>
      </c>
      <c r="DC80" s="9">
        <f t="shared" si="71"/>
        <v>39750000</v>
      </c>
      <c r="DD80" s="9">
        <f t="shared" si="72"/>
        <v>7500000</v>
      </c>
      <c r="DE80" s="9">
        <f t="shared" si="73"/>
        <v>37500000</v>
      </c>
      <c r="DF80" s="9">
        <v>0</v>
      </c>
      <c r="DG80" s="183">
        <v>1</v>
      </c>
      <c r="DH80" s="183">
        <v>0.3</v>
      </c>
      <c r="DJ80" s="128"/>
    </row>
    <row r="81" spans="98:114" x14ac:dyDescent="0.25">
      <c r="CT81" s="557"/>
      <c r="CU81" s="167" t="s">
        <v>103</v>
      </c>
      <c r="CV81" s="9">
        <f>VLOOKUP(CU81,DN:DR,4,0)</f>
        <v>1</v>
      </c>
      <c r="CW81" s="9">
        <f>VLOOKUP(CU81,DN:DR,5,0)</f>
        <v>2</v>
      </c>
      <c r="CX81" s="173">
        <v>45000000</v>
      </c>
      <c r="CY81" s="167" t="str">
        <f t="shared" si="70"/>
        <v>金币</v>
      </c>
      <c r="CZ81" s="9">
        <f t="shared" si="60"/>
        <v>1</v>
      </c>
      <c r="DA81" s="9">
        <f t="shared" si="61"/>
        <v>2</v>
      </c>
      <c r="DB81" s="173">
        <f t="shared" si="69"/>
        <v>9000000</v>
      </c>
      <c r="DC81" s="9">
        <f t="shared" si="71"/>
        <v>45000000</v>
      </c>
      <c r="DD81" s="9">
        <f>VLOOKUP(CY81,DN:DR,3,0)/$DP$7*DB81*VLOOKUP(CY81,DN:DS,6,0)</f>
        <v>9000000</v>
      </c>
      <c r="DE81" s="9">
        <f>VLOOKUP(CU81,DN:DR,3,0)/$DP$7*CX81*VLOOKUP(CU81,DN:DS,6,0)</f>
        <v>45000000</v>
      </c>
      <c r="DF81" s="9">
        <v>0</v>
      </c>
      <c r="DJ81" s="128"/>
    </row>
    <row r="82" spans="98:114" x14ac:dyDescent="0.25">
      <c r="CT82" s="557"/>
      <c r="CU82" s="167" t="s">
        <v>1549</v>
      </c>
      <c r="CV82" s="9">
        <f>VLOOKUP(CU82,DN:DR,4,0)</f>
        <v>2</v>
      </c>
      <c r="CW82" s="9">
        <f>VLOOKUP(CU82,DN:DR,5,0)</f>
        <v>1007</v>
      </c>
      <c r="CX82" s="173">
        <v>6</v>
      </c>
      <c r="CY82" s="167" t="str">
        <f t="shared" si="70"/>
        <v>超级武器3</v>
      </c>
      <c r="CZ82" s="9">
        <f t="shared" si="60"/>
        <v>2</v>
      </c>
      <c r="DA82" s="9">
        <f t="shared" si="61"/>
        <v>1007</v>
      </c>
      <c r="DB82" s="173">
        <f t="shared" si="69"/>
        <v>2</v>
      </c>
      <c r="DC82" s="9">
        <f t="shared" si="71"/>
        <v>30000000</v>
      </c>
      <c r="DD82" s="9">
        <f>VLOOKUP(CY82,DN:DR,3,0)/$DP$7*DB82*VLOOKUP(CY82,DN:DS,6,0)</f>
        <v>10000000</v>
      </c>
      <c r="DE82" s="9">
        <f>VLOOKUP(CU82,DN:DR,3,0)/$DP$7*CX82*VLOOKUP(CU82,DN:DS,6,0)</f>
        <v>30000000</v>
      </c>
      <c r="DF82" s="9">
        <v>0</v>
      </c>
      <c r="DJ82" s="128"/>
    </row>
    <row r="83" spans="98:114" x14ac:dyDescent="0.25">
      <c r="CT83" s="557"/>
      <c r="CU83" s="167" t="s">
        <v>1549</v>
      </c>
      <c r="CV83" s="9">
        <f>VLOOKUP(CU83,DN:DR,4,0)</f>
        <v>2</v>
      </c>
      <c r="CW83" s="9">
        <f>VLOOKUP(CU83,DN:DR,5,0)</f>
        <v>1007</v>
      </c>
      <c r="CX83" s="173">
        <v>7</v>
      </c>
      <c r="CY83" s="167" t="str">
        <f t="shared" si="70"/>
        <v>超级武器3</v>
      </c>
      <c r="CZ83" s="9">
        <f t="shared" si="60"/>
        <v>2</v>
      </c>
      <c r="DA83" s="9">
        <f t="shared" si="61"/>
        <v>1007</v>
      </c>
      <c r="DB83" s="173">
        <f t="shared" si="69"/>
        <v>2</v>
      </c>
      <c r="DC83" s="9">
        <f t="shared" si="71"/>
        <v>35000000</v>
      </c>
      <c r="DD83" s="9">
        <f>VLOOKUP(CY83,DN:DR,3,0)/$DP$7*DB83*VLOOKUP(CY83,DN:DS,6,0)</f>
        <v>10000000</v>
      </c>
      <c r="DE83" s="9">
        <f>VLOOKUP(CU83,DN:DR,3,0)/$DP$7*CX83*VLOOKUP(CU83,DN:DS,6,0)</f>
        <v>35000000</v>
      </c>
      <c r="DF83" s="9">
        <v>0</v>
      </c>
      <c r="DJ83" s="128"/>
    </row>
    <row r="84" spans="98:114" x14ac:dyDescent="0.25">
      <c r="CT84" s="558"/>
      <c r="CU84" s="168" t="s">
        <v>1539</v>
      </c>
      <c r="CV84" s="169">
        <f>VLOOKUP(CU84,DN:DR,4,0)</f>
        <v>2</v>
      </c>
      <c r="CW84" s="169">
        <f>VLOOKUP(CU84,DN:DR,5,0)</f>
        <v>1008</v>
      </c>
      <c r="CX84" s="174">
        <v>4</v>
      </c>
      <c r="CY84" s="168" t="str">
        <f t="shared" si="70"/>
        <v>超级武器4</v>
      </c>
      <c r="CZ84" s="169">
        <f t="shared" si="60"/>
        <v>2</v>
      </c>
      <c r="DA84" s="169">
        <f t="shared" si="61"/>
        <v>1008</v>
      </c>
      <c r="DB84" s="174">
        <f t="shared" si="69"/>
        <v>1</v>
      </c>
      <c r="DC84" s="169">
        <f t="shared" si="71"/>
        <v>40000000</v>
      </c>
      <c r="DD84" s="169">
        <f>VLOOKUP(CY84,DN:DR,3,0)/$DP$7*DB84*VLOOKUP(CY84,DN:DS,6,0)</f>
        <v>10000000</v>
      </c>
      <c r="DE84" s="169">
        <f>VLOOKUP(CU84,DN:DR,3,0)/$DP$7*CX84*VLOOKUP(CU84,DN:DS,6,0)</f>
        <v>40000000</v>
      </c>
      <c r="DF84" s="169">
        <v>0</v>
      </c>
      <c r="DG84" s="116"/>
      <c r="DH84" s="116"/>
      <c r="DI84" s="116"/>
      <c r="DJ84" s="129"/>
    </row>
  </sheetData>
  <mergeCells count="10">
    <mergeCell ref="CT35:CT44"/>
    <mergeCell ref="CT45:CT54"/>
    <mergeCell ref="CT55:CT64"/>
    <mergeCell ref="CT65:CT74"/>
    <mergeCell ref="CT75:CT84"/>
    <mergeCell ref="CU3:CX3"/>
    <mergeCell ref="CY3:DB3"/>
    <mergeCell ref="CT5:CT14"/>
    <mergeCell ref="CT15:CT24"/>
    <mergeCell ref="CT25:CT34"/>
  </mergeCells>
  <phoneticPr fontId="57" type="noConversion"/>
  <conditionalFormatting sqref="DE4">
    <cfRule type="containsText" dxfId="596" priority="8" operator="containsText" text=" ">
      <formula>NOT(ISERROR(SEARCH(" ",DE4)))</formula>
    </cfRule>
  </conditionalFormatting>
  <conditionalFormatting sqref="DJ4">
    <cfRule type="containsText" dxfId="595" priority="101" operator="containsText" text=" ">
      <formula>NOT(ISERROR(SEARCH(" ",DJ4)))</formula>
    </cfRule>
  </conditionalFormatting>
  <conditionalFormatting sqref="X10">
    <cfRule type="containsText" dxfId="594" priority="29" operator="containsText" text=" ">
      <formula>NOT(ISERROR(SEARCH(" ",X10)))</formula>
    </cfRule>
  </conditionalFormatting>
  <conditionalFormatting sqref="DF25">
    <cfRule type="containsText" dxfId="593" priority="156" operator="containsText" text=" ">
      <formula>NOT(ISERROR(SEARCH(" ",DF25)))</formula>
    </cfRule>
  </conditionalFormatting>
  <conditionalFormatting sqref="DF35">
    <cfRule type="containsText" dxfId="592" priority="155" operator="containsText" text=" ">
      <formula>NOT(ISERROR(SEARCH(" ",DF35)))</formula>
    </cfRule>
  </conditionalFormatting>
  <conditionalFormatting sqref="DF45">
    <cfRule type="containsText" dxfId="591" priority="154" operator="containsText" text=" ">
      <formula>NOT(ISERROR(SEARCH(" ",DF45)))</formula>
    </cfRule>
  </conditionalFormatting>
  <conditionalFormatting sqref="DF55">
    <cfRule type="containsText" dxfId="590" priority="172" operator="containsText" text=" ">
      <formula>NOT(ISERROR(SEARCH(" ",DF55)))</formula>
    </cfRule>
  </conditionalFormatting>
  <conditionalFormatting sqref="DE65">
    <cfRule type="containsText" dxfId="589" priority="67" operator="containsText" text=" ">
      <formula>NOT(ISERROR(SEARCH(" ",DE65)))</formula>
    </cfRule>
  </conditionalFormatting>
  <conditionalFormatting sqref="DF65">
    <cfRule type="containsText" dxfId="588" priority="95" operator="containsText" text=" ">
      <formula>NOT(ISERROR(SEARCH(" ",DF65)))</formula>
    </cfRule>
  </conditionalFormatting>
  <conditionalFormatting sqref="CX66">
    <cfRule type="containsText" dxfId="587" priority="3" operator="containsText" text=" ">
      <formula>NOT(ISERROR(SEARCH(" ",CX66)))</formula>
    </cfRule>
  </conditionalFormatting>
  <conditionalFormatting sqref="CX72">
    <cfRule type="containsText" dxfId="586" priority="1" operator="containsText" text=" ">
      <formula>NOT(ISERROR(SEARCH(" ",CX72)))</formula>
    </cfRule>
  </conditionalFormatting>
  <conditionalFormatting sqref="DE75">
    <cfRule type="containsText" dxfId="585" priority="66" operator="containsText" text=" ">
      <formula>NOT(ISERROR(SEARCH(" ",DE75)))</formula>
    </cfRule>
  </conditionalFormatting>
  <conditionalFormatting sqref="DF75">
    <cfRule type="containsText" dxfId="584" priority="88" operator="containsText" text=" ">
      <formula>NOT(ISERROR(SEARCH(" ",DF75)))</formula>
    </cfRule>
  </conditionalFormatting>
  <conditionalFormatting sqref="D11:D12">
    <cfRule type="containsText" dxfId="583" priority="99" operator="containsText" text=" ">
      <formula>NOT(ISERROR(SEARCH(" ",D11)))</formula>
    </cfRule>
  </conditionalFormatting>
  <conditionalFormatting sqref="O5:O8">
    <cfRule type="containsText" dxfId="582" priority="20" operator="containsText" text=" ">
      <formula>NOT(ISERROR(SEARCH(" ",O5)))</formula>
    </cfRule>
  </conditionalFormatting>
  <conditionalFormatting sqref="R13:R1048576">
    <cfRule type="containsText" dxfId="581" priority="142" operator="containsText" text=" ">
      <formula>NOT(ISERROR(SEARCH(" ",R13)))</formula>
    </cfRule>
  </conditionalFormatting>
  <conditionalFormatting sqref="W5:W12">
    <cfRule type="containsText" dxfId="580" priority="13" operator="containsText" text=" ">
      <formula>NOT(ISERROR(SEARCH(" ",W5)))</formula>
    </cfRule>
  </conditionalFormatting>
  <conditionalFormatting sqref="X5:X9">
    <cfRule type="containsText" dxfId="579" priority="21" operator="containsText" text=" ">
      <formula>NOT(ISERROR(SEARCH(" ",X5)))</formula>
    </cfRule>
  </conditionalFormatting>
  <conditionalFormatting sqref="X11:X12">
    <cfRule type="containsText" dxfId="578" priority="33" operator="containsText" text=" ">
      <formula>NOT(ISERROR(SEARCH(" ",X11)))</formula>
    </cfRule>
  </conditionalFormatting>
  <conditionalFormatting sqref="AG5:AG10">
    <cfRule type="containsText" dxfId="577" priority="22" operator="containsText" text=" ">
      <formula>NOT(ISERROR(SEARCH(" ",AG5)))</formula>
    </cfRule>
  </conditionalFormatting>
  <conditionalFormatting sqref="AG11:AG12">
    <cfRule type="containsText" dxfId="576" priority="32" operator="containsText" text=" ">
      <formula>NOT(ISERROR(SEARCH(" ",AG11)))</formula>
    </cfRule>
  </conditionalFormatting>
  <conditionalFormatting sqref="AG13:AG1048576">
    <cfRule type="containsText" dxfId="575" priority="48" operator="containsText" text=" ">
      <formula>NOT(ISERROR(SEARCH(" ",AG13)))</formula>
    </cfRule>
  </conditionalFormatting>
  <conditionalFormatting sqref="AJ13:AJ1048576">
    <cfRule type="containsText" dxfId="574" priority="140" operator="containsText" text=" ">
      <formula>NOT(ISERROR(SEARCH(" ",AJ13)))</formula>
    </cfRule>
  </conditionalFormatting>
  <conditionalFormatting sqref="AO5:AO12">
    <cfRule type="containsText" dxfId="573" priority="12" operator="containsText" text=" ">
      <formula>NOT(ISERROR(SEARCH(" ",AO5)))</formula>
    </cfRule>
  </conditionalFormatting>
  <conditionalFormatting sqref="AP5:AP10">
    <cfRule type="containsText" dxfId="572" priority="23" operator="containsText" text=" ">
      <formula>NOT(ISERROR(SEARCH(" ",AP5)))</formula>
    </cfRule>
  </conditionalFormatting>
  <conditionalFormatting sqref="AP11:AP12">
    <cfRule type="containsText" dxfId="571" priority="31" operator="containsText" text=" ">
      <formula>NOT(ISERROR(SEARCH(" ",AP11)))</formula>
    </cfRule>
  </conditionalFormatting>
  <conditionalFormatting sqref="AP13:AP1048576">
    <cfRule type="containsText" dxfId="570" priority="46" operator="containsText" text=" ">
      <formula>NOT(ISERROR(SEARCH(" ",AP13)))</formula>
    </cfRule>
  </conditionalFormatting>
  <conditionalFormatting sqref="AS13:AS1048576">
    <cfRule type="containsText" dxfId="569" priority="139" operator="containsText" text=" ">
      <formula>NOT(ISERROR(SEARCH(" ",AS13)))</formula>
    </cfRule>
  </conditionalFormatting>
  <conditionalFormatting sqref="AY5:AY12">
    <cfRule type="containsText" dxfId="568" priority="30" operator="containsText" text=" ">
      <formula>NOT(ISERROR(SEARCH(" ",AY5)))</formula>
    </cfRule>
  </conditionalFormatting>
  <conditionalFormatting sqref="AY13:AY1048576">
    <cfRule type="containsText" dxfId="567" priority="44" operator="containsText" text=" ">
      <formula>NOT(ISERROR(SEARCH(" ",AY13)))</formula>
    </cfRule>
  </conditionalFormatting>
  <conditionalFormatting sqref="BB13:BB1048576">
    <cfRule type="containsText" dxfId="566" priority="138" operator="containsText" text=" ">
      <formula>NOT(ISERROR(SEARCH(" ",BB13)))</formula>
    </cfRule>
  </conditionalFormatting>
  <conditionalFormatting sqref="BH5:BH12">
    <cfRule type="containsText" dxfId="565" priority="28" operator="containsText" text=" ">
      <formula>NOT(ISERROR(SEARCH(" ",BH5)))</formula>
    </cfRule>
  </conditionalFormatting>
  <conditionalFormatting sqref="BH13:BH1048576">
    <cfRule type="containsText" dxfId="564" priority="42" operator="containsText" text=" ">
      <formula>NOT(ISERROR(SEARCH(" ",BH13)))</formula>
    </cfRule>
  </conditionalFormatting>
  <conditionalFormatting sqref="BJ5:BJ12">
    <cfRule type="containsText" dxfId="563" priority="51" operator="containsText" text=" ">
      <formula>NOT(ISERROR(SEARCH(" ",BJ5)))</formula>
    </cfRule>
  </conditionalFormatting>
  <conditionalFormatting sqref="BK5:BK10">
    <cfRule type="containsText" dxfId="562" priority="53" operator="containsText" text=" ">
      <formula>NOT(ISERROR(SEARCH(" ",BK5)))</formula>
    </cfRule>
  </conditionalFormatting>
  <conditionalFormatting sqref="BK11:BK12">
    <cfRule type="containsText" dxfId="561" priority="52" operator="containsText" text=" ">
      <formula>NOT(ISERROR(SEARCH(" ",BK11)))</formula>
    </cfRule>
  </conditionalFormatting>
  <conditionalFormatting sqref="BQ5:BQ12">
    <cfRule type="containsText" dxfId="560" priority="27" operator="containsText" text=" ">
      <formula>NOT(ISERROR(SEARCH(" ",BQ5)))</formula>
    </cfRule>
  </conditionalFormatting>
  <conditionalFormatting sqref="BQ13:BQ1048576">
    <cfRule type="containsText" dxfId="559" priority="40" operator="containsText" text=" ">
      <formula>NOT(ISERROR(SEARCH(" ",BQ13)))</formula>
    </cfRule>
  </conditionalFormatting>
  <conditionalFormatting sqref="BZ5:BZ12">
    <cfRule type="containsText" dxfId="558" priority="26" operator="containsText" text=" ">
      <formula>NOT(ISERROR(SEARCH(" ",BZ5)))</formula>
    </cfRule>
  </conditionalFormatting>
  <conditionalFormatting sqref="BZ13:BZ1048576">
    <cfRule type="containsText" dxfId="557" priority="38" operator="containsText" text=" ">
      <formula>NOT(ISERROR(SEARCH(" ",BZ13)))</formula>
    </cfRule>
  </conditionalFormatting>
  <conditionalFormatting sqref="CI5:CI12">
    <cfRule type="containsText" dxfId="556" priority="25" operator="containsText" text=" ">
      <formula>NOT(ISERROR(SEARCH(" ",CI5)))</formula>
    </cfRule>
  </conditionalFormatting>
  <conditionalFormatting sqref="CI13:CI1048576">
    <cfRule type="containsText" dxfId="555" priority="36" operator="containsText" text=" ">
      <formula>NOT(ISERROR(SEARCH(" ",CI13)))</formula>
    </cfRule>
  </conditionalFormatting>
  <conditionalFormatting sqref="CR5:CR12">
    <cfRule type="containsText" dxfId="554" priority="24" operator="containsText" text=" ">
      <formula>NOT(ISERROR(SEARCH(" ",CR5)))</formula>
    </cfRule>
  </conditionalFormatting>
  <conditionalFormatting sqref="CR13:CR1048576">
    <cfRule type="containsText" dxfId="553" priority="34" operator="containsText" text=" ">
      <formula>NOT(ISERROR(SEARCH(" ",CR13)))</formula>
    </cfRule>
  </conditionalFormatting>
  <conditionalFormatting sqref="CU6:CU10">
    <cfRule type="containsText" dxfId="552" priority="9" operator="containsText" text=" ">
      <formula>NOT(ISERROR(SEARCH(" ",CU6)))</formula>
    </cfRule>
  </conditionalFormatting>
  <conditionalFormatting sqref="CU16:CU17">
    <cfRule type="containsText" dxfId="551" priority="7" operator="containsText" text=" ">
      <formula>NOT(ISERROR(SEARCH(" ",CU16)))</formula>
    </cfRule>
  </conditionalFormatting>
  <conditionalFormatting sqref="CX67:CX71">
    <cfRule type="containsText" dxfId="550" priority="4" operator="containsText" text=" ">
      <formula>NOT(ISERROR(SEARCH(" ",CX67)))</formula>
    </cfRule>
  </conditionalFormatting>
  <conditionalFormatting sqref="DC25:DC44">
    <cfRule type="containsText" dxfId="549" priority="109" operator="containsText" text=" ">
      <formula>NOT(ISERROR(SEARCH(" ",DC25)))</formula>
    </cfRule>
  </conditionalFormatting>
  <conditionalFormatting sqref="DC45:DC64">
    <cfRule type="containsText" dxfId="548" priority="108" operator="containsText" text=" ">
      <formula>NOT(ISERROR(SEARCH(" ",DC45)))</formula>
    </cfRule>
  </conditionalFormatting>
  <conditionalFormatting sqref="DC65:DC74">
    <cfRule type="containsText" dxfId="547" priority="92" operator="containsText" text=" ">
      <formula>NOT(ISERROR(SEARCH(" ",DC65)))</formula>
    </cfRule>
  </conditionalFormatting>
  <conditionalFormatting sqref="DC75:DC84">
    <cfRule type="containsText" dxfId="546" priority="85" operator="containsText" text=" ">
      <formula>NOT(ISERROR(SEARCH(" ",DC75)))</formula>
    </cfRule>
  </conditionalFormatting>
  <conditionalFormatting sqref="DD25:DD34">
    <cfRule type="containsText" dxfId="545" priority="113" operator="containsText" text=" ">
      <formula>NOT(ISERROR(SEARCH(" ",DD25)))</formula>
    </cfRule>
  </conditionalFormatting>
  <conditionalFormatting sqref="DD35:DD44">
    <cfRule type="containsText" dxfId="544" priority="112" operator="containsText" text=" ">
      <formula>NOT(ISERROR(SEARCH(" ",DD35)))</formula>
    </cfRule>
  </conditionalFormatting>
  <conditionalFormatting sqref="DD45:DD54">
    <cfRule type="containsText" dxfId="543" priority="111" operator="containsText" text=" ">
      <formula>NOT(ISERROR(SEARCH(" ",DD45)))</formula>
    </cfRule>
  </conditionalFormatting>
  <conditionalFormatting sqref="DD55:DD64">
    <cfRule type="containsText" dxfId="542" priority="110" operator="containsText" text=" ">
      <formula>NOT(ISERROR(SEARCH(" ",DD55)))</formula>
    </cfRule>
  </conditionalFormatting>
  <conditionalFormatting sqref="DD65:DD74">
    <cfRule type="containsText" dxfId="541" priority="93" operator="containsText" text=" ">
      <formula>NOT(ISERROR(SEARCH(" ",DD65)))</formula>
    </cfRule>
  </conditionalFormatting>
  <conditionalFormatting sqref="DD75:DD84">
    <cfRule type="containsText" dxfId="540" priority="86" operator="containsText" text=" ">
      <formula>NOT(ISERROR(SEARCH(" ",DD75)))</formula>
    </cfRule>
  </conditionalFormatting>
  <conditionalFormatting sqref="DF15:DF24">
    <cfRule type="containsText" dxfId="539" priority="157" operator="containsText" text=" ">
      <formula>NOT(ISERROR(SEARCH(" ",DF15)))</formula>
    </cfRule>
  </conditionalFormatting>
  <conditionalFormatting sqref="DF26:DF34">
    <cfRule type="containsText" dxfId="538" priority="19" operator="containsText" text=" ">
      <formula>NOT(ISERROR(SEARCH(" ",DF26)))</formula>
    </cfRule>
  </conditionalFormatting>
  <conditionalFormatting sqref="DF36:DF44">
    <cfRule type="containsText" dxfId="537" priority="18" operator="containsText" text=" ">
      <formula>NOT(ISERROR(SEARCH(" ",DF36)))</formula>
    </cfRule>
  </conditionalFormatting>
  <conditionalFormatting sqref="DF46:DF54">
    <cfRule type="containsText" dxfId="536" priority="17" operator="containsText" text=" ">
      <formula>NOT(ISERROR(SEARCH(" ",DF46)))</formula>
    </cfRule>
  </conditionalFormatting>
  <conditionalFormatting sqref="DF56:DF64">
    <cfRule type="containsText" dxfId="535" priority="16" operator="containsText" text=" ">
      <formula>NOT(ISERROR(SEARCH(" ",DF56)))</formula>
    </cfRule>
  </conditionalFormatting>
  <conditionalFormatting sqref="DF66:DF74">
    <cfRule type="containsText" dxfId="534" priority="15" operator="containsText" text=" ">
      <formula>NOT(ISERROR(SEARCH(" ",DF66)))</formula>
    </cfRule>
  </conditionalFormatting>
  <conditionalFormatting sqref="DF76:DF84">
    <cfRule type="containsText" dxfId="533" priority="14" operator="containsText" text=" ">
      <formula>NOT(ISERROR(SEARCH(" ",DF76)))</formula>
    </cfRule>
  </conditionalFormatting>
  <conditionalFormatting sqref="DG15:DG20">
    <cfRule type="containsText" dxfId="532" priority="125" operator="containsText" text=" ">
      <formula>NOT(ISERROR(SEARCH(" ",DG15)))</formula>
    </cfRule>
  </conditionalFormatting>
  <conditionalFormatting sqref="DG25:DG30">
    <cfRule type="containsText" dxfId="531" priority="124" operator="containsText" text=" ">
      <formula>NOT(ISERROR(SEARCH(" ",DG25)))</formula>
    </cfRule>
  </conditionalFormatting>
  <conditionalFormatting sqref="DG35:DG40">
    <cfRule type="containsText" dxfId="530" priority="123" operator="containsText" text=" ">
      <formula>NOT(ISERROR(SEARCH(" ",DG35)))</formula>
    </cfRule>
  </conditionalFormatting>
  <conditionalFormatting sqref="DH5:DH10">
    <cfRule type="containsText" dxfId="529" priority="105" operator="containsText" text=" ">
      <formula>NOT(ISERROR(SEARCH(" ",DH5)))</formula>
    </cfRule>
  </conditionalFormatting>
  <conditionalFormatting sqref="DH15:DH20">
    <cfRule type="containsText" dxfId="528" priority="104" operator="containsText" text=" ">
      <formula>NOT(ISERROR(SEARCH(" ",DH15)))</formula>
    </cfRule>
  </conditionalFormatting>
  <conditionalFormatting sqref="DH25:DH30">
    <cfRule type="containsText" dxfId="527" priority="106" operator="containsText" text=" ">
      <formula>NOT(ISERROR(SEARCH(" ",DH25)))</formula>
    </cfRule>
  </conditionalFormatting>
  <conditionalFormatting sqref="DH35:DH40">
    <cfRule type="containsText" dxfId="526" priority="107" operator="containsText" text=" ">
      <formula>NOT(ISERROR(SEARCH(" ",DH35)))</formula>
    </cfRule>
  </conditionalFormatting>
  <conditionalFormatting sqref="DJ65:DJ70">
    <cfRule type="containsText" dxfId="525" priority="91" operator="containsText" text=" ">
      <formula>NOT(ISERROR(SEARCH(" ",DJ65)))</formula>
    </cfRule>
  </conditionalFormatting>
  <conditionalFormatting sqref="DJ75:DJ80">
    <cfRule type="containsText" dxfId="524" priority="84" operator="containsText" text=" ">
      <formula>NOT(ISERROR(SEARCH(" ",DJ75)))</formula>
    </cfRule>
  </conditionalFormatting>
  <conditionalFormatting sqref="DN20:DN21">
    <cfRule type="containsText" dxfId="523" priority="169" operator="containsText" text=" ">
      <formula>NOT(ISERROR(SEARCH(" ",DN20)))</formula>
    </cfRule>
  </conditionalFormatting>
  <conditionalFormatting sqref="DN23:DN26">
    <cfRule type="containsText" dxfId="522" priority="118" operator="containsText" text="话费">
      <formula>NOT(ISERROR(SEARCH("话费",DN23)))</formula>
    </cfRule>
    <cfRule type="cellIs" dxfId="521" priority="119" operator="equal">
      <formula>"话费"</formula>
    </cfRule>
    <cfRule type="containsText" dxfId="520" priority="120" operator="containsText" text="话费">
      <formula>NOT(ISERROR(SEARCH("话费",DN23)))</formula>
    </cfRule>
    <cfRule type="containsText" dxfId="519" priority="121" operator="containsText" text=" ">
      <formula>NOT(ISERROR(SEARCH(" ",DN23)))</formula>
    </cfRule>
  </conditionalFormatting>
  <conditionalFormatting sqref="DP8:DP11">
    <cfRule type="containsText" dxfId="518" priority="179" operator="containsText" text=" ">
      <formula>NOT(ISERROR(SEARCH(" ",DP8)))</formula>
    </cfRule>
  </conditionalFormatting>
  <conditionalFormatting sqref="DP13:DP16">
    <cfRule type="containsText" dxfId="517" priority="175" operator="containsText" text=" ">
      <formula>NOT(ISERROR(SEARCH(" ",DP13)))</formula>
    </cfRule>
  </conditionalFormatting>
  <conditionalFormatting sqref="DR8:DR11">
    <cfRule type="containsText" dxfId="516" priority="180" operator="containsText" text=" ">
      <formula>NOT(ISERROR(SEARCH(" ",DR8)))</formula>
    </cfRule>
  </conditionalFormatting>
  <conditionalFormatting sqref="DR13:DR16">
    <cfRule type="containsText" dxfId="515" priority="176" operator="containsText" text=" ">
      <formula>NOT(ISERROR(SEARCH(" ",DR13)))</formula>
    </cfRule>
  </conditionalFormatting>
  <conditionalFormatting sqref="DR20:DR21">
    <cfRule type="containsText" dxfId="514" priority="170" operator="containsText" text=" ">
      <formula>NOT(ISERROR(SEARCH(" ",DR20)))</formula>
    </cfRule>
  </conditionalFormatting>
  <conditionalFormatting sqref="A9:A10 A11:B12 L5:M12 C9:C10 E5:K9 N5:N10 P5:V10 S13:Y1048576 AB13:AF1048576 AH13:AI1048576 Y5:Y10 AB6:AE10 AB5:AF5 AQ5:AX5 AZ5:BG5 AT13:AX1048576 AZ13:BA1048576 AH5:AN10 AK13:AO1048576 AQ13:AR1048576 AQ6:AW10 AZ6:BF10 BC13:BG1048576 CT55 DM1:DN19 DB1:DI2 DB4:DD4 CS2:CT2 CV2:CY2 DC3:DI3 DM22:DN22 DM20:DM21 DI4:DI10 DO7:DO19 DP12:DQ12 DP7:DR7 DQ13:DQ16 DQ8:DQ11 DO22:DR26 DI15:DI20 CT15 CS1:CY1 CT5 CS5:CS1048576 CT25 CT85:DI1048576 CT45 DI35:DI40 CT35 DI25:DI30 DI45:DI50 DI55:DI60 DG81:DI84 O9:O12 F10:K10 E10:E11 AF6:AF12 AX6:AX12 BG6:BG12 DS1:XFD24 DP17:DR19 DO20:DQ21 DS25:DT26 EA25:XFD28 DT27:DT28 DT29:XFD30 DM23:DM30 DM31:XFD63 DF4 DM74:XFD1048576 DN64:XFD73 DO1:DR6">
    <cfRule type="containsText" dxfId="513" priority="181" operator="containsText" text=" ">
      <formula>NOT(ISERROR(SEARCH(" ",A1)))</formula>
    </cfRule>
  </conditionalFormatting>
  <conditionalFormatting sqref="CZ4:DA4 CU1:DB2">
    <cfRule type="containsText" dxfId="512" priority="114" operator="containsText" text=" ">
      <formula>NOT(ISERROR(SEARCH(" ",CU1)))</formula>
    </cfRule>
  </conditionalFormatting>
  <conditionalFormatting sqref="DJ1:DJ3 DJ81:DJ1048576">
    <cfRule type="containsText" dxfId="511" priority="103" operator="containsText" text=" ">
      <formula>NOT(ISERROR(SEARCH(" ",DJ1)))</formula>
    </cfRule>
  </conditionalFormatting>
  <conditionalFormatting sqref="DK1:DL15 DK85:DL1048576 DL74:DL84 DL16:DL63 DK16:DK84">
    <cfRule type="containsText" dxfId="510" priority="117" operator="containsText" text=" ">
      <formula>NOT(ISERROR(SEARCH(" ",DK1)))</formula>
    </cfRule>
  </conditionalFormatting>
  <conditionalFormatting sqref="Z13:AA1048576 Z5:AA10 CY3 CS3:CT3 CS4:CY4 DR12 CU2">
    <cfRule type="containsText" dxfId="509" priority="177" operator="containsText" text=" ">
      <formula>NOT(ISERROR(SEARCH(" ",Z2)))</formula>
    </cfRule>
  </conditionalFormatting>
  <conditionalFormatting sqref="A5:B10 A18:C22 A12 A13:C16 A24:C28 A36:C40 A30:C34">
    <cfRule type="colorScale" priority="7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6:B10 A5:C5 A6:A8 C6:C8 D5:D10 A13:Q1048576">
    <cfRule type="containsText" dxfId="508" priority="178" operator="containsText" text=" ">
      <formula>NOT(ISERROR(SEARCH(" ",A5)))</formula>
    </cfRule>
  </conditionalFormatting>
  <conditionalFormatting sqref="BL5:BM10 BI5:BI12 BN5:BP12">
    <cfRule type="containsText" dxfId="507" priority="65" operator="containsText" text=" ">
      <formula>NOT(ISERROR(SEARCH(" ",BI5)))</formula>
    </cfRule>
  </conditionalFormatting>
  <conditionalFormatting sqref="BW5:BY12 BR5:BV10">
    <cfRule type="containsText" dxfId="506" priority="62" operator="containsText" text=" ">
      <formula>NOT(ISERROR(SEARCH(" ",BR5)))</formula>
    </cfRule>
  </conditionalFormatting>
  <conditionalFormatting sqref="CA5:CE10 CF5:CH12">
    <cfRule type="containsText" dxfId="505" priority="59" operator="containsText" text=" ">
      <formula>NOT(ISERROR(SEARCH(" ",CA5)))</formula>
    </cfRule>
  </conditionalFormatting>
  <conditionalFormatting sqref="CJ5:CN10 CO5:CQ12">
    <cfRule type="containsText" dxfId="504" priority="56" operator="containsText" text=" ">
      <formula>NOT(ISERROR(SEARCH(" ",CJ5)))</formula>
    </cfRule>
  </conditionalFormatting>
  <conditionalFormatting sqref="CZ41:DA84 CV41:CW80 DB41:DB66 CU15:DE15 CU5:DF5 DE21:DE64 CV6:DF10 CX41:CY64 CU40:CU64 CU11:DF14 CU25:DB40 CU21:DD24 CV16:DE17 CU18:DE20">
    <cfRule type="containsText" dxfId="503" priority="174" operator="containsText" text=" ">
      <formula>NOT(ISERROR(SEARCH(" ",CU5)))</formula>
    </cfRule>
  </conditionalFormatting>
  <conditionalFormatting sqref="DG5:DG10 DG55:DH60">
    <cfRule type="containsText" dxfId="502" priority="126" operator="containsText" text=" ">
      <formula>NOT(ISERROR(SEARCH(" ",DG5)))</formula>
    </cfRule>
  </conditionalFormatting>
  <conditionalFormatting sqref="DJ5:DJ10 DJ55:DJ60 DJ45:DJ50 DJ35:DJ40 DJ25:DJ30 DJ15:DJ20">
    <cfRule type="containsText" dxfId="501" priority="102" operator="containsText" text=" ">
      <formula>NOT(ISERROR(SEARCH(" ",DJ5)))</formula>
    </cfRule>
  </conditionalFormatting>
  <conditionalFormatting sqref="C11:C12 E12:F12 F11">
    <cfRule type="containsText" dxfId="500" priority="100" operator="containsText" text=" ">
      <formula>NOT(ISERROR(SEARCH(" ",C11)))</formula>
    </cfRule>
  </conditionalFormatting>
  <conditionalFormatting sqref="G11:N12">
    <cfRule type="containsText" dxfId="499" priority="71" operator="containsText" text=" ">
      <formula>NOT(ISERROR(SEARCH(" ",G11)))</formula>
    </cfRule>
  </conditionalFormatting>
  <conditionalFormatting sqref="P11:V12 AB11:AE12 Y11:Y12 AH11:AN12 AQ11:AW12 AZ11:BF12">
    <cfRule type="containsText" dxfId="498" priority="69" operator="containsText" text=" ">
      <formula>NOT(ISERROR(SEARCH(" ",P11)))</formula>
    </cfRule>
  </conditionalFormatting>
  <conditionalFormatting sqref="Z11:AA12">
    <cfRule type="containsText" dxfId="497" priority="68" operator="containsText" text=" ">
      <formula>NOT(ISERROR(SEARCH(" ",Z11)))</formula>
    </cfRule>
  </conditionalFormatting>
  <conditionalFormatting sqref="BL11:BO12">
    <cfRule type="containsText" dxfId="496" priority="63" operator="containsText" text=" ">
      <formula>NOT(ISERROR(SEARCH(" ",BL11)))</formula>
    </cfRule>
  </conditionalFormatting>
  <conditionalFormatting sqref="BR11:BX12">
    <cfRule type="containsText" dxfId="495" priority="60" operator="containsText" text=" ">
      <formula>NOT(ISERROR(SEARCH(" ",BR11)))</formula>
    </cfRule>
  </conditionalFormatting>
  <conditionalFormatting sqref="CA11:CG12">
    <cfRule type="containsText" dxfId="494" priority="57" operator="containsText" text=" ">
      <formula>NOT(ISERROR(SEARCH(" ",CA11)))</formula>
    </cfRule>
  </conditionalFormatting>
  <conditionalFormatting sqref="CJ11:CP12">
    <cfRule type="containsText" dxfId="493" priority="54" operator="containsText" text=" ">
      <formula>NOT(ISERROR(SEARCH(" ",CJ11)))</formula>
    </cfRule>
  </conditionalFormatting>
  <conditionalFormatting sqref="BI13:BP1048576">
    <cfRule type="containsText" dxfId="492" priority="64" operator="containsText" text=" ">
      <formula>NOT(ISERROR(SEARCH(" ",BI13)))</formula>
    </cfRule>
  </conditionalFormatting>
  <conditionalFormatting sqref="BR13:BY1048576">
    <cfRule type="containsText" dxfId="491" priority="61" operator="containsText" text=" ">
      <formula>NOT(ISERROR(SEARCH(" ",BR13)))</formula>
    </cfRule>
  </conditionalFormatting>
  <conditionalFormatting sqref="CA13:CH1048576">
    <cfRule type="containsText" dxfId="490" priority="58" operator="containsText" text=" ">
      <formula>NOT(ISERROR(SEARCH(" ",CA13)))</formula>
    </cfRule>
  </conditionalFormatting>
  <conditionalFormatting sqref="CJ13:CQ1048576">
    <cfRule type="containsText" dxfId="489" priority="55" operator="containsText" text=" ">
      <formula>NOT(ISERROR(SEARCH(" ",CJ13)))</formula>
    </cfRule>
  </conditionalFormatting>
  <conditionalFormatting sqref="DU25:DY28 DN27:DR30">
    <cfRule type="containsText" dxfId="488" priority="10" operator="containsText" text=" ">
      <formula>NOT(ISERROR(SEARCH(" ",DN25)))</formula>
    </cfRule>
  </conditionalFormatting>
  <conditionalFormatting sqref="DS27:DS30 DZ25:DZ28">
    <cfRule type="containsText" dxfId="487" priority="11" operator="containsText" text=" ">
      <formula>NOT(ISERROR(SEARCH(" ",DS25)))</formula>
    </cfRule>
  </conditionalFormatting>
  <conditionalFormatting sqref="DG45:DH50">
    <cfRule type="containsText" dxfId="486" priority="122" operator="containsText" text=" ">
      <formula>NOT(ISERROR(SEARCH(" ",DG45)))</formula>
    </cfRule>
  </conditionalFormatting>
  <conditionalFormatting sqref="DL64:DM73">
    <cfRule type="containsText" dxfId="485" priority="2" operator="containsText" text=" ">
      <formula>NOT(ISERROR(SEARCH(" ",DL64)))</formula>
    </cfRule>
  </conditionalFormatting>
  <conditionalFormatting sqref="CT65 DI65:DI70">
    <cfRule type="containsText" dxfId="484" priority="97" operator="containsText" text=" ">
      <formula>NOT(ISERROR(SEARCH(" ",CT65)))</formula>
    </cfRule>
  </conditionalFormatting>
  <conditionalFormatting sqref="DE66:DE74 DB67:DB74 CX65:CY65 CX73:CY74 CU65:CU74 CY66:CY72">
    <cfRule type="containsText" dxfId="483" priority="96" operator="containsText" text=" ">
      <formula>NOT(ISERROR(SEARCH(" ",CU65)))</formula>
    </cfRule>
  </conditionalFormatting>
  <conditionalFormatting sqref="DG65:DH70">
    <cfRule type="containsText" dxfId="482" priority="94" operator="containsText" text=" ">
      <formula>NOT(ISERROR(SEARCH(" ",DG65)))</formula>
    </cfRule>
  </conditionalFormatting>
  <conditionalFormatting sqref="CT75 DI75:DI80">
    <cfRule type="containsText" dxfId="481" priority="90" operator="containsText" text=" ">
      <formula>NOT(ISERROR(SEARCH(" ",CT75)))</formula>
    </cfRule>
  </conditionalFormatting>
  <conditionalFormatting sqref="DE76:DE84 DB75:DB84 CU75:CU80 CX75:CY80 CX77:CX81 CU81:CY84">
    <cfRule type="containsText" dxfId="480" priority="89" operator="containsText" text=" ">
      <formula>NOT(ISERROR(SEARCH(" ",CU75)))</formula>
    </cfRule>
  </conditionalFormatting>
  <conditionalFormatting sqref="DG75:DH80">
    <cfRule type="containsText" dxfId="479" priority="87" operator="containsText" text=" ">
      <formula>NOT(ISERROR(SEARCH(" ",DG75)))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E92"/>
  <sheetViews>
    <sheetView topLeftCell="A61" workbookViewId="0">
      <selection activeCell="L89" sqref="L89"/>
    </sheetView>
  </sheetViews>
  <sheetFormatPr defaultColWidth="9" defaultRowHeight="16.5" x14ac:dyDescent="0.25"/>
  <cols>
    <col min="1" max="1" width="9.90625" style="2" customWidth="1"/>
    <col min="2" max="2" width="21.90625" style="2" customWidth="1"/>
    <col min="3" max="3" width="14.90625" style="2" customWidth="1"/>
    <col min="4" max="5" width="12" style="2" customWidth="1"/>
    <col min="6" max="6" width="31.81640625" style="2" customWidth="1"/>
    <col min="7" max="7" width="18.6328125" style="2" customWidth="1"/>
    <col min="8" max="8" width="11.36328125" style="2" customWidth="1"/>
    <col min="9" max="9" width="9.6328125" style="2" customWidth="1"/>
    <col min="10" max="10" width="10" style="2" customWidth="1"/>
    <col min="11" max="11" width="15.453125" style="2" customWidth="1"/>
    <col min="12" max="12" width="11.36328125" style="2" customWidth="1"/>
    <col min="13" max="13" width="9" style="2" customWidth="1"/>
    <col min="14" max="14" width="9.453125" style="2" customWidth="1"/>
    <col min="15" max="15" width="8.90625" style="2" customWidth="1"/>
    <col min="16" max="16" width="9" style="2"/>
    <col min="17" max="17" width="12.08984375" style="2" customWidth="1"/>
    <col min="18" max="22" width="9" style="2"/>
    <col min="23" max="24" width="10" style="2" customWidth="1"/>
    <col min="25" max="25" width="9.6328125" style="2" customWidth="1"/>
    <col min="26" max="16384" width="9" style="2"/>
  </cols>
  <sheetData>
    <row r="1" spans="1:31" x14ac:dyDescent="0.4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F1" s="36" t="s">
        <v>1</v>
      </c>
      <c r="G1" s="36" t="s">
        <v>1</v>
      </c>
      <c r="H1" s="120" t="s">
        <v>1</v>
      </c>
      <c r="I1" s="120" t="s">
        <v>1</v>
      </c>
      <c r="J1" s="36" t="s">
        <v>1</v>
      </c>
      <c r="K1" s="36" t="s">
        <v>1</v>
      </c>
      <c r="L1" s="120" t="s">
        <v>1</v>
      </c>
      <c r="M1" s="120" t="s">
        <v>1</v>
      </c>
      <c r="N1" s="36" t="s">
        <v>1</v>
      </c>
      <c r="O1" s="36" t="s">
        <v>1</v>
      </c>
      <c r="Q1" s="130" t="s">
        <v>1753</v>
      </c>
    </row>
    <row r="2" spans="1:3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3</v>
      </c>
      <c r="F2" s="36" t="s">
        <v>5</v>
      </c>
      <c r="G2" s="36" t="s">
        <v>3</v>
      </c>
      <c r="H2" s="120" t="s">
        <v>5</v>
      </c>
      <c r="I2" s="120" t="s">
        <v>3</v>
      </c>
      <c r="J2" s="36" t="s">
        <v>5</v>
      </c>
      <c r="K2" s="36" t="s">
        <v>3</v>
      </c>
      <c r="L2" s="120" t="s">
        <v>5</v>
      </c>
      <c r="M2" s="120" t="s">
        <v>3</v>
      </c>
      <c r="N2" s="36" t="s">
        <v>5</v>
      </c>
      <c r="O2" s="36" t="s">
        <v>3</v>
      </c>
    </row>
    <row r="3" spans="1:31" x14ac:dyDescent="0.4">
      <c r="A3" s="3" t="s">
        <v>1754</v>
      </c>
      <c r="B3" s="3" t="s">
        <v>1755</v>
      </c>
      <c r="C3" s="3" t="s">
        <v>1756</v>
      </c>
      <c r="D3" s="3" t="s">
        <v>1757</v>
      </c>
      <c r="E3" s="3" t="s">
        <v>1758</v>
      </c>
      <c r="F3" s="36" t="s">
        <v>1759</v>
      </c>
      <c r="G3" s="36" t="s">
        <v>1760</v>
      </c>
      <c r="H3" s="120" t="s">
        <v>1761</v>
      </c>
      <c r="I3" s="120" t="s">
        <v>1762</v>
      </c>
      <c r="J3" s="36" t="s">
        <v>1763</v>
      </c>
      <c r="K3" s="36" t="s">
        <v>1764</v>
      </c>
      <c r="L3" s="120" t="s">
        <v>1765</v>
      </c>
      <c r="M3" s="120" t="s">
        <v>1766</v>
      </c>
      <c r="N3" s="36" t="s">
        <v>1767</v>
      </c>
      <c r="O3" s="36" t="s">
        <v>1768</v>
      </c>
    </row>
    <row r="4" spans="1:31" ht="85" x14ac:dyDescent="0.25">
      <c r="A4" s="72" t="s">
        <v>1769</v>
      </c>
      <c r="B4" s="4" t="s">
        <v>1770</v>
      </c>
      <c r="C4" s="4" t="s">
        <v>1771</v>
      </c>
      <c r="D4" s="4" t="s">
        <v>1772</v>
      </c>
      <c r="E4" s="4" t="s">
        <v>1773</v>
      </c>
      <c r="F4" s="12" t="s">
        <v>1774</v>
      </c>
      <c r="G4" s="121" t="s">
        <v>1775</v>
      </c>
      <c r="H4" s="122">
        <v>2</v>
      </c>
      <c r="I4" s="122">
        <v>2</v>
      </c>
      <c r="J4" s="126">
        <v>3</v>
      </c>
      <c r="K4" s="126">
        <v>3</v>
      </c>
      <c r="L4" s="122">
        <v>4</v>
      </c>
      <c r="M4" s="122">
        <v>4</v>
      </c>
      <c r="N4" s="126">
        <v>5</v>
      </c>
      <c r="O4" s="126">
        <v>5</v>
      </c>
      <c r="Q4" s="60" t="s">
        <v>1776</v>
      </c>
      <c r="Z4" s="2">
        <f>'抽奖|MoonBless'!DN4</f>
        <v>0</v>
      </c>
      <c r="AA4" s="2" t="str">
        <f>'抽奖|MoonBless'!DO4</f>
        <v>人民币价值</v>
      </c>
      <c r="AB4" s="2" t="str">
        <f>'抽奖|MoonBless'!DP4</f>
        <v>价值
钻石价值</v>
      </c>
      <c r="AC4" s="2" t="str">
        <f>'抽奖|MoonBless'!DQ4</f>
        <v>物品类型</v>
      </c>
      <c r="AD4" s="2" t="str">
        <f>'抽奖|MoonBless'!DR4</f>
        <v>id</v>
      </c>
      <c r="AE4" s="2" t="str">
        <f>'抽奖|MoonBless'!DS4</f>
        <v>价值加成</v>
      </c>
    </row>
    <row r="5" spans="1:31" x14ac:dyDescent="0.45">
      <c r="A5" s="2">
        <v>4101</v>
      </c>
      <c r="B5" s="2">
        <v>1</v>
      </c>
      <c r="C5" s="2">
        <v>1</v>
      </c>
      <c r="D5" s="2">
        <v>1</v>
      </c>
      <c r="E5" s="2">
        <v>-1</v>
      </c>
      <c r="F5" s="1" t="s">
        <v>1777</v>
      </c>
      <c r="G5" s="2">
        <v>1</v>
      </c>
      <c r="Q5" s="131" t="str">
        <f>IF(AND((B5=1),(G5+I5+K5+M5+O5&gt;1)),G5+I5+K5+M5+O5&amp;"，错误概率",G5+I5+K5+M5+O5&amp;"，正确")</f>
        <v>1，正确</v>
      </c>
      <c r="R5" s="2" t="s">
        <v>1778</v>
      </c>
      <c r="S5" s="2" t="s">
        <v>1779</v>
      </c>
      <c r="Z5" s="2" t="str">
        <f>'抽奖|MoonBless'!DN5</f>
        <v>人民币</v>
      </c>
      <c r="AA5" s="2">
        <f>'抽奖|MoonBless'!DO5</f>
        <v>1</v>
      </c>
      <c r="AB5" s="2">
        <f>'抽奖|MoonBless'!DP5</f>
        <v>10</v>
      </c>
      <c r="AC5" s="2">
        <f>'抽奖|MoonBless'!DQ5</f>
        <v>1</v>
      </c>
      <c r="AD5" s="2">
        <f>'抽奖|MoonBless'!DR5</f>
        <v>0</v>
      </c>
      <c r="AE5" s="140">
        <f>'抽奖|MoonBless'!DS5</f>
        <v>1</v>
      </c>
    </row>
    <row r="6" spans="1:31" x14ac:dyDescent="0.45">
      <c r="A6" s="2">
        <v>4102</v>
      </c>
      <c r="B6" s="2">
        <v>1</v>
      </c>
      <c r="C6" s="2">
        <v>1</v>
      </c>
      <c r="D6" s="2">
        <v>1</v>
      </c>
      <c r="E6" s="2">
        <v>-1</v>
      </c>
      <c r="F6" s="1" t="s">
        <v>1780</v>
      </c>
      <c r="G6" s="2">
        <v>0</v>
      </c>
      <c r="H6" s="1" t="s">
        <v>1781</v>
      </c>
      <c r="I6" s="2">
        <v>0.34</v>
      </c>
      <c r="J6" s="1" t="s">
        <v>1782</v>
      </c>
      <c r="K6" s="2">
        <v>0.33</v>
      </c>
      <c r="L6" s="1" t="s">
        <v>1783</v>
      </c>
      <c r="M6" s="2">
        <v>0.33</v>
      </c>
      <c r="Q6" s="131" t="str">
        <f t="shared" ref="Q6:Q88" si="0">IF(AND((B6=1),(G6+I6+K6+M6+O6&gt;1)),G6+I6+K6+M6+O6&amp;"，错误概率",G6+I6+K6+M6+O6&amp;"，正确")</f>
        <v>1，正确</v>
      </c>
      <c r="S6" s="2" t="s">
        <v>1784</v>
      </c>
      <c r="Z6" s="2" t="str">
        <f>'抽奖|MoonBless'!DN6</f>
        <v>钻石</v>
      </c>
      <c r="AA6" s="2">
        <f>'抽奖|MoonBless'!DO6</f>
        <v>0.1</v>
      </c>
      <c r="AB6" s="2">
        <f>'抽奖|MoonBless'!DP6</f>
        <v>1</v>
      </c>
      <c r="AC6" s="2">
        <f>'抽奖|MoonBless'!DQ6</f>
        <v>1</v>
      </c>
      <c r="AD6" s="2">
        <f>'抽奖|MoonBless'!DR6</f>
        <v>1</v>
      </c>
      <c r="AE6" s="140">
        <f>'抽奖|MoonBless'!DS6</f>
        <v>1</v>
      </c>
    </row>
    <row r="7" spans="1:31" x14ac:dyDescent="0.45">
      <c r="A7" s="2">
        <v>4103</v>
      </c>
      <c r="B7" s="2">
        <v>1</v>
      </c>
      <c r="C7" s="2">
        <v>1</v>
      </c>
      <c r="D7" s="2">
        <v>1</v>
      </c>
      <c r="E7" s="2">
        <v>-1</v>
      </c>
      <c r="F7" s="1" t="s">
        <v>1777</v>
      </c>
      <c r="G7" s="2">
        <v>0.1</v>
      </c>
      <c r="H7" s="1" t="s">
        <v>1785</v>
      </c>
      <c r="I7" s="2">
        <v>0.3</v>
      </c>
      <c r="J7" s="1" t="s">
        <v>1786</v>
      </c>
      <c r="K7" s="2">
        <v>0.25</v>
      </c>
      <c r="L7" s="1" t="s">
        <v>1787</v>
      </c>
      <c r="M7" s="2">
        <v>0.25</v>
      </c>
      <c r="N7" s="1" t="s">
        <v>1788</v>
      </c>
      <c r="O7" s="2">
        <v>0.05</v>
      </c>
      <c r="Q7" s="131" t="str">
        <f t="shared" si="0"/>
        <v>0.95，正确</v>
      </c>
      <c r="Z7" s="2" t="str">
        <f>'抽奖|MoonBless'!DN7</f>
        <v>金币</v>
      </c>
      <c r="AA7" s="2">
        <f>'抽奖|MoonBless'!DO7</f>
        <v>5.0000000000000004E-6</v>
      </c>
      <c r="AB7" s="2">
        <f>'抽奖|MoonBless'!DP7</f>
        <v>5.0000000000000002E-5</v>
      </c>
      <c r="AC7" s="2">
        <f>'抽奖|MoonBless'!DQ7</f>
        <v>1</v>
      </c>
      <c r="AD7" s="2">
        <f>'抽奖|MoonBless'!DR7</f>
        <v>2</v>
      </c>
      <c r="AE7" s="140">
        <f>'抽奖|MoonBless'!DS7</f>
        <v>1</v>
      </c>
    </row>
    <row r="8" spans="1:31" x14ac:dyDescent="0.45">
      <c r="A8" s="2">
        <v>4104</v>
      </c>
      <c r="B8" s="2">
        <v>2</v>
      </c>
      <c r="C8" s="2">
        <v>1</v>
      </c>
      <c r="D8" s="2">
        <v>1</v>
      </c>
      <c r="E8" s="2">
        <v>-1</v>
      </c>
      <c r="F8" s="1" t="s">
        <v>1780</v>
      </c>
      <c r="G8" s="2">
        <v>0.1</v>
      </c>
      <c r="H8" s="1" t="s">
        <v>1785</v>
      </c>
      <c r="I8" s="2">
        <v>0.3</v>
      </c>
      <c r="J8" s="1" t="s">
        <v>1786</v>
      </c>
      <c r="K8" s="2">
        <v>0.25</v>
      </c>
      <c r="L8" s="1" t="s">
        <v>1787</v>
      </c>
      <c r="M8" s="2">
        <v>0.25</v>
      </c>
      <c r="N8" s="1" t="s">
        <v>1788</v>
      </c>
      <c r="O8" s="2">
        <v>0.05</v>
      </c>
      <c r="Q8" s="131" t="str">
        <f t="shared" si="0"/>
        <v>0.95，正确</v>
      </c>
      <c r="Z8" s="2" t="str">
        <f>'抽奖|MoonBless'!DN8</f>
        <v>锁定</v>
      </c>
      <c r="AA8" s="2">
        <f>'抽奖|MoonBless'!DO8</f>
        <v>0.2</v>
      </c>
      <c r="AB8" s="2">
        <f>'抽奖|MoonBless'!DP8</f>
        <v>2</v>
      </c>
      <c r="AC8" s="2">
        <f>'抽奖|MoonBless'!DQ8</f>
        <v>2</v>
      </c>
      <c r="AD8" s="2">
        <f>'抽奖|MoonBless'!DR8</f>
        <v>1001</v>
      </c>
      <c r="AE8" s="140">
        <f>'抽奖|MoonBless'!DS8</f>
        <v>1</v>
      </c>
    </row>
    <row r="9" spans="1:31" x14ac:dyDescent="0.45">
      <c r="A9" s="2">
        <v>4201</v>
      </c>
      <c r="B9" s="2">
        <v>1</v>
      </c>
      <c r="C9" s="2">
        <v>1</v>
      </c>
      <c r="D9" s="2">
        <v>1</v>
      </c>
      <c r="E9" s="2">
        <v>-1</v>
      </c>
      <c r="F9" s="1" t="s">
        <v>387</v>
      </c>
      <c r="G9" s="2">
        <v>1</v>
      </c>
      <c r="Q9" s="131" t="str">
        <f t="shared" si="0"/>
        <v>1，正确</v>
      </c>
      <c r="R9" s="2" t="s">
        <v>1789</v>
      </c>
      <c r="Z9" s="2" t="str">
        <f>'抽奖|MoonBless'!DN9</f>
        <v>冰冻</v>
      </c>
      <c r="AA9" s="2">
        <f>'抽奖|MoonBless'!DO9</f>
        <v>0.5</v>
      </c>
      <c r="AB9" s="2">
        <f>'抽奖|MoonBless'!DP9</f>
        <v>5</v>
      </c>
      <c r="AC9" s="2">
        <f>'抽奖|MoonBless'!DQ9</f>
        <v>2</v>
      </c>
      <c r="AD9" s="2">
        <f>'抽奖|MoonBless'!DR9</f>
        <v>1002</v>
      </c>
      <c r="AE9" s="140">
        <f>'抽奖|MoonBless'!DS9</f>
        <v>1</v>
      </c>
    </row>
    <row r="10" spans="1:31" x14ac:dyDescent="0.45">
      <c r="A10" s="2">
        <v>4202</v>
      </c>
      <c r="B10" s="2">
        <v>1</v>
      </c>
      <c r="C10" s="2">
        <v>1</v>
      </c>
      <c r="D10" s="2">
        <v>1</v>
      </c>
      <c r="E10" s="2">
        <v>-1</v>
      </c>
      <c r="F10" s="1" t="s">
        <v>1790</v>
      </c>
      <c r="G10" s="2">
        <v>0</v>
      </c>
      <c r="H10" s="1" t="s">
        <v>1791</v>
      </c>
      <c r="I10" s="2">
        <v>0.34</v>
      </c>
      <c r="J10" s="1" t="s">
        <v>1792</v>
      </c>
      <c r="K10" s="2">
        <v>0.33</v>
      </c>
      <c r="L10" s="1" t="s">
        <v>1793</v>
      </c>
      <c r="M10" s="2">
        <v>0.33</v>
      </c>
      <c r="Q10" s="131" t="str">
        <f t="shared" si="0"/>
        <v>1，正确</v>
      </c>
      <c r="Z10" s="2" t="str">
        <f>'抽奖|MoonBless'!DN10</f>
        <v>狂暴</v>
      </c>
      <c r="AA10" s="2">
        <f>'抽奖|MoonBless'!DO10</f>
        <v>2</v>
      </c>
      <c r="AB10" s="2">
        <f>'抽奖|MoonBless'!DP10</f>
        <v>20</v>
      </c>
      <c r="AC10" s="2">
        <f>'抽奖|MoonBless'!DQ10</f>
        <v>2</v>
      </c>
      <c r="AD10" s="2">
        <f>'抽奖|MoonBless'!DR10</f>
        <v>1003</v>
      </c>
      <c r="AE10" s="140">
        <f>'抽奖|MoonBless'!DS10</f>
        <v>1</v>
      </c>
    </row>
    <row r="11" spans="1:31" x14ac:dyDescent="0.45">
      <c r="A11" s="2">
        <v>4301</v>
      </c>
      <c r="B11" s="2">
        <v>1</v>
      </c>
      <c r="C11" s="2">
        <v>1</v>
      </c>
      <c r="D11" s="2">
        <v>1</v>
      </c>
      <c r="E11" s="2">
        <v>-1</v>
      </c>
      <c r="F11" s="1" t="s">
        <v>1794</v>
      </c>
      <c r="G11" s="2">
        <v>1</v>
      </c>
      <c r="Q11" s="131" t="str">
        <f t="shared" si="0"/>
        <v>1，正确</v>
      </c>
      <c r="R11" s="2" t="s">
        <v>1795</v>
      </c>
      <c r="Z11" s="2" t="str">
        <f>'抽奖|MoonBless'!DN11</f>
        <v>召唤</v>
      </c>
      <c r="AA11" s="2">
        <f>'抽奖|MoonBless'!DO11</f>
        <v>0.2</v>
      </c>
      <c r="AB11" s="2">
        <f>'抽奖|MoonBless'!DP11</f>
        <v>2</v>
      </c>
      <c r="AC11" s="2">
        <f>'抽奖|MoonBless'!DQ11</f>
        <v>2</v>
      </c>
      <c r="AD11" s="2">
        <f>'抽奖|MoonBless'!DR11</f>
        <v>1004</v>
      </c>
      <c r="AE11" s="140">
        <f>'抽奖|MoonBless'!DS11</f>
        <v>1</v>
      </c>
    </row>
    <row r="12" spans="1:31" x14ac:dyDescent="0.45">
      <c r="A12" s="2">
        <v>4302</v>
      </c>
      <c r="B12" s="2">
        <v>1</v>
      </c>
      <c r="C12" s="2">
        <v>1</v>
      </c>
      <c r="D12" s="2">
        <v>1</v>
      </c>
      <c r="E12" s="2">
        <v>-1</v>
      </c>
      <c r="F12" s="1" t="s">
        <v>1796</v>
      </c>
      <c r="G12" s="2">
        <v>0</v>
      </c>
      <c r="H12" s="1" t="s">
        <v>1797</v>
      </c>
      <c r="I12" s="2">
        <v>0.34</v>
      </c>
      <c r="J12" s="1" t="s">
        <v>1798</v>
      </c>
      <c r="K12" s="2">
        <v>0.33</v>
      </c>
      <c r="L12" s="1" t="s">
        <v>1799</v>
      </c>
      <c r="M12" s="2">
        <v>0.33</v>
      </c>
      <c r="Q12" s="131" t="str">
        <f t="shared" si="0"/>
        <v>1，正确</v>
      </c>
      <c r="Z12" s="2" t="str">
        <f>'抽奖|MoonBless'!DN12</f>
        <v>福卡</v>
      </c>
      <c r="AA12" s="2">
        <f>'抽奖|MoonBless'!DO12</f>
        <v>2.5000000000000001E-3</v>
      </c>
      <c r="AB12" s="2">
        <f>'抽奖|MoonBless'!DP12</f>
        <v>2.5000000000000001E-2</v>
      </c>
      <c r="AC12" s="2">
        <f>'抽奖|MoonBless'!DQ12</f>
        <v>2</v>
      </c>
      <c r="AD12" s="2">
        <f>'抽奖|MoonBless'!DR12</f>
        <v>1204</v>
      </c>
      <c r="AE12" s="140">
        <f>'抽奖|MoonBless'!DS12</f>
        <v>1</v>
      </c>
    </row>
    <row r="13" spans="1:31" x14ac:dyDescent="0.45">
      <c r="A13" s="2">
        <v>4401</v>
      </c>
      <c r="B13" s="2">
        <v>1</v>
      </c>
      <c r="C13" s="2">
        <v>1</v>
      </c>
      <c r="D13" s="2">
        <v>1</v>
      </c>
      <c r="E13" s="2">
        <v>-1</v>
      </c>
      <c r="F13" s="1" t="s">
        <v>1800</v>
      </c>
      <c r="G13" s="2">
        <v>1</v>
      </c>
      <c r="Q13" s="131" t="str">
        <f t="shared" si="0"/>
        <v>1，正确</v>
      </c>
      <c r="R13" s="2" t="s">
        <v>1801</v>
      </c>
      <c r="Z13" s="2" t="str">
        <f>'抽奖|MoonBless'!DN13</f>
        <v>超级武器1</v>
      </c>
      <c r="AA13" s="2">
        <f>'抽奖|MoonBless'!DO13</f>
        <v>5</v>
      </c>
      <c r="AB13" s="2">
        <f>'抽奖|MoonBless'!DP13</f>
        <v>50</v>
      </c>
      <c r="AC13" s="2">
        <f>'抽奖|MoonBless'!DQ13</f>
        <v>2</v>
      </c>
      <c r="AD13" s="2">
        <f>'抽奖|MoonBless'!DR13</f>
        <v>1005</v>
      </c>
      <c r="AE13" s="140">
        <f>'抽奖|MoonBless'!DS13</f>
        <v>1</v>
      </c>
    </row>
    <row r="14" spans="1:31" x14ac:dyDescent="0.45">
      <c r="A14" s="2">
        <v>4402</v>
      </c>
      <c r="B14" s="2">
        <v>1</v>
      </c>
      <c r="C14" s="2">
        <v>1</v>
      </c>
      <c r="D14" s="2">
        <v>1</v>
      </c>
      <c r="E14" s="2">
        <v>-1</v>
      </c>
      <c r="F14" s="1" t="s">
        <v>387</v>
      </c>
      <c r="G14" s="2">
        <v>0.25</v>
      </c>
      <c r="H14" s="1" t="s">
        <v>1802</v>
      </c>
      <c r="I14" s="2">
        <v>0.25</v>
      </c>
      <c r="J14" s="1" t="s">
        <v>1803</v>
      </c>
      <c r="K14" s="2">
        <v>0.25</v>
      </c>
      <c r="L14" s="1" t="s">
        <v>1804</v>
      </c>
      <c r="M14" s="2">
        <v>0.25</v>
      </c>
      <c r="Q14" s="131" t="str">
        <f t="shared" si="0"/>
        <v>1，正确</v>
      </c>
      <c r="Z14" s="2" t="str">
        <f>'抽奖|MoonBless'!DN14</f>
        <v>超级武器2</v>
      </c>
      <c r="AA14" s="2">
        <f>'抽奖|MoonBless'!DO14</f>
        <v>10</v>
      </c>
      <c r="AB14" s="2">
        <f>'抽奖|MoonBless'!DP14</f>
        <v>100</v>
      </c>
      <c r="AC14" s="2">
        <f>'抽奖|MoonBless'!DQ14</f>
        <v>2</v>
      </c>
      <c r="AD14" s="2">
        <f>'抽奖|MoonBless'!DR14</f>
        <v>1006</v>
      </c>
      <c r="AE14" s="140">
        <f>'抽奖|MoonBless'!DS14</f>
        <v>1</v>
      </c>
    </row>
    <row r="15" spans="1:31" x14ac:dyDescent="0.45">
      <c r="A15" s="2">
        <v>4501</v>
      </c>
      <c r="B15" s="2">
        <v>1</v>
      </c>
      <c r="C15" s="2">
        <v>1</v>
      </c>
      <c r="D15" s="2">
        <v>1</v>
      </c>
      <c r="E15" s="2">
        <v>-1</v>
      </c>
      <c r="F15" s="90" t="s">
        <v>1805</v>
      </c>
      <c r="G15" s="2">
        <f>0.6/30</f>
        <v>0.02</v>
      </c>
      <c r="H15" s="1"/>
      <c r="J15" s="1"/>
      <c r="L15" s="1"/>
      <c r="Q15" s="131" t="str">
        <f t="shared" si="0"/>
        <v>0.02，正确</v>
      </c>
      <c r="R15" s="2" t="s">
        <v>1806</v>
      </c>
      <c r="Z15" s="2" t="str">
        <f>'抽奖|MoonBless'!DN15</f>
        <v>超级武器3</v>
      </c>
      <c r="AA15" s="2">
        <f>'抽奖|MoonBless'!DO15</f>
        <v>25</v>
      </c>
      <c r="AB15" s="2">
        <f>'抽奖|MoonBless'!DP15</f>
        <v>250</v>
      </c>
      <c r="AC15" s="2">
        <f>'抽奖|MoonBless'!DQ15</f>
        <v>2</v>
      </c>
      <c r="AD15" s="2">
        <f>'抽奖|MoonBless'!DR15</f>
        <v>1007</v>
      </c>
      <c r="AE15" s="140">
        <f>'抽奖|MoonBless'!DS15</f>
        <v>1</v>
      </c>
    </row>
    <row r="16" spans="1:31" x14ac:dyDescent="0.45">
      <c r="A16" s="2">
        <v>4502</v>
      </c>
      <c r="B16" s="2">
        <v>1</v>
      </c>
      <c r="C16" s="2">
        <v>1</v>
      </c>
      <c r="D16" s="2">
        <v>1</v>
      </c>
      <c r="E16" s="2">
        <v>-1</v>
      </c>
      <c r="F16" s="90" t="s">
        <v>1807</v>
      </c>
      <c r="G16" s="2">
        <v>1</v>
      </c>
      <c r="H16" s="1"/>
      <c r="J16" s="1"/>
      <c r="L16" s="1"/>
      <c r="Q16" s="131" t="str">
        <f t="shared" ref="Q16" si="1">IF(AND((B16=1),(G16+I16+K16+M16+O16&gt;1)),G16+I16+K16+M16+O16&amp;"，错误概率",G16+I16+K16+M16+O16&amp;"，正确")</f>
        <v>1，正确</v>
      </c>
      <c r="Z16" s="2" t="str">
        <f>'抽奖|MoonBless'!DN16</f>
        <v>超级武器4</v>
      </c>
      <c r="AA16" s="2">
        <f>'抽奖|MoonBless'!DO16</f>
        <v>50</v>
      </c>
      <c r="AB16" s="2">
        <f>'抽奖|MoonBless'!DP16</f>
        <v>500</v>
      </c>
      <c r="AC16" s="2">
        <f>'抽奖|MoonBless'!DQ16</f>
        <v>2</v>
      </c>
      <c r="AD16" s="2">
        <f>'抽奖|MoonBless'!DR16</f>
        <v>1008</v>
      </c>
      <c r="AE16" s="140">
        <f>'抽奖|MoonBless'!DS16</f>
        <v>1</v>
      </c>
    </row>
    <row r="17" spans="1:31" x14ac:dyDescent="0.45">
      <c r="A17" s="2">
        <v>4503</v>
      </c>
      <c r="B17" s="2">
        <v>1</v>
      </c>
      <c r="C17" s="2">
        <v>1</v>
      </c>
      <c r="D17" s="2">
        <v>1</v>
      </c>
      <c r="E17" s="2">
        <v>-1</v>
      </c>
      <c r="F17" s="1" t="s">
        <v>1808</v>
      </c>
      <c r="G17" s="2">
        <v>0.6</v>
      </c>
      <c r="H17" s="1" t="s">
        <v>1802</v>
      </c>
      <c r="I17" s="2">
        <v>0</v>
      </c>
      <c r="J17" s="1" t="s">
        <v>1803</v>
      </c>
      <c r="K17" s="2">
        <f>1-G17</f>
        <v>0.4</v>
      </c>
      <c r="L17" s="1" t="s">
        <v>1798</v>
      </c>
      <c r="M17" s="2">
        <v>0</v>
      </c>
      <c r="Q17" s="131" t="str">
        <f t="shared" si="0"/>
        <v>1，正确</v>
      </c>
      <c r="Z17" s="2" t="str">
        <f>'抽奖|MoonBless'!DN17</f>
        <v>5元话费卡</v>
      </c>
      <c r="AA17" s="2">
        <f>'抽奖|MoonBless'!DO17</f>
        <v>5</v>
      </c>
      <c r="AB17" s="2">
        <f>'抽奖|MoonBless'!DP17</f>
        <v>50</v>
      </c>
      <c r="AC17" s="2">
        <f>'抽奖|MoonBless'!DQ17</f>
        <v>2</v>
      </c>
      <c r="AD17" s="2">
        <f>'抽奖|MoonBless'!DR17</f>
        <v>1206</v>
      </c>
      <c r="AE17" s="140">
        <f>'抽奖|MoonBless'!DS17</f>
        <v>1</v>
      </c>
    </row>
    <row r="18" spans="1:31" x14ac:dyDescent="0.45">
      <c r="A18" s="2">
        <v>4504</v>
      </c>
      <c r="B18" s="2">
        <v>1</v>
      </c>
      <c r="C18" s="2">
        <v>1</v>
      </c>
      <c r="D18" s="2">
        <v>1</v>
      </c>
      <c r="E18" s="2">
        <v>-1</v>
      </c>
      <c r="F18" s="1" t="s">
        <v>1808</v>
      </c>
      <c r="G18" s="2">
        <v>0</v>
      </c>
      <c r="H18" s="1" t="s">
        <v>1802</v>
      </c>
      <c r="I18" s="2">
        <f>1-M18</f>
        <v>0.5</v>
      </c>
      <c r="J18" s="1" t="s">
        <v>1803</v>
      </c>
      <c r="K18" s="2">
        <v>0</v>
      </c>
      <c r="L18" s="1" t="s">
        <v>1798</v>
      </c>
      <c r="M18" s="2">
        <v>0.5</v>
      </c>
      <c r="Q18" s="131" t="str">
        <f t="shared" si="0"/>
        <v>1，正确</v>
      </c>
      <c r="Z18" s="2" t="str">
        <f>'抽奖|MoonBless'!DN18</f>
        <v>2元话费卡</v>
      </c>
      <c r="AA18" s="2">
        <f>'抽奖|MoonBless'!DO18</f>
        <v>2</v>
      </c>
      <c r="AB18" s="2">
        <f>'抽奖|MoonBless'!DP18</f>
        <v>20</v>
      </c>
      <c r="AC18" s="2">
        <f>'抽奖|MoonBless'!DQ18</f>
        <v>2</v>
      </c>
      <c r="AD18" s="2">
        <f>'抽奖|MoonBless'!DR18</f>
        <v>1205</v>
      </c>
      <c r="AE18" s="140">
        <f>'抽奖|MoonBless'!DS18</f>
        <v>1</v>
      </c>
    </row>
    <row r="19" spans="1:31" x14ac:dyDescent="0.45">
      <c r="A19" s="2">
        <v>4505</v>
      </c>
      <c r="B19" s="2">
        <v>1</v>
      </c>
      <c r="C19" s="2">
        <v>1</v>
      </c>
      <c r="D19" s="2">
        <v>1</v>
      </c>
      <c r="E19" s="2">
        <v>-1</v>
      </c>
      <c r="F19" s="1" t="s">
        <v>1777</v>
      </c>
      <c r="G19" s="2">
        <v>0.4</v>
      </c>
      <c r="H19" s="1"/>
      <c r="J19" s="1"/>
      <c r="L19" s="1"/>
      <c r="Q19" s="131" t="str">
        <f t="shared" si="0"/>
        <v>0.4，正确</v>
      </c>
      <c r="U19" s="17"/>
      <c r="W19" s="132" t="s">
        <v>1809</v>
      </c>
      <c r="X19" s="133" t="s">
        <v>989</v>
      </c>
      <c r="Z19" s="2" t="str">
        <f>'抽奖|MoonBless'!DN19</f>
        <v>高压锅</v>
      </c>
      <c r="AA19" s="2">
        <f>'抽奖|MoonBless'!DO19</f>
        <v>200</v>
      </c>
      <c r="AB19" s="2">
        <f>'抽奖|MoonBless'!DP19</f>
        <v>2000</v>
      </c>
      <c r="AC19" s="2">
        <f>'抽奖|MoonBless'!DQ19</f>
        <v>2</v>
      </c>
      <c r="AD19" s="2">
        <f>'抽奖|MoonBless'!DR19</f>
        <v>1208</v>
      </c>
      <c r="AE19" s="140">
        <f>'抽奖|MoonBless'!DS19</f>
        <v>1</v>
      </c>
    </row>
    <row r="20" spans="1:31" x14ac:dyDescent="0.45">
      <c r="A20" s="112">
        <v>4506</v>
      </c>
      <c r="B20" s="113">
        <v>1</v>
      </c>
      <c r="C20" s="113">
        <v>1</v>
      </c>
      <c r="D20" s="113">
        <v>1</v>
      </c>
      <c r="E20" s="113">
        <v>-1</v>
      </c>
      <c r="F20" s="123" t="s">
        <v>1810</v>
      </c>
      <c r="G20" s="113">
        <v>1</v>
      </c>
      <c r="H20" s="123"/>
      <c r="I20" s="113"/>
      <c r="J20" s="123"/>
      <c r="K20" s="113"/>
      <c r="L20" s="123"/>
      <c r="M20" s="113"/>
      <c r="N20" s="113"/>
      <c r="O20" s="113"/>
      <c r="P20" s="127"/>
      <c r="Q20" s="131" t="str">
        <f t="shared" ref="Q20:Q34" si="2">IF(AND((B20=1),(G20+I20+K20+M20+O20&gt;1)),G20+I20+K20+M20+O20&amp;"，错误概率",G20+I20+K20+M20+O20&amp;"，正确")</f>
        <v>1，正确</v>
      </c>
      <c r="U20" s="17"/>
      <c r="W20" s="134" t="s">
        <v>1811</v>
      </c>
      <c r="X20" s="135">
        <v>500</v>
      </c>
      <c r="Y20" s="2">
        <f>RIGHT(F35,LEN(F35)-4)*G35+RIGHT(H35,LEN(H35)-4)*I35+RIGHT(J35,LEN(J35)-4)*K35+RIGHT(L35,LEN(L35)-4)*M35+RIGHT(N35,LEN(N35)-4)*O35</f>
        <v>500.05220408163336</v>
      </c>
      <c r="Z20" s="2" t="str">
        <f>'抽奖|MoonBless'!DN20</f>
        <v>30元话费卡</v>
      </c>
      <c r="AA20" s="2">
        <f>'抽奖|MoonBless'!DO20</f>
        <v>30</v>
      </c>
      <c r="AB20" s="2">
        <f>'抽奖|MoonBless'!DP20</f>
        <v>300</v>
      </c>
      <c r="AC20" s="2">
        <f>'抽奖|MoonBless'!DQ20</f>
        <v>2</v>
      </c>
      <c r="AD20" s="2">
        <f>'抽奖|MoonBless'!DR20</f>
        <v>1209</v>
      </c>
      <c r="AE20" s="140">
        <f>'抽奖|MoonBless'!DS20</f>
        <v>1</v>
      </c>
    </row>
    <row r="21" spans="1:31" x14ac:dyDescent="0.45">
      <c r="A21" s="114">
        <v>4507</v>
      </c>
      <c r="B21" s="2">
        <v>1</v>
      </c>
      <c r="C21" s="2">
        <v>1</v>
      </c>
      <c r="D21" s="2">
        <v>1</v>
      </c>
      <c r="E21" s="2">
        <v>-1</v>
      </c>
      <c r="F21" s="1" t="s">
        <v>1812</v>
      </c>
      <c r="G21" s="2">
        <v>1</v>
      </c>
      <c r="H21" s="1"/>
      <c r="J21" s="1"/>
      <c r="L21" s="1"/>
      <c r="P21" s="128"/>
      <c r="Q21" s="131" t="str">
        <f t="shared" si="2"/>
        <v>1，正确</v>
      </c>
      <c r="U21" s="17"/>
      <c r="W21" s="134" t="s">
        <v>1813</v>
      </c>
      <c r="X21" s="135">
        <v>1000</v>
      </c>
      <c r="Y21" s="2">
        <f>RIGHT(F36,LEN(F36)-4)*G36+RIGHT(H36,LEN(H36)-4)*I36+RIGHT(J36,LEN(J36)-4)*K36+RIGHT(L36,LEN(L36)-4)*M36+RIGHT(N36,LEN(N36)-4)*O36</f>
        <v>1000.4872060004725</v>
      </c>
      <c r="Z21" s="2" t="str">
        <f>'抽奖|MoonBless'!DN21</f>
        <v>50元话费卡</v>
      </c>
      <c r="AA21" s="2">
        <f>'抽奖|MoonBless'!DO21</f>
        <v>50</v>
      </c>
      <c r="AB21" s="2">
        <f>'抽奖|MoonBless'!DP21</f>
        <v>500</v>
      </c>
      <c r="AC21" s="2">
        <f>'抽奖|MoonBless'!DQ21</f>
        <v>2</v>
      </c>
      <c r="AD21" s="2">
        <f>'抽奖|MoonBless'!DR21</f>
        <v>1210</v>
      </c>
      <c r="AE21" s="140">
        <f>'抽奖|MoonBless'!DS21</f>
        <v>1</v>
      </c>
    </row>
    <row r="22" spans="1:31" x14ac:dyDescent="0.45">
      <c r="A22" s="114">
        <v>4508</v>
      </c>
      <c r="B22" s="2">
        <v>1</v>
      </c>
      <c r="C22" s="2">
        <v>1</v>
      </c>
      <c r="D22" s="2">
        <v>1</v>
      </c>
      <c r="E22" s="2">
        <v>-1</v>
      </c>
      <c r="F22" s="1" t="s">
        <v>1814</v>
      </c>
      <c r="G22" s="2">
        <v>0.6</v>
      </c>
      <c r="H22" s="1" t="s">
        <v>1791</v>
      </c>
      <c r="I22" s="2">
        <v>0</v>
      </c>
      <c r="J22" s="1" t="s">
        <v>1782</v>
      </c>
      <c r="K22" s="2">
        <f>1-G22</f>
        <v>0.4</v>
      </c>
      <c r="L22" s="1" t="s">
        <v>1798</v>
      </c>
      <c r="M22" s="2">
        <v>0</v>
      </c>
      <c r="P22" s="128"/>
      <c r="Q22" s="131" t="str">
        <f t="shared" si="2"/>
        <v>1，正确</v>
      </c>
      <c r="U22" s="17"/>
      <c r="W22" s="134" t="s">
        <v>1815</v>
      </c>
      <c r="X22" s="135">
        <v>2000</v>
      </c>
      <c r="Y22" s="2">
        <f>RIGHT(F37,LEN(F37)-4)*G37+RIGHT(H37,LEN(H37)-4)*I37+RIGHT(J37,LEN(J37)-4)*K37+RIGHT(L37,LEN(L37)-4)*M37+RIGHT(N37,LEN(N37)-4)*O37</f>
        <v>2000.1313520884387</v>
      </c>
      <c r="Z22" s="2" t="str">
        <f>'抽奖|MoonBless'!DN22</f>
        <v>活跃度</v>
      </c>
      <c r="AA22" s="2">
        <f>'抽奖|MoonBless'!DO22</f>
        <v>1</v>
      </c>
      <c r="AB22" s="2">
        <f>'抽奖|MoonBless'!DP22</f>
        <v>10</v>
      </c>
      <c r="AC22" s="2">
        <f>'抽奖|MoonBless'!DQ22</f>
        <v>1</v>
      </c>
      <c r="AD22" s="2">
        <f>'抽奖|MoonBless'!DR22</f>
        <v>6</v>
      </c>
      <c r="AE22" s="140">
        <f>'抽奖|MoonBless'!DS22</f>
        <v>1</v>
      </c>
    </row>
    <row r="23" spans="1:31" x14ac:dyDescent="0.45">
      <c r="A23" s="114">
        <v>4509</v>
      </c>
      <c r="B23" s="2">
        <v>1</v>
      </c>
      <c r="C23" s="2">
        <v>1</v>
      </c>
      <c r="D23" s="2">
        <v>1</v>
      </c>
      <c r="E23" s="2">
        <v>-1</v>
      </c>
      <c r="F23" s="1" t="s">
        <v>1814</v>
      </c>
      <c r="G23" s="2">
        <v>0</v>
      </c>
      <c r="H23" s="1" t="s">
        <v>1791</v>
      </c>
      <c r="I23" s="2">
        <f>1-M23</f>
        <v>0.5</v>
      </c>
      <c r="J23" s="1" t="s">
        <v>1782</v>
      </c>
      <c r="K23" s="2">
        <v>0</v>
      </c>
      <c r="L23" s="1" t="s">
        <v>1798</v>
      </c>
      <c r="M23" s="2">
        <v>0.5</v>
      </c>
      <c r="P23" s="128"/>
      <c r="Q23" s="131" t="str">
        <f t="shared" si="2"/>
        <v>1，正确</v>
      </c>
      <c r="U23" s="17"/>
      <c r="W23" s="136" t="s">
        <v>1816</v>
      </c>
      <c r="X23" s="137">
        <v>3500</v>
      </c>
      <c r="Y23" s="2">
        <f>RIGHT(F38,LEN(F38)-4)*G38+RIGHT(H38,LEN(H38)-4)*I38+RIGHT(J38,LEN(J38)-4)*K38+RIGHT(L38,LEN(L38)-4)*M38+RIGHT(N38,LEN(N38)-4)*O38</f>
        <v>3500.4895781515115</v>
      </c>
      <c r="Z23" s="2" t="str">
        <f>'抽奖|MoonBless'!DN23</f>
        <v>红包【恭】</v>
      </c>
      <c r="AA23" s="2">
        <f>'抽奖|MoonBless'!DO23</f>
        <v>1</v>
      </c>
      <c r="AB23" s="2">
        <f>'抽奖|MoonBless'!DP23</f>
        <v>10</v>
      </c>
      <c r="AC23" s="2">
        <f>'抽奖|MoonBless'!DQ23</f>
        <v>2</v>
      </c>
      <c r="AD23" s="2">
        <f>'抽奖|MoonBless'!DR23</f>
        <v>1301</v>
      </c>
      <c r="AE23" s="140">
        <f>'抽奖|MoonBless'!DS23</f>
        <v>1</v>
      </c>
    </row>
    <row r="24" spans="1:31" x14ac:dyDescent="0.45">
      <c r="A24" s="115">
        <v>4510</v>
      </c>
      <c r="B24" s="116">
        <v>1</v>
      </c>
      <c r="C24" s="116">
        <v>1</v>
      </c>
      <c r="D24" s="116">
        <v>1</v>
      </c>
      <c r="E24" s="116">
        <v>-1</v>
      </c>
      <c r="F24" s="124" t="s">
        <v>1777</v>
      </c>
      <c r="G24" s="116">
        <v>0.4</v>
      </c>
      <c r="H24" s="124"/>
      <c r="I24" s="116"/>
      <c r="J24" s="124"/>
      <c r="K24" s="116"/>
      <c r="L24" s="124"/>
      <c r="M24" s="116"/>
      <c r="N24" s="116"/>
      <c r="O24" s="116"/>
      <c r="P24" s="129"/>
      <c r="Q24" s="131" t="str">
        <f t="shared" si="2"/>
        <v>0.4，正确</v>
      </c>
      <c r="U24" s="17"/>
      <c r="Z24" s="2" t="str">
        <f>'抽奖|MoonBless'!DN24</f>
        <v>红包【喜】</v>
      </c>
      <c r="AA24" s="2">
        <f>'抽奖|MoonBless'!DO24</f>
        <v>1</v>
      </c>
      <c r="AB24" s="2">
        <f>'抽奖|MoonBless'!DP24</f>
        <v>10</v>
      </c>
      <c r="AC24" s="2">
        <f>'抽奖|MoonBless'!DQ24</f>
        <v>2</v>
      </c>
      <c r="AD24" s="2">
        <f>'抽奖|MoonBless'!DR24</f>
        <v>1302</v>
      </c>
      <c r="AE24" s="140">
        <f>'抽奖|MoonBless'!DS24</f>
        <v>1</v>
      </c>
    </row>
    <row r="25" spans="1:31" x14ac:dyDescent="0.45">
      <c r="A25" s="117">
        <v>4511</v>
      </c>
      <c r="B25" s="113">
        <v>1</v>
      </c>
      <c r="C25" s="113">
        <v>1</v>
      </c>
      <c r="D25" s="113">
        <v>1</v>
      </c>
      <c r="E25" s="113">
        <v>-1</v>
      </c>
      <c r="F25" s="123" t="s">
        <v>1817</v>
      </c>
      <c r="G25" s="113">
        <v>1</v>
      </c>
      <c r="H25" s="123"/>
      <c r="I25" s="113"/>
      <c r="J25" s="123"/>
      <c r="K25" s="113"/>
      <c r="L25" s="123"/>
      <c r="M25" s="113"/>
      <c r="N25" s="113"/>
      <c r="O25" s="113"/>
      <c r="P25" s="127"/>
      <c r="Q25" s="131" t="str">
        <f t="shared" si="2"/>
        <v>1，正确</v>
      </c>
      <c r="U25" s="17"/>
      <c r="Z25" s="2" t="str">
        <f>'抽奖|MoonBless'!DN25</f>
        <v>红包【发】</v>
      </c>
      <c r="AA25" s="2">
        <f>'抽奖|MoonBless'!DO25</f>
        <v>1</v>
      </c>
      <c r="AB25" s="2">
        <f>'抽奖|MoonBless'!DP25</f>
        <v>10</v>
      </c>
      <c r="AC25" s="2">
        <f>'抽奖|MoonBless'!DQ25</f>
        <v>2</v>
      </c>
      <c r="AD25" s="2">
        <f>'抽奖|MoonBless'!DR25</f>
        <v>1303</v>
      </c>
      <c r="AE25" s="140">
        <f>'抽奖|MoonBless'!DS25</f>
        <v>1</v>
      </c>
    </row>
    <row r="26" spans="1:31" x14ac:dyDescent="0.45">
      <c r="A26" s="118">
        <v>4512</v>
      </c>
      <c r="B26" s="2">
        <v>1</v>
      </c>
      <c r="C26" s="2">
        <v>1</v>
      </c>
      <c r="D26" s="2">
        <v>1</v>
      </c>
      <c r="E26" s="2">
        <v>-1</v>
      </c>
      <c r="F26" s="1" t="s">
        <v>1818</v>
      </c>
      <c r="G26" s="2">
        <v>1</v>
      </c>
      <c r="H26" s="1"/>
      <c r="J26" s="1"/>
      <c r="L26" s="1"/>
      <c r="P26" s="128"/>
      <c r="Q26" s="131" t="str">
        <f t="shared" si="2"/>
        <v>1，正确</v>
      </c>
      <c r="U26" s="17"/>
      <c r="Z26" s="2" t="str">
        <f>'抽奖|MoonBless'!DN26</f>
        <v>红包【财】</v>
      </c>
      <c r="AA26" s="2">
        <f>'抽奖|MoonBless'!DO26</f>
        <v>1</v>
      </c>
      <c r="AB26" s="2">
        <f>'抽奖|MoonBless'!DP26</f>
        <v>10</v>
      </c>
      <c r="AC26" s="2">
        <f>'抽奖|MoonBless'!DQ26</f>
        <v>2</v>
      </c>
      <c r="AD26" s="2">
        <f>'抽奖|MoonBless'!DR26</f>
        <v>1304</v>
      </c>
      <c r="AE26" s="140">
        <f>'抽奖|MoonBless'!DS26</f>
        <v>1</v>
      </c>
    </row>
    <row r="27" spans="1:31" x14ac:dyDescent="0.45">
      <c r="A27" s="118">
        <v>4513</v>
      </c>
      <c r="B27" s="2">
        <v>1</v>
      </c>
      <c r="C27" s="2">
        <v>1</v>
      </c>
      <c r="D27" s="2">
        <v>1</v>
      </c>
      <c r="E27" s="2">
        <v>-1</v>
      </c>
      <c r="F27" s="1" t="s">
        <v>1819</v>
      </c>
      <c r="G27" s="2">
        <v>0.6</v>
      </c>
      <c r="H27" s="1" t="s">
        <v>1797</v>
      </c>
      <c r="I27" s="2">
        <v>0</v>
      </c>
      <c r="J27" s="1" t="s">
        <v>1820</v>
      </c>
      <c r="K27" s="2">
        <f>1-G27</f>
        <v>0.4</v>
      </c>
      <c r="L27" s="1" t="s">
        <v>1821</v>
      </c>
      <c r="M27" s="2">
        <v>0</v>
      </c>
      <c r="P27" s="128"/>
      <c r="Q27" s="131" t="str">
        <f t="shared" si="2"/>
        <v>1，正确</v>
      </c>
      <c r="U27" s="17"/>
      <c r="Z27" s="2" t="str">
        <f>'抽奖|MoonBless'!DN27</f>
        <v>双轮</v>
      </c>
      <c r="AA27" s="2">
        <f>'抽奖|MoonBless'!DO27</f>
        <v>100</v>
      </c>
      <c r="AB27" s="2">
        <f>'抽奖|MoonBless'!DP27</f>
        <v>1000</v>
      </c>
      <c r="AC27" s="2">
        <f>'抽奖|MoonBless'!DQ27</f>
        <v>2</v>
      </c>
      <c r="AD27" s="2">
        <f>'抽奖|MoonBless'!DR27</f>
        <v>1500</v>
      </c>
      <c r="AE27" s="140">
        <f>'抽奖|MoonBless'!DS27</f>
        <v>1</v>
      </c>
    </row>
    <row r="28" spans="1:31" x14ac:dyDescent="0.45">
      <c r="A28" s="118">
        <v>4514</v>
      </c>
      <c r="B28" s="2">
        <v>1</v>
      </c>
      <c r="C28" s="2">
        <v>1</v>
      </c>
      <c r="D28" s="2">
        <v>1</v>
      </c>
      <c r="E28" s="2">
        <v>-1</v>
      </c>
      <c r="F28" s="1" t="s">
        <v>1819</v>
      </c>
      <c r="G28" s="2">
        <v>0</v>
      </c>
      <c r="H28" s="1" t="s">
        <v>1797</v>
      </c>
      <c r="I28" s="2">
        <f>1-M28</f>
        <v>0.5</v>
      </c>
      <c r="J28" s="1" t="s">
        <v>1820</v>
      </c>
      <c r="K28" s="2">
        <v>0</v>
      </c>
      <c r="L28" s="1" t="s">
        <v>1821</v>
      </c>
      <c r="M28" s="2">
        <v>0.5</v>
      </c>
      <c r="P28" s="128"/>
      <c r="Q28" s="131" t="str">
        <f t="shared" si="2"/>
        <v>1，正确</v>
      </c>
      <c r="U28" s="17"/>
      <c r="Z28" s="2" t="str">
        <f>'抽奖|MoonBless'!DN28</f>
        <v>橄榄油</v>
      </c>
      <c r="AA28" s="2">
        <f>'抽奖|MoonBless'!DO28</f>
        <v>200</v>
      </c>
      <c r="AB28" s="2">
        <f>'抽奖|MoonBless'!DP28</f>
        <v>2000</v>
      </c>
      <c r="AC28" s="2">
        <f>'抽奖|MoonBless'!DQ28</f>
        <v>2</v>
      </c>
      <c r="AD28" s="2">
        <f>'抽奖|MoonBless'!DR28</f>
        <v>1503</v>
      </c>
      <c r="AE28" s="140">
        <f>'抽奖|MoonBless'!DS28</f>
        <v>1</v>
      </c>
    </row>
    <row r="29" spans="1:31" x14ac:dyDescent="0.45">
      <c r="A29" s="119">
        <v>4515</v>
      </c>
      <c r="B29" s="116">
        <v>1</v>
      </c>
      <c r="C29" s="116">
        <v>1</v>
      </c>
      <c r="D29" s="116">
        <v>1</v>
      </c>
      <c r="E29" s="116">
        <v>-1</v>
      </c>
      <c r="F29" s="124" t="s">
        <v>1777</v>
      </c>
      <c r="G29" s="116">
        <v>0.4</v>
      </c>
      <c r="H29" s="124"/>
      <c r="I29" s="116"/>
      <c r="J29" s="124"/>
      <c r="K29" s="116"/>
      <c r="L29" s="124"/>
      <c r="M29" s="116"/>
      <c r="N29" s="116"/>
      <c r="O29" s="116"/>
      <c r="P29" s="129"/>
      <c r="Q29" s="131" t="str">
        <f t="shared" si="2"/>
        <v>0.4，正确</v>
      </c>
      <c r="U29" s="17"/>
      <c r="Z29" s="2" t="str">
        <f>'抽奖|MoonBless'!DN29</f>
        <v>米面礼包</v>
      </c>
      <c r="AA29" s="2">
        <f>'抽奖|MoonBless'!DO29</f>
        <v>275</v>
      </c>
      <c r="AB29" s="2">
        <f>'抽奖|MoonBless'!DP29</f>
        <v>2750</v>
      </c>
      <c r="AC29" s="2">
        <f>'抽奖|MoonBless'!DQ29</f>
        <v>2</v>
      </c>
      <c r="AD29" s="2">
        <f>'抽奖|MoonBless'!DR29</f>
        <v>1504</v>
      </c>
      <c r="AE29" s="140">
        <f>'抽奖|MoonBless'!DS29</f>
        <v>1</v>
      </c>
    </row>
    <row r="30" spans="1:31" x14ac:dyDescent="0.45">
      <c r="A30" s="112">
        <v>4516</v>
      </c>
      <c r="B30" s="113">
        <v>1</v>
      </c>
      <c r="C30" s="113">
        <v>1</v>
      </c>
      <c r="D30" s="113">
        <v>1</v>
      </c>
      <c r="E30" s="113">
        <v>-1</v>
      </c>
      <c r="F30" s="123" t="s">
        <v>1817</v>
      </c>
      <c r="G30" s="113">
        <v>1</v>
      </c>
      <c r="H30" s="123"/>
      <c r="I30" s="113"/>
      <c r="J30" s="123"/>
      <c r="K30" s="113"/>
      <c r="L30" s="123"/>
      <c r="M30" s="113"/>
      <c r="N30" s="113"/>
      <c r="O30" s="113"/>
      <c r="P30" s="127"/>
      <c r="Q30" s="131" t="str">
        <f t="shared" si="2"/>
        <v>1，正确</v>
      </c>
      <c r="U30" s="17"/>
      <c r="Z30" s="2" t="str">
        <f>'抽奖|MoonBless'!DN30</f>
        <v>买单券</v>
      </c>
      <c r="AA30" s="2">
        <f>'抽奖|MoonBless'!DO30</f>
        <v>2.5</v>
      </c>
      <c r="AB30" s="2">
        <f>'抽奖|MoonBless'!DP30</f>
        <v>25</v>
      </c>
      <c r="AC30" s="2">
        <f>'抽奖|MoonBless'!DQ30</f>
        <v>2</v>
      </c>
      <c r="AD30" s="2">
        <f>'抽奖|MoonBless'!DR30</f>
        <v>1213</v>
      </c>
      <c r="AE30" s="140">
        <f>'抽奖|MoonBless'!DS30</f>
        <v>1</v>
      </c>
    </row>
    <row r="31" spans="1:31" x14ac:dyDescent="0.45">
      <c r="A31" s="114">
        <v>4517</v>
      </c>
      <c r="B31" s="2">
        <v>1</v>
      </c>
      <c r="C31" s="2">
        <v>1</v>
      </c>
      <c r="D31" s="2">
        <v>1</v>
      </c>
      <c r="E31" s="2">
        <v>-1</v>
      </c>
      <c r="F31" s="1" t="s">
        <v>1800</v>
      </c>
      <c r="G31" s="2">
        <v>1</v>
      </c>
      <c r="H31" s="1"/>
      <c r="J31" s="1"/>
      <c r="L31" s="1"/>
      <c r="P31" s="128"/>
      <c r="Q31" s="131" t="str">
        <f t="shared" si="2"/>
        <v>1，正确</v>
      </c>
      <c r="U31" s="17"/>
      <c r="Z31" s="2">
        <f>'抽奖|MoonBless'!DN31</f>
        <v>0</v>
      </c>
      <c r="AA31" s="2">
        <f>'抽奖|MoonBless'!DO31</f>
        <v>0</v>
      </c>
      <c r="AB31" s="2">
        <f>'抽奖|MoonBless'!DP31</f>
        <v>0</v>
      </c>
      <c r="AC31" s="2">
        <f>'抽奖|MoonBless'!DQ31</f>
        <v>0</v>
      </c>
      <c r="AD31" s="2">
        <f>'抽奖|MoonBless'!DR31</f>
        <v>0</v>
      </c>
      <c r="AE31" s="140">
        <f>'抽奖|MoonBless'!DS31</f>
        <v>0</v>
      </c>
    </row>
    <row r="32" spans="1:31" x14ac:dyDescent="0.45">
      <c r="A32" s="114">
        <v>4518</v>
      </c>
      <c r="B32" s="2">
        <v>1</v>
      </c>
      <c r="C32" s="2">
        <v>1</v>
      </c>
      <c r="D32" s="2">
        <v>1</v>
      </c>
      <c r="E32" s="2">
        <v>-1</v>
      </c>
      <c r="F32" s="1" t="s">
        <v>1822</v>
      </c>
      <c r="G32" s="2">
        <v>0.6</v>
      </c>
      <c r="H32" s="1" t="s">
        <v>1802</v>
      </c>
      <c r="I32" s="2">
        <v>0</v>
      </c>
      <c r="J32" s="1" t="s">
        <v>1803</v>
      </c>
      <c r="K32" s="2">
        <f>1-G32</f>
        <v>0.4</v>
      </c>
      <c r="L32" s="1" t="s">
        <v>1823</v>
      </c>
      <c r="M32" s="2">
        <v>0</v>
      </c>
      <c r="P32" s="128"/>
      <c r="Q32" s="131" t="str">
        <f t="shared" si="2"/>
        <v>1，正确</v>
      </c>
      <c r="U32" s="17"/>
      <c r="Z32" s="2">
        <f>'抽奖|MoonBless'!DN32</f>
        <v>0</v>
      </c>
      <c r="AA32" s="2">
        <f>'抽奖|MoonBless'!DO32</f>
        <v>0</v>
      </c>
      <c r="AB32" s="2">
        <f>'抽奖|MoonBless'!DP32</f>
        <v>0</v>
      </c>
      <c r="AC32" s="2">
        <f>'抽奖|MoonBless'!DQ32</f>
        <v>0</v>
      </c>
      <c r="AD32" s="2">
        <f>'抽奖|MoonBless'!DR32</f>
        <v>0</v>
      </c>
      <c r="AE32" s="140">
        <f>'抽奖|MoonBless'!DS32</f>
        <v>0</v>
      </c>
    </row>
    <row r="33" spans="1:31" x14ac:dyDescent="0.45">
      <c r="A33" s="114">
        <v>4519</v>
      </c>
      <c r="B33" s="2">
        <v>1</v>
      </c>
      <c r="C33" s="2">
        <v>1</v>
      </c>
      <c r="D33" s="2">
        <v>1</v>
      </c>
      <c r="E33" s="2">
        <v>-1</v>
      </c>
      <c r="F33" s="1" t="s">
        <v>1822</v>
      </c>
      <c r="G33" s="2">
        <v>0</v>
      </c>
      <c r="H33" s="1" t="s">
        <v>1802</v>
      </c>
      <c r="I33" s="2">
        <f>1-M33</f>
        <v>0.5</v>
      </c>
      <c r="J33" s="1" t="s">
        <v>1803</v>
      </c>
      <c r="K33" s="2">
        <v>0</v>
      </c>
      <c r="L33" s="1" t="s">
        <v>1823</v>
      </c>
      <c r="M33" s="2">
        <v>0.5</v>
      </c>
      <c r="P33" s="128"/>
      <c r="Q33" s="131" t="str">
        <f t="shared" si="2"/>
        <v>1，正确</v>
      </c>
      <c r="U33" s="17"/>
      <c r="AE33" s="140"/>
    </row>
    <row r="34" spans="1:31" x14ac:dyDescent="0.45">
      <c r="A34" s="115">
        <v>4520</v>
      </c>
      <c r="B34" s="116">
        <v>1</v>
      </c>
      <c r="C34" s="116">
        <v>1</v>
      </c>
      <c r="D34" s="116">
        <v>1</v>
      </c>
      <c r="E34" s="116">
        <v>-1</v>
      </c>
      <c r="F34" s="124" t="s">
        <v>1777</v>
      </c>
      <c r="G34" s="116">
        <v>0.4</v>
      </c>
      <c r="H34" s="124"/>
      <c r="I34" s="116"/>
      <c r="J34" s="124"/>
      <c r="K34" s="116"/>
      <c r="L34" s="124"/>
      <c r="M34" s="116"/>
      <c r="N34" s="116"/>
      <c r="O34" s="116"/>
      <c r="P34" s="129"/>
      <c r="Q34" s="131" t="str">
        <f t="shared" si="2"/>
        <v>0.4，正确</v>
      </c>
      <c r="U34" s="17"/>
      <c r="AE34" s="140"/>
    </row>
    <row r="35" spans="1:31" x14ac:dyDescent="0.45">
      <c r="A35" s="2">
        <v>4701</v>
      </c>
      <c r="B35" s="2">
        <v>1</v>
      </c>
      <c r="C35" s="2">
        <v>1</v>
      </c>
      <c r="D35" s="2">
        <v>1</v>
      </c>
      <c r="E35" s="2">
        <v>-1</v>
      </c>
      <c r="F35" s="1" t="s">
        <v>1824</v>
      </c>
      <c r="G35" s="2">
        <v>0.27915000000000001</v>
      </c>
      <c r="H35" s="1" t="s">
        <v>1825</v>
      </c>
      <c r="I35" s="2">
        <v>0.24198250728862999</v>
      </c>
      <c r="J35" s="1" t="s">
        <v>1826</v>
      </c>
      <c r="K35" s="2">
        <v>0.233236151603499</v>
      </c>
      <c r="L35" s="1" t="s">
        <v>1827</v>
      </c>
      <c r="M35" s="2">
        <v>0.233236151603499</v>
      </c>
      <c r="N35" s="1" t="s">
        <v>1828</v>
      </c>
      <c r="O35" s="2">
        <v>1.23951895043732E-2</v>
      </c>
      <c r="P35" s="81" t="s">
        <v>1811</v>
      </c>
      <c r="Q35" s="131" t="str">
        <f t="shared" si="0"/>
        <v>1，正确</v>
      </c>
      <c r="R35" s="81"/>
      <c r="S35" s="17" t="s">
        <v>1829</v>
      </c>
      <c r="U35" s="17"/>
    </row>
    <row r="36" spans="1:31" x14ac:dyDescent="0.45">
      <c r="A36" s="2">
        <v>4702</v>
      </c>
      <c r="B36" s="2">
        <v>1</v>
      </c>
      <c r="C36" s="2">
        <v>1</v>
      </c>
      <c r="D36" s="2">
        <v>1</v>
      </c>
      <c r="E36" s="2">
        <v>-1</v>
      </c>
      <c r="F36" s="1" t="s">
        <v>1830</v>
      </c>
      <c r="G36" s="2">
        <v>0.28279500000000002</v>
      </c>
      <c r="H36" s="1" t="s">
        <v>1831</v>
      </c>
      <c r="I36" s="2">
        <v>0.23623907394283</v>
      </c>
      <c r="J36" s="1" t="s">
        <v>1832</v>
      </c>
      <c r="K36" s="2">
        <v>0.23623907394283</v>
      </c>
      <c r="L36" s="1" t="s">
        <v>1833</v>
      </c>
      <c r="M36" s="2">
        <v>0.23623907394283</v>
      </c>
      <c r="N36" s="1" t="s">
        <v>1834</v>
      </c>
      <c r="O36" s="2">
        <v>8.4877781715096395E-3</v>
      </c>
      <c r="P36" s="81" t="s">
        <v>1813</v>
      </c>
      <c r="Q36" s="131" t="str">
        <f t="shared" si="0"/>
        <v>1，正确</v>
      </c>
      <c r="R36" s="81"/>
      <c r="S36" s="9"/>
      <c r="U36" s="17"/>
    </row>
    <row r="37" spans="1:31" x14ac:dyDescent="0.45">
      <c r="A37" s="2">
        <v>4703</v>
      </c>
      <c r="B37" s="2">
        <v>1</v>
      </c>
      <c r="C37" s="2">
        <v>1</v>
      </c>
      <c r="D37" s="2">
        <v>1</v>
      </c>
      <c r="E37" s="2">
        <v>-1</v>
      </c>
      <c r="F37" s="1" t="s">
        <v>1835</v>
      </c>
      <c r="G37" s="2">
        <v>0.21572</v>
      </c>
      <c r="H37" s="1" t="s">
        <v>1836</v>
      </c>
      <c r="I37" s="2">
        <v>0.23830012576951101</v>
      </c>
      <c r="J37" s="1" t="s">
        <v>1837</v>
      </c>
      <c r="K37" s="2">
        <v>0.26477791752167901</v>
      </c>
      <c r="L37" s="1" t="s">
        <v>1838</v>
      </c>
      <c r="M37" s="2">
        <v>0.26477791752167901</v>
      </c>
      <c r="N37" s="1" t="s">
        <v>1839</v>
      </c>
      <c r="O37" s="2">
        <v>1.6424039187131902E-2</v>
      </c>
      <c r="P37" s="81" t="s">
        <v>1815</v>
      </c>
      <c r="Q37" s="131" t="str">
        <f t="shared" si="0"/>
        <v>1，正确</v>
      </c>
      <c r="R37" s="81"/>
      <c r="S37" s="9"/>
      <c r="U37" s="17"/>
    </row>
    <row r="38" spans="1:31" x14ac:dyDescent="0.45">
      <c r="A38" s="2">
        <v>4704</v>
      </c>
      <c r="B38" s="2">
        <v>1</v>
      </c>
      <c r="C38" s="2">
        <v>1</v>
      </c>
      <c r="D38" s="2">
        <v>1</v>
      </c>
      <c r="E38" s="2">
        <v>-1</v>
      </c>
      <c r="F38" s="1" t="s">
        <v>1840</v>
      </c>
      <c r="G38" s="2">
        <v>0.206459</v>
      </c>
      <c r="H38" s="1" t="s">
        <v>1828</v>
      </c>
      <c r="I38" s="2">
        <v>0.25904260505020998</v>
      </c>
      <c r="J38" s="1" t="s">
        <v>1841</v>
      </c>
      <c r="K38" s="2">
        <v>0.25998505085957602</v>
      </c>
      <c r="L38" s="1" t="s">
        <v>1842</v>
      </c>
      <c r="M38" s="2">
        <v>0.25998505085957602</v>
      </c>
      <c r="N38" s="1" t="s">
        <v>1843</v>
      </c>
      <c r="O38" s="2">
        <v>1.45282932306393E-2</v>
      </c>
      <c r="P38" s="81" t="s">
        <v>1816</v>
      </c>
      <c r="Q38" s="131" t="str">
        <f t="shared" si="0"/>
        <v>1，正确</v>
      </c>
      <c r="R38" s="17" t="s">
        <v>1844</v>
      </c>
      <c r="S38" s="9" t="s">
        <v>1845</v>
      </c>
      <c r="T38" s="2" t="s">
        <v>988</v>
      </c>
      <c r="U38" s="17"/>
    </row>
    <row r="39" spans="1:31" x14ac:dyDescent="0.45">
      <c r="A39" s="2">
        <v>4601</v>
      </c>
      <c r="B39" s="2">
        <v>3</v>
      </c>
      <c r="C39" s="2">
        <v>1</v>
      </c>
      <c r="D39" s="2">
        <v>1</v>
      </c>
      <c r="E39" s="125">
        <f>$R39/(60*5)/$T$39*50%/RIGHT(F39,1)/3+$R39/(60*5)/$T$39*25%/RIGHT(H39,1)/3+$R39/(60*5)/$T$39*25%/RIGHT(J39,1)/3</f>
        <v>2.2446689113355782E-3</v>
      </c>
      <c r="F39" s="1" t="s">
        <v>1786</v>
      </c>
      <c r="G39" s="2">
        <f>$R39/(60*5)/$T$39*50%/RIGHT(F39,1)/3</f>
        <v>1.1223344556677891E-3</v>
      </c>
      <c r="H39" s="1" t="s">
        <v>1787</v>
      </c>
      <c r="I39" s="2">
        <f>$R39/(60*5)/$T$39*25%/RIGHT(H39,1)/3</f>
        <v>5.6116722783389455E-4</v>
      </c>
      <c r="J39" s="1" t="s">
        <v>1788</v>
      </c>
      <c r="K39" s="2">
        <f>$R39/(60*5)/$T$39*25%/RIGHT(J39,1)/3</f>
        <v>5.6116722783389455E-4</v>
      </c>
      <c r="L39" s="1"/>
      <c r="Q39" s="131" t="str">
        <f t="shared" si="0"/>
        <v>0.00224466891133558，正确</v>
      </c>
      <c r="R39" s="1">
        <f>'鱼属性|FishAttribute'!E5</f>
        <v>2</v>
      </c>
      <c r="S39" s="125">
        <f t="shared" ref="S39:S88" si="3">G39+I39+K39+M39</f>
        <v>2.2446689113355782E-3</v>
      </c>
      <c r="T39" s="62">
        <f>'全局参数|GlobalPar'!B18/10000</f>
        <v>0.99</v>
      </c>
    </row>
    <row r="40" spans="1:31" x14ac:dyDescent="0.45">
      <c r="A40" s="2">
        <v>4602</v>
      </c>
      <c r="B40" s="2">
        <v>3</v>
      </c>
      <c r="C40" s="2">
        <v>1</v>
      </c>
      <c r="D40" s="2">
        <v>1</v>
      </c>
      <c r="E40" s="125">
        <f t="shared" ref="E40:E88" si="4">$R40/(60*5)/$T$39*50%/RIGHT(F40,1)/3+$R40/(60*5)/$T$39*25%/RIGHT(H40,1)/3+$R40/(60*5)/$T$39*25%/RIGHT(J40,1)/3</f>
        <v>2.2446689113355782E-3</v>
      </c>
      <c r="F40" s="1" t="s">
        <v>1786</v>
      </c>
      <c r="G40" s="2">
        <f t="shared" ref="G40:G88" si="5">$R40/(60*5)/$T$39*50%/RIGHT(F40,1)/3</f>
        <v>1.1223344556677891E-3</v>
      </c>
      <c r="H40" s="1" t="s">
        <v>1787</v>
      </c>
      <c r="I40" s="2">
        <f t="shared" ref="I40:I88" si="6">$R40/(60*5)/$T$39*25%/RIGHT(H40,1)/3</f>
        <v>5.6116722783389455E-4</v>
      </c>
      <c r="J40" s="1" t="s">
        <v>1788</v>
      </c>
      <c r="K40" s="2">
        <f t="shared" ref="K40:K88" si="7">$R40/(60*5)/$T$39*25%/RIGHT(J40,1)/3</f>
        <v>5.6116722783389455E-4</v>
      </c>
      <c r="Q40" s="131" t="str">
        <f t="shared" si="0"/>
        <v>0.00224466891133558，正确</v>
      </c>
      <c r="R40" s="1">
        <f>'鱼属性|FishAttribute'!E6</f>
        <v>2</v>
      </c>
      <c r="S40" s="125">
        <f t="shared" si="3"/>
        <v>2.2446689113355782E-3</v>
      </c>
    </row>
    <row r="41" spans="1:31" x14ac:dyDescent="0.45">
      <c r="A41" s="2">
        <v>4603</v>
      </c>
      <c r="B41" s="2">
        <v>3</v>
      </c>
      <c r="C41" s="2">
        <v>1</v>
      </c>
      <c r="D41" s="2">
        <v>1</v>
      </c>
      <c r="E41" s="125">
        <f t="shared" si="4"/>
        <v>2.2446689113355782E-3</v>
      </c>
      <c r="F41" s="1" t="s">
        <v>1786</v>
      </c>
      <c r="G41" s="2">
        <f t="shared" si="5"/>
        <v>1.1223344556677891E-3</v>
      </c>
      <c r="H41" s="1" t="s">
        <v>1787</v>
      </c>
      <c r="I41" s="2">
        <f t="shared" si="6"/>
        <v>5.6116722783389455E-4</v>
      </c>
      <c r="J41" s="1" t="s">
        <v>1788</v>
      </c>
      <c r="K41" s="2">
        <f t="shared" si="7"/>
        <v>5.6116722783389455E-4</v>
      </c>
      <c r="Q41" s="131" t="str">
        <f t="shared" si="0"/>
        <v>0.00224466891133558，正确</v>
      </c>
      <c r="R41" s="1">
        <f>'鱼属性|FishAttribute'!E7</f>
        <v>2</v>
      </c>
      <c r="S41" s="125">
        <f t="shared" si="3"/>
        <v>2.2446689113355782E-3</v>
      </c>
      <c r="V41" s="62"/>
      <c r="W41" s="138"/>
      <c r="X41" s="138"/>
    </row>
    <row r="42" spans="1:31" x14ac:dyDescent="0.45">
      <c r="A42" s="2">
        <v>4604</v>
      </c>
      <c r="B42" s="2">
        <v>3</v>
      </c>
      <c r="C42" s="2">
        <v>1</v>
      </c>
      <c r="D42" s="2">
        <v>1</v>
      </c>
      <c r="E42" s="125">
        <f t="shared" si="4"/>
        <v>2.2446689113355782E-3</v>
      </c>
      <c r="F42" s="1" t="s">
        <v>1786</v>
      </c>
      <c r="G42" s="2">
        <f t="shared" si="5"/>
        <v>1.1223344556677891E-3</v>
      </c>
      <c r="H42" s="1" t="s">
        <v>1787</v>
      </c>
      <c r="I42" s="2">
        <f t="shared" si="6"/>
        <v>5.6116722783389455E-4</v>
      </c>
      <c r="J42" s="1" t="s">
        <v>1788</v>
      </c>
      <c r="K42" s="2">
        <f t="shared" si="7"/>
        <v>5.6116722783389455E-4</v>
      </c>
      <c r="Q42" s="131" t="str">
        <f t="shared" si="0"/>
        <v>0.00224466891133558，正确</v>
      </c>
      <c r="R42" s="1">
        <f>'鱼属性|FishAttribute'!E8</f>
        <v>2</v>
      </c>
      <c r="S42" s="125">
        <f t="shared" si="3"/>
        <v>2.2446689113355782E-3</v>
      </c>
      <c r="W42" s="139"/>
      <c r="X42" s="139"/>
    </row>
    <row r="43" spans="1:31" x14ac:dyDescent="0.45">
      <c r="A43" s="2">
        <v>4605</v>
      </c>
      <c r="B43" s="2">
        <v>3</v>
      </c>
      <c r="C43" s="2">
        <v>1</v>
      </c>
      <c r="D43" s="2">
        <v>1</v>
      </c>
      <c r="E43" s="125">
        <f t="shared" si="4"/>
        <v>2.2446689113355782E-3</v>
      </c>
      <c r="F43" s="1" t="s">
        <v>1786</v>
      </c>
      <c r="G43" s="2">
        <f t="shared" si="5"/>
        <v>1.1223344556677891E-3</v>
      </c>
      <c r="H43" s="1" t="s">
        <v>1787</v>
      </c>
      <c r="I43" s="2">
        <f t="shared" si="6"/>
        <v>5.6116722783389455E-4</v>
      </c>
      <c r="J43" s="1" t="s">
        <v>1788</v>
      </c>
      <c r="K43" s="2">
        <f t="shared" si="7"/>
        <v>5.6116722783389455E-4</v>
      </c>
      <c r="Q43" s="131" t="str">
        <f t="shared" si="0"/>
        <v>0.00224466891133558，正确</v>
      </c>
      <c r="R43" s="1">
        <f>'鱼属性|FishAttribute'!E9</f>
        <v>2</v>
      </c>
      <c r="S43" s="125">
        <f t="shared" si="3"/>
        <v>2.2446689113355782E-3</v>
      </c>
    </row>
    <row r="44" spans="1:31" x14ac:dyDescent="0.45">
      <c r="A44" s="2">
        <v>4606</v>
      </c>
      <c r="B44" s="2">
        <v>3</v>
      </c>
      <c r="C44" s="2">
        <v>1</v>
      </c>
      <c r="D44" s="2">
        <v>1</v>
      </c>
      <c r="E44" s="125">
        <f t="shared" si="4"/>
        <v>3.3670033670033673E-3</v>
      </c>
      <c r="F44" s="1" t="s">
        <v>1786</v>
      </c>
      <c r="G44" s="2">
        <f t="shared" si="5"/>
        <v>1.6835016835016836E-3</v>
      </c>
      <c r="H44" s="1" t="s">
        <v>1787</v>
      </c>
      <c r="I44" s="2">
        <f t="shared" si="6"/>
        <v>8.4175084175084182E-4</v>
      </c>
      <c r="J44" s="1" t="s">
        <v>1788</v>
      </c>
      <c r="K44" s="2">
        <f t="shared" si="7"/>
        <v>8.4175084175084182E-4</v>
      </c>
      <c r="Q44" s="131" t="str">
        <f t="shared" si="0"/>
        <v>0.00336700336700337，正确</v>
      </c>
      <c r="R44" s="1">
        <f>'鱼属性|FishAttribute'!E10</f>
        <v>3</v>
      </c>
      <c r="S44" s="125">
        <f t="shared" si="3"/>
        <v>3.3670033670033673E-3</v>
      </c>
    </row>
    <row r="45" spans="1:31" x14ac:dyDescent="0.45">
      <c r="A45" s="2">
        <v>4607</v>
      </c>
      <c r="B45" s="2">
        <v>3</v>
      </c>
      <c r="C45" s="2">
        <v>1</v>
      </c>
      <c r="D45" s="2">
        <v>1</v>
      </c>
      <c r="E45" s="125">
        <f t="shared" si="4"/>
        <v>3.3670033670033673E-3</v>
      </c>
      <c r="F45" s="1" t="s">
        <v>1786</v>
      </c>
      <c r="G45" s="2">
        <f t="shared" si="5"/>
        <v>1.6835016835016836E-3</v>
      </c>
      <c r="H45" s="1" t="s">
        <v>1787</v>
      </c>
      <c r="I45" s="2">
        <f t="shared" si="6"/>
        <v>8.4175084175084182E-4</v>
      </c>
      <c r="J45" s="1" t="s">
        <v>1788</v>
      </c>
      <c r="K45" s="2">
        <f t="shared" si="7"/>
        <v>8.4175084175084182E-4</v>
      </c>
      <c r="Q45" s="131" t="str">
        <f t="shared" si="0"/>
        <v>0.00336700336700337，正确</v>
      </c>
      <c r="R45" s="1">
        <f>'鱼属性|FishAttribute'!E11</f>
        <v>3</v>
      </c>
      <c r="S45" s="125">
        <f t="shared" si="3"/>
        <v>3.3670033670033673E-3</v>
      </c>
    </row>
    <row r="46" spans="1:31" x14ac:dyDescent="0.45">
      <c r="A46" s="2">
        <v>4608</v>
      </c>
      <c r="B46" s="2">
        <v>3</v>
      </c>
      <c r="C46" s="2">
        <v>1</v>
      </c>
      <c r="D46" s="2">
        <v>1</v>
      </c>
      <c r="E46" s="125">
        <f t="shared" si="4"/>
        <v>4.4893378226711564E-3</v>
      </c>
      <c r="F46" s="1" t="s">
        <v>1786</v>
      </c>
      <c r="G46" s="2">
        <f t="shared" si="5"/>
        <v>2.2446689113355782E-3</v>
      </c>
      <c r="H46" s="1" t="s">
        <v>1787</v>
      </c>
      <c r="I46" s="2">
        <f t="shared" si="6"/>
        <v>1.1223344556677891E-3</v>
      </c>
      <c r="J46" s="1" t="s">
        <v>1788</v>
      </c>
      <c r="K46" s="2">
        <f t="shared" si="7"/>
        <v>1.1223344556677891E-3</v>
      </c>
      <c r="Q46" s="131" t="str">
        <f t="shared" si="0"/>
        <v>0.00448933782267116，正确</v>
      </c>
      <c r="R46" s="1">
        <f>'鱼属性|FishAttribute'!E12</f>
        <v>4</v>
      </c>
      <c r="S46" s="125">
        <f t="shared" si="3"/>
        <v>4.4893378226711564E-3</v>
      </c>
    </row>
    <row r="47" spans="1:31" x14ac:dyDescent="0.45">
      <c r="A47" s="2">
        <v>4609</v>
      </c>
      <c r="B47" s="2">
        <v>3</v>
      </c>
      <c r="C47" s="2">
        <v>1</v>
      </c>
      <c r="D47" s="2">
        <v>1</v>
      </c>
      <c r="E47" s="125">
        <f t="shared" si="4"/>
        <v>4.4893378226711564E-3</v>
      </c>
      <c r="F47" s="1" t="s">
        <v>1786</v>
      </c>
      <c r="G47" s="2">
        <f t="shared" si="5"/>
        <v>2.2446689113355782E-3</v>
      </c>
      <c r="H47" s="1" t="s">
        <v>1787</v>
      </c>
      <c r="I47" s="2">
        <f t="shared" si="6"/>
        <v>1.1223344556677891E-3</v>
      </c>
      <c r="J47" s="1" t="s">
        <v>1788</v>
      </c>
      <c r="K47" s="2">
        <f t="shared" si="7"/>
        <v>1.1223344556677891E-3</v>
      </c>
      <c r="Q47" s="131" t="str">
        <f t="shared" si="0"/>
        <v>0.00448933782267116，正确</v>
      </c>
      <c r="R47" s="1">
        <f>'鱼属性|FishAttribute'!E13</f>
        <v>4</v>
      </c>
      <c r="S47" s="125">
        <f t="shared" si="3"/>
        <v>4.4893378226711564E-3</v>
      </c>
    </row>
    <row r="48" spans="1:31" x14ac:dyDescent="0.45">
      <c r="A48" s="2">
        <v>4610</v>
      </c>
      <c r="B48" s="2">
        <v>3</v>
      </c>
      <c r="C48" s="2">
        <v>1</v>
      </c>
      <c r="D48" s="2">
        <v>1</v>
      </c>
      <c r="E48" s="125">
        <f t="shared" si="4"/>
        <v>5.6116722783389446E-3</v>
      </c>
      <c r="F48" s="1" t="s">
        <v>1786</v>
      </c>
      <c r="G48" s="2">
        <f t="shared" si="5"/>
        <v>2.8058361391694723E-3</v>
      </c>
      <c r="H48" s="1" t="s">
        <v>1787</v>
      </c>
      <c r="I48" s="2">
        <f t="shared" si="6"/>
        <v>1.4029180695847362E-3</v>
      </c>
      <c r="J48" s="1" t="s">
        <v>1788</v>
      </c>
      <c r="K48" s="2">
        <f t="shared" si="7"/>
        <v>1.4029180695847362E-3</v>
      </c>
      <c r="Q48" s="131" t="str">
        <f t="shared" si="0"/>
        <v>0.00561167227833894，正确</v>
      </c>
      <c r="R48" s="1">
        <f>'鱼属性|FishAttribute'!E14</f>
        <v>5</v>
      </c>
      <c r="S48" s="125">
        <f t="shared" si="3"/>
        <v>5.6116722783389446E-3</v>
      </c>
    </row>
    <row r="49" spans="1:19" x14ac:dyDescent="0.45">
      <c r="A49" s="2">
        <v>4611</v>
      </c>
      <c r="B49" s="2">
        <v>3</v>
      </c>
      <c r="C49" s="2">
        <v>1</v>
      </c>
      <c r="D49" s="2">
        <v>1</v>
      </c>
      <c r="E49" s="125">
        <f t="shared" si="4"/>
        <v>5.6116722783389446E-3</v>
      </c>
      <c r="F49" s="1" t="s">
        <v>1786</v>
      </c>
      <c r="G49" s="2">
        <f t="shared" si="5"/>
        <v>2.8058361391694723E-3</v>
      </c>
      <c r="H49" s="1" t="s">
        <v>1787</v>
      </c>
      <c r="I49" s="2">
        <f t="shared" si="6"/>
        <v>1.4029180695847362E-3</v>
      </c>
      <c r="J49" s="1" t="s">
        <v>1788</v>
      </c>
      <c r="K49" s="2">
        <f t="shared" si="7"/>
        <v>1.4029180695847362E-3</v>
      </c>
      <c r="Q49" s="131" t="str">
        <f t="shared" si="0"/>
        <v>0.00561167227833894，正确</v>
      </c>
      <c r="R49" s="1">
        <f>'鱼属性|FishAttribute'!E15</f>
        <v>5</v>
      </c>
      <c r="S49" s="125">
        <f t="shared" si="3"/>
        <v>5.6116722783389446E-3</v>
      </c>
    </row>
    <row r="50" spans="1:19" x14ac:dyDescent="0.45">
      <c r="A50" s="2">
        <v>4612</v>
      </c>
      <c r="B50" s="2">
        <v>3</v>
      </c>
      <c r="C50" s="2">
        <v>1</v>
      </c>
      <c r="D50" s="2">
        <v>1</v>
      </c>
      <c r="E50" s="125">
        <f t="shared" si="4"/>
        <v>5.6116722783389446E-3</v>
      </c>
      <c r="F50" s="1" t="s">
        <v>1786</v>
      </c>
      <c r="G50" s="2">
        <f t="shared" si="5"/>
        <v>2.8058361391694723E-3</v>
      </c>
      <c r="H50" s="1" t="s">
        <v>1787</v>
      </c>
      <c r="I50" s="2">
        <f t="shared" si="6"/>
        <v>1.4029180695847362E-3</v>
      </c>
      <c r="J50" s="1" t="s">
        <v>1788</v>
      </c>
      <c r="K50" s="2">
        <f t="shared" si="7"/>
        <v>1.4029180695847362E-3</v>
      </c>
      <c r="Q50" s="131" t="str">
        <f t="shared" si="0"/>
        <v>0.00561167227833894，正确</v>
      </c>
      <c r="R50" s="1">
        <f>'鱼属性|FishAttribute'!E16</f>
        <v>5</v>
      </c>
      <c r="S50" s="125">
        <f t="shared" si="3"/>
        <v>5.6116722783389446E-3</v>
      </c>
    </row>
    <row r="51" spans="1:19" x14ac:dyDescent="0.45">
      <c r="A51" s="2">
        <v>4613</v>
      </c>
      <c r="B51" s="2">
        <v>3</v>
      </c>
      <c r="C51" s="2">
        <v>1</v>
      </c>
      <c r="D51" s="2">
        <v>1</v>
      </c>
      <c r="E51" s="125">
        <f t="shared" si="4"/>
        <v>5.6116722783389446E-3</v>
      </c>
      <c r="F51" s="1" t="s">
        <v>1786</v>
      </c>
      <c r="G51" s="2">
        <f t="shared" si="5"/>
        <v>2.8058361391694723E-3</v>
      </c>
      <c r="H51" s="1" t="s">
        <v>1787</v>
      </c>
      <c r="I51" s="2">
        <f t="shared" si="6"/>
        <v>1.4029180695847362E-3</v>
      </c>
      <c r="J51" s="1" t="s">
        <v>1788</v>
      </c>
      <c r="K51" s="2">
        <f t="shared" si="7"/>
        <v>1.4029180695847362E-3</v>
      </c>
      <c r="Q51" s="131" t="str">
        <f t="shared" si="0"/>
        <v>0.00561167227833894，正确</v>
      </c>
      <c r="R51" s="1">
        <f>'鱼属性|FishAttribute'!E17</f>
        <v>5</v>
      </c>
      <c r="S51" s="125">
        <f t="shared" si="3"/>
        <v>5.6116722783389446E-3</v>
      </c>
    </row>
    <row r="52" spans="1:19" x14ac:dyDescent="0.45">
      <c r="A52" s="2">
        <v>4614</v>
      </c>
      <c r="B52" s="2">
        <v>3</v>
      </c>
      <c r="C52" s="2">
        <v>1</v>
      </c>
      <c r="D52" s="2">
        <v>1</v>
      </c>
      <c r="E52" s="125">
        <f t="shared" si="4"/>
        <v>5.6116722783389446E-3</v>
      </c>
      <c r="F52" s="1" t="s">
        <v>1786</v>
      </c>
      <c r="G52" s="2">
        <f t="shared" si="5"/>
        <v>2.8058361391694723E-3</v>
      </c>
      <c r="H52" s="1" t="s">
        <v>1787</v>
      </c>
      <c r="I52" s="2">
        <f t="shared" si="6"/>
        <v>1.4029180695847362E-3</v>
      </c>
      <c r="J52" s="1" t="s">
        <v>1788</v>
      </c>
      <c r="K52" s="2">
        <f t="shared" si="7"/>
        <v>1.4029180695847362E-3</v>
      </c>
      <c r="Q52" s="131" t="str">
        <f t="shared" si="0"/>
        <v>0.00561167227833894，正确</v>
      </c>
      <c r="R52" s="1">
        <f>'鱼属性|FishAttribute'!E18</f>
        <v>5</v>
      </c>
      <c r="S52" s="125">
        <f t="shared" si="3"/>
        <v>5.6116722783389446E-3</v>
      </c>
    </row>
    <row r="53" spans="1:19" x14ac:dyDescent="0.45">
      <c r="A53" s="2">
        <v>4615</v>
      </c>
      <c r="B53" s="2">
        <v>3</v>
      </c>
      <c r="C53" s="2">
        <v>1</v>
      </c>
      <c r="D53" s="2">
        <v>1</v>
      </c>
      <c r="E53" s="125">
        <f t="shared" si="4"/>
        <v>6.7340067340067346E-3</v>
      </c>
      <c r="F53" s="1" t="s">
        <v>1786</v>
      </c>
      <c r="G53" s="2">
        <f t="shared" si="5"/>
        <v>3.3670033670033673E-3</v>
      </c>
      <c r="H53" s="1" t="s">
        <v>1787</v>
      </c>
      <c r="I53" s="2">
        <f t="shared" si="6"/>
        <v>1.6835016835016836E-3</v>
      </c>
      <c r="J53" s="1" t="s">
        <v>1788</v>
      </c>
      <c r="K53" s="2">
        <f t="shared" si="7"/>
        <v>1.6835016835016836E-3</v>
      </c>
      <c r="Q53" s="131" t="str">
        <f t="shared" si="0"/>
        <v>0.00673400673400673，正确</v>
      </c>
      <c r="R53" s="1">
        <f>'鱼属性|FishAttribute'!E19</f>
        <v>6</v>
      </c>
      <c r="S53" s="125">
        <f t="shared" si="3"/>
        <v>6.7340067340067346E-3</v>
      </c>
    </row>
    <row r="54" spans="1:19" x14ac:dyDescent="0.45">
      <c r="A54" s="2">
        <v>4616</v>
      </c>
      <c r="B54" s="2">
        <v>3</v>
      </c>
      <c r="C54" s="2">
        <v>1</v>
      </c>
      <c r="D54" s="2">
        <v>1</v>
      </c>
      <c r="E54" s="125">
        <f t="shared" si="4"/>
        <v>8.9786756453423128E-3</v>
      </c>
      <c r="F54" s="1" t="s">
        <v>1786</v>
      </c>
      <c r="G54" s="2">
        <f t="shared" si="5"/>
        <v>4.4893378226711564E-3</v>
      </c>
      <c r="H54" s="1" t="s">
        <v>1787</v>
      </c>
      <c r="I54" s="2">
        <f t="shared" si="6"/>
        <v>2.2446689113355782E-3</v>
      </c>
      <c r="J54" s="1" t="s">
        <v>1788</v>
      </c>
      <c r="K54" s="2">
        <f t="shared" si="7"/>
        <v>2.2446689113355782E-3</v>
      </c>
      <c r="Q54" s="131" t="str">
        <f t="shared" si="0"/>
        <v>0.00897867564534231，正确</v>
      </c>
      <c r="R54" s="1">
        <f>'鱼属性|FishAttribute'!E20</f>
        <v>8</v>
      </c>
      <c r="S54" s="125">
        <f t="shared" si="3"/>
        <v>8.9786756453423128E-3</v>
      </c>
    </row>
    <row r="55" spans="1:19" x14ac:dyDescent="0.45">
      <c r="A55" s="2">
        <v>4617</v>
      </c>
      <c r="B55" s="2">
        <v>3</v>
      </c>
      <c r="C55" s="2">
        <v>1</v>
      </c>
      <c r="D55" s="2">
        <v>1</v>
      </c>
      <c r="E55" s="125">
        <f t="shared" si="4"/>
        <v>8.9786756453423128E-3</v>
      </c>
      <c r="F55" s="1" t="s">
        <v>1786</v>
      </c>
      <c r="G55" s="2">
        <f t="shared" si="5"/>
        <v>4.4893378226711564E-3</v>
      </c>
      <c r="H55" s="1" t="s">
        <v>1787</v>
      </c>
      <c r="I55" s="2">
        <f t="shared" si="6"/>
        <v>2.2446689113355782E-3</v>
      </c>
      <c r="J55" s="1" t="s">
        <v>1788</v>
      </c>
      <c r="K55" s="2">
        <f t="shared" si="7"/>
        <v>2.2446689113355782E-3</v>
      </c>
      <c r="Q55" s="131" t="str">
        <f t="shared" si="0"/>
        <v>0.00897867564534231，正确</v>
      </c>
      <c r="R55" s="1">
        <f>'鱼属性|FishAttribute'!E21</f>
        <v>8</v>
      </c>
      <c r="S55" s="125">
        <f t="shared" si="3"/>
        <v>8.9786756453423128E-3</v>
      </c>
    </row>
    <row r="56" spans="1:19" x14ac:dyDescent="0.45">
      <c r="A56" s="2">
        <v>4618</v>
      </c>
      <c r="B56" s="2">
        <v>3</v>
      </c>
      <c r="C56" s="2">
        <v>1</v>
      </c>
      <c r="D56" s="2">
        <v>1</v>
      </c>
      <c r="E56" s="125">
        <f t="shared" si="4"/>
        <v>8.9786756453423128E-3</v>
      </c>
      <c r="F56" s="1" t="s">
        <v>1786</v>
      </c>
      <c r="G56" s="2">
        <f t="shared" si="5"/>
        <v>4.4893378226711564E-3</v>
      </c>
      <c r="H56" s="1" t="s">
        <v>1787</v>
      </c>
      <c r="I56" s="2">
        <f t="shared" si="6"/>
        <v>2.2446689113355782E-3</v>
      </c>
      <c r="J56" s="1" t="s">
        <v>1788</v>
      </c>
      <c r="K56" s="2">
        <f t="shared" si="7"/>
        <v>2.2446689113355782E-3</v>
      </c>
      <c r="Q56" s="131" t="str">
        <f t="shared" si="0"/>
        <v>0.00897867564534231，正确</v>
      </c>
      <c r="R56" s="1">
        <f>'鱼属性|FishAttribute'!E22</f>
        <v>8</v>
      </c>
      <c r="S56" s="125">
        <f t="shared" si="3"/>
        <v>8.9786756453423128E-3</v>
      </c>
    </row>
    <row r="57" spans="1:19" x14ac:dyDescent="0.45">
      <c r="A57" s="2">
        <v>4619</v>
      </c>
      <c r="B57" s="2">
        <v>3</v>
      </c>
      <c r="C57" s="2">
        <v>1</v>
      </c>
      <c r="D57" s="2">
        <v>1</v>
      </c>
      <c r="E57" s="125">
        <f t="shared" si="4"/>
        <v>1.1223344556677889E-2</v>
      </c>
      <c r="F57" s="1" t="s">
        <v>1786</v>
      </c>
      <c r="G57" s="2">
        <f t="shared" si="5"/>
        <v>5.6116722783389446E-3</v>
      </c>
      <c r="H57" s="1" t="s">
        <v>1787</v>
      </c>
      <c r="I57" s="2">
        <f t="shared" si="6"/>
        <v>2.8058361391694723E-3</v>
      </c>
      <c r="J57" s="1" t="s">
        <v>1788</v>
      </c>
      <c r="K57" s="2">
        <f t="shared" si="7"/>
        <v>2.8058361391694723E-3</v>
      </c>
      <c r="Q57" s="131" t="str">
        <f t="shared" si="0"/>
        <v>0.0112233445566779，正确</v>
      </c>
      <c r="R57" s="1">
        <f>'鱼属性|FishAttribute'!E23</f>
        <v>10</v>
      </c>
      <c r="S57" s="125">
        <f t="shared" si="3"/>
        <v>1.1223344556677889E-2</v>
      </c>
    </row>
    <row r="58" spans="1:19" x14ac:dyDescent="0.45">
      <c r="A58" s="2">
        <v>4620</v>
      </c>
      <c r="B58" s="2">
        <v>3</v>
      </c>
      <c r="C58" s="2">
        <v>1</v>
      </c>
      <c r="D58" s="2">
        <v>1</v>
      </c>
      <c r="E58" s="125">
        <f t="shared" si="4"/>
        <v>1.1223344556677889E-2</v>
      </c>
      <c r="F58" s="1" t="s">
        <v>1786</v>
      </c>
      <c r="G58" s="2">
        <f t="shared" si="5"/>
        <v>5.6116722783389446E-3</v>
      </c>
      <c r="H58" s="1" t="s">
        <v>1787</v>
      </c>
      <c r="I58" s="2">
        <f t="shared" si="6"/>
        <v>2.8058361391694723E-3</v>
      </c>
      <c r="J58" s="1" t="s">
        <v>1788</v>
      </c>
      <c r="K58" s="2">
        <f t="shared" si="7"/>
        <v>2.8058361391694723E-3</v>
      </c>
      <c r="Q58" s="131" t="str">
        <f t="shared" si="0"/>
        <v>0.0112233445566779，正确</v>
      </c>
      <c r="R58" s="1">
        <f>'鱼属性|FishAttribute'!E24</f>
        <v>10</v>
      </c>
      <c r="S58" s="125">
        <f t="shared" si="3"/>
        <v>1.1223344556677889E-2</v>
      </c>
    </row>
    <row r="59" spans="1:19" x14ac:dyDescent="0.45">
      <c r="A59" s="2">
        <v>4621</v>
      </c>
      <c r="B59" s="2">
        <v>3</v>
      </c>
      <c r="C59" s="2">
        <v>1</v>
      </c>
      <c r="D59" s="2">
        <v>1</v>
      </c>
      <c r="E59" s="125">
        <f t="shared" si="4"/>
        <v>1.1223344556677889E-2</v>
      </c>
      <c r="F59" s="1" t="s">
        <v>1786</v>
      </c>
      <c r="G59" s="2">
        <f t="shared" si="5"/>
        <v>5.6116722783389446E-3</v>
      </c>
      <c r="H59" s="1" t="s">
        <v>1787</v>
      </c>
      <c r="I59" s="2">
        <f t="shared" si="6"/>
        <v>2.8058361391694723E-3</v>
      </c>
      <c r="J59" s="1" t="s">
        <v>1788</v>
      </c>
      <c r="K59" s="2">
        <f t="shared" si="7"/>
        <v>2.8058361391694723E-3</v>
      </c>
      <c r="Q59" s="131" t="str">
        <f t="shared" si="0"/>
        <v>0.0112233445566779，正确</v>
      </c>
      <c r="R59" s="1">
        <f>'鱼属性|FishAttribute'!E25</f>
        <v>10</v>
      </c>
      <c r="S59" s="125">
        <f t="shared" si="3"/>
        <v>1.1223344556677889E-2</v>
      </c>
    </row>
    <row r="60" spans="1:19" x14ac:dyDescent="0.45">
      <c r="A60" s="2">
        <v>4622</v>
      </c>
      <c r="B60" s="2">
        <v>3</v>
      </c>
      <c r="C60" s="2">
        <v>1</v>
      </c>
      <c r="D60" s="2">
        <v>1</v>
      </c>
      <c r="E60" s="125">
        <f t="shared" si="4"/>
        <v>1.1223344556677889E-2</v>
      </c>
      <c r="F60" s="1" t="s">
        <v>1786</v>
      </c>
      <c r="G60" s="2">
        <f t="shared" si="5"/>
        <v>5.6116722783389446E-3</v>
      </c>
      <c r="H60" s="1" t="s">
        <v>1787</v>
      </c>
      <c r="I60" s="2">
        <f t="shared" si="6"/>
        <v>2.8058361391694723E-3</v>
      </c>
      <c r="J60" s="1" t="s">
        <v>1788</v>
      </c>
      <c r="K60" s="2">
        <f t="shared" si="7"/>
        <v>2.8058361391694723E-3</v>
      </c>
      <c r="Q60" s="131" t="str">
        <f t="shared" si="0"/>
        <v>0.0112233445566779，正确</v>
      </c>
      <c r="R60" s="1">
        <f>'鱼属性|FishAttribute'!E26</f>
        <v>10</v>
      </c>
      <c r="S60" s="125">
        <f t="shared" si="3"/>
        <v>1.1223344556677889E-2</v>
      </c>
    </row>
    <row r="61" spans="1:19" x14ac:dyDescent="0.45">
      <c r="A61" s="2">
        <v>4623</v>
      </c>
      <c r="B61" s="2">
        <v>3</v>
      </c>
      <c r="C61" s="2">
        <v>1</v>
      </c>
      <c r="D61" s="2">
        <v>1</v>
      </c>
      <c r="E61" s="125">
        <f t="shared" si="4"/>
        <v>1.3468013468013469E-2</v>
      </c>
      <c r="F61" s="1" t="s">
        <v>1786</v>
      </c>
      <c r="G61" s="2">
        <f t="shared" si="5"/>
        <v>6.7340067340067346E-3</v>
      </c>
      <c r="H61" s="1" t="s">
        <v>1787</v>
      </c>
      <c r="I61" s="2">
        <f t="shared" si="6"/>
        <v>3.3670033670033673E-3</v>
      </c>
      <c r="J61" s="1" t="s">
        <v>1788</v>
      </c>
      <c r="K61" s="2">
        <f t="shared" si="7"/>
        <v>3.3670033670033673E-3</v>
      </c>
      <c r="Q61" s="131" t="str">
        <f t="shared" si="0"/>
        <v>0.0134680134680135，正确</v>
      </c>
      <c r="R61" s="1">
        <f>'鱼属性|FishAttribute'!E27</f>
        <v>12</v>
      </c>
      <c r="S61" s="125">
        <f t="shared" si="3"/>
        <v>1.3468013468013469E-2</v>
      </c>
    </row>
    <row r="62" spans="1:19" x14ac:dyDescent="0.45">
      <c r="A62" s="2">
        <v>4624</v>
      </c>
      <c r="B62" s="2">
        <v>3</v>
      </c>
      <c r="C62" s="2">
        <v>1</v>
      </c>
      <c r="D62" s="2">
        <v>1</v>
      </c>
      <c r="E62" s="125">
        <f t="shared" si="4"/>
        <v>1.6835016835016838E-2</v>
      </c>
      <c r="F62" s="1" t="s">
        <v>1786</v>
      </c>
      <c r="G62" s="2">
        <f t="shared" si="5"/>
        <v>8.4175084175084191E-3</v>
      </c>
      <c r="H62" s="1" t="s">
        <v>1787</v>
      </c>
      <c r="I62" s="2">
        <f t="shared" si="6"/>
        <v>4.2087542087542095E-3</v>
      </c>
      <c r="J62" s="1" t="s">
        <v>1788</v>
      </c>
      <c r="K62" s="2">
        <f t="shared" si="7"/>
        <v>4.2087542087542095E-3</v>
      </c>
      <c r="Q62" s="131" t="str">
        <f t="shared" si="0"/>
        <v>0.0168350168350168，正确</v>
      </c>
      <c r="R62" s="1">
        <f>'鱼属性|FishAttribute'!E28</f>
        <v>15</v>
      </c>
      <c r="S62" s="125">
        <f t="shared" si="3"/>
        <v>1.6835016835016838E-2</v>
      </c>
    </row>
    <row r="63" spans="1:19" x14ac:dyDescent="0.45">
      <c r="A63" s="2">
        <v>4625</v>
      </c>
      <c r="B63" s="2">
        <v>3</v>
      </c>
      <c r="C63" s="2">
        <v>1</v>
      </c>
      <c r="D63" s="2">
        <v>1</v>
      </c>
      <c r="E63" s="125">
        <f t="shared" si="4"/>
        <v>1.6835016835016838E-2</v>
      </c>
      <c r="F63" s="1" t="s">
        <v>1786</v>
      </c>
      <c r="G63" s="2">
        <f t="shared" si="5"/>
        <v>8.4175084175084191E-3</v>
      </c>
      <c r="H63" s="1" t="s">
        <v>1787</v>
      </c>
      <c r="I63" s="2">
        <f t="shared" si="6"/>
        <v>4.2087542087542095E-3</v>
      </c>
      <c r="J63" s="1" t="s">
        <v>1788</v>
      </c>
      <c r="K63" s="2">
        <f t="shared" si="7"/>
        <v>4.2087542087542095E-3</v>
      </c>
      <c r="Q63" s="131" t="str">
        <f t="shared" si="0"/>
        <v>0.0168350168350168，正确</v>
      </c>
      <c r="R63" s="1">
        <f>'鱼属性|FishAttribute'!E29</f>
        <v>15</v>
      </c>
      <c r="S63" s="125">
        <f t="shared" si="3"/>
        <v>1.6835016835016838E-2</v>
      </c>
    </row>
    <row r="64" spans="1:19" x14ac:dyDescent="0.45">
      <c r="A64" s="2">
        <v>4626</v>
      </c>
      <c r="B64" s="2">
        <v>3</v>
      </c>
      <c r="C64" s="2">
        <v>1</v>
      </c>
      <c r="D64" s="2">
        <v>1</v>
      </c>
      <c r="E64" s="125">
        <f t="shared" si="4"/>
        <v>2.4691358024691357E-2</v>
      </c>
      <c r="F64" s="1" t="s">
        <v>1786</v>
      </c>
      <c r="G64" s="2">
        <f t="shared" si="5"/>
        <v>1.2345679012345678E-2</v>
      </c>
      <c r="H64" s="1" t="s">
        <v>1787</v>
      </c>
      <c r="I64" s="2">
        <f t="shared" si="6"/>
        <v>6.1728395061728392E-3</v>
      </c>
      <c r="J64" s="1" t="s">
        <v>1788</v>
      </c>
      <c r="K64" s="2">
        <f t="shared" si="7"/>
        <v>6.1728395061728392E-3</v>
      </c>
      <c r="Q64" s="131" t="str">
        <f t="shared" si="0"/>
        <v>0.0246913580246914，正确</v>
      </c>
      <c r="R64" s="1">
        <f>'鱼属性|FishAttribute'!E30</f>
        <v>22</v>
      </c>
      <c r="S64" s="125">
        <f t="shared" si="3"/>
        <v>2.4691358024691357E-2</v>
      </c>
    </row>
    <row r="65" spans="1:19" x14ac:dyDescent="0.45">
      <c r="A65" s="2">
        <v>4627</v>
      </c>
      <c r="B65" s="2">
        <v>3</v>
      </c>
      <c r="C65" s="2">
        <v>1</v>
      </c>
      <c r="D65" s="2">
        <v>1</v>
      </c>
      <c r="E65" s="125">
        <f t="shared" si="4"/>
        <v>3.5914702581369251E-2</v>
      </c>
      <c r="F65" s="1" t="s">
        <v>1786</v>
      </c>
      <c r="G65" s="2">
        <f t="shared" si="5"/>
        <v>1.7957351290684626E-2</v>
      </c>
      <c r="H65" s="1" t="s">
        <v>1787</v>
      </c>
      <c r="I65" s="2">
        <f t="shared" si="6"/>
        <v>8.9786756453423128E-3</v>
      </c>
      <c r="J65" s="1" t="s">
        <v>1788</v>
      </c>
      <c r="K65" s="2">
        <f t="shared" si="7"/>
        <v>8.9786756453423128E-3</v>
      </c>
      <c r="Q65" s="131" t="str">
        <f t="shared" si="0"/>
        <v>0.0359147025813693，正确</v>
      </c>
      <c r="R65" s="1">
        <f>'鱼属性|FishAttribute'!E31</f>
        <v>32</v>
      </c>
      <c r="S65" s="125">
        <f t="shared" si="3"/>
        <v>3.5914702581369251E-2</v>
      </c>
    </row>
    <row r="66" spans="1:19" x14ac:dyDescent="0.45">
      <c r="A66" s="2">
        <v>4628</v>
      </c>
      <c r="B66" s="2">
        <v>3</v>
      </c>
      <c r="C66" s="2">
        <v>1</v>
      </c>
      <c r="D66" s="2">
        <v>1</v>
      </c>
      <c r="E66" s="125">
        <f t="shared" si="4"/>
        <v>4.7138047138047146E-2</v>
      </c>
      <c r="F66" s="1" t="s">
        <v>1786</v>
      </c>
      <c r="G66" s="2">
        <f t="shared" si="5"/>
        <v>2.3569023569023573E-2</v>
      </c>
      <c r="H66" s="1" t="s">
        <v>1787</v>
      </c>
      <c r="I66" s="2">
        <f t="shared" si="6"/>
        <v>1.1784511784511786E-2</v>
      </c>
      <c r="J66" s="1" t="s">
        <v>1788</v>
      </c>
      <c r="K66" s="2">
        <f t="shared" si="7"/>
        <v>1.1784511784511786E-2</v>
      </c>
      <c r="Q66" s="131" t="str">
        <f t="shared" si="0"/>
        <v>0.0471380471380471，正确</v>
      </c>
      <c r="R66" s="1">
        <f>'鱼属性|FishAttribute'!E32</f>
        <v>42</v>
      </c>
      <c r="S66" s="125">
        <f t="shared" si="3"/>
        <v>4.7138047138047146E-2</v>
      </c>
    </row>
    <row r="67" spans="1:19" x14ac:dyDescent="0.45">
      <c r="A67" s="2">
        <v>4629</v>
      </c>
      <c r="B67" s="2">
        <v>3</v>
      </c>
      <c r="C67" s="2">
        <v>1</v>
      </c>
      <c r="D67" s="2">
        <v>1</v>
      </c>
      <c r="E67" s="125">
        <f t="shared" si="4"/>
        <v>3.9562289562289563E-2</v>
      </c>
      <c r="F67" s="141" t="s">
        <v>1781</v>
      </c>
      <c r="G67" s="2">
        <f t="shared" si="5"/>
        <v>1.3187429854096521E-2</v>
      </c>
      <c r="H67" s="1" t="s">
        <v>1787</v>
      </c>
      <c r="I67" s="2">
        <f t="shared" si="6"/>
        <v>1.3187429854096521E-2</v>
      </c>
      <c r="J67" s="1" t="s">
        <v>1788</v>
      </c>
      <c r="K67" s="2">
        <f t="shared" si="7"/>
        <v>1.3187429854096521E-2</v>
      </c>
      <c r="Q67" s="131" t="str">
        <f t="shared" si="0"/>
        <v>0.0395622895622896，正确</v>
      </c>
      <c r="R67" s="1">
        <f>'鱼属性|FishAttribute'!E33</f>
        <v>47</v>
      </c>
      <c r="S67" s="125">
        <f t="shared" si="3"/>
        <v>3.9562289562289563E-2</v>
      </c>
    </row>
    <row r="68" spans="1:19" x14ac:dyDescent="0.45">
      <c r="A68" s="2">
        <v>4630</v>
      </c>
      <c r="B68" s="2">
        <v>3</v>
      </c>
      <c r="C68" s="2">
        <v>1</v>
      </c>
      <c r="D68" s="2">
        <v>1</v>
      </c>
      <c r="E68" s="125">
        <f t="shared" si="4"/>
        <v>3.5353535353535359E-2</v>
      </c>
      <c r="F68" s="141" t="s">
        <v>1781</v>
      </c>
      <c r="G68" s="2">
        <f t="shared" si="5"/>
        <v>1.1784511784511786E-2</v>
      </c>
      <c r="H68" s="1" t="s">
        <v>1787</v>
      </c>
      <c r="I68" s="2">
        <f t="shared" si="6"/>
        <v>1.1784511784511786E-2</v>
      </c>
      <c r="J68" s="1" t="s">
        <v>1788</v>
      </c>
      <c r="K68" s="2">
        <f t="shared" si="7"/>
        <v>1.1784511784511786E-2</v>
      </c>
      <c r="Q68" s="131" t="str">
        <f t="shared" si="0"/>
        <v>0.0353535353535354，正确</v>
      </c>
      <c r="R68" s="1">
        <f>'鱼属性|FishAttribute'!E34</f>
        <v>42</v>
      </c>
      <c r="S68" s="125">
        <f t="shared" si="3"/>
        <v>3.5353535353535359E-2</v>
      </c>
    </row>
    <row r="69" spans="1:19" x14ac:dyDescent="0.45">
      <c r="A69" s="2">
        <v>4631</v>
      </c>
      <c r="B69" s="2">
        <v>3</v>
      </c>
      <c r="C69" s="2">
        <v>1</v>
      </c>
      <c r="D69" s="2">
        <v>1</v>
      </c>
      <c r="E69" s="125">
        <f t="shared" si="4"/>
        <v>4.7979797979797983E-2</v>
      </c>
      <c r="F69" s="141" t="s">
        <v>1781</v>
      </c>
      <c r="G69" s="2">
        <f t="shared" si="5"/>
        <v>1.5993265993265993E-2</v>
      </c>
      <c r="H69" s="1" t="s">
        <v>1787</v>
      </c>
      <c r="I69" s="2">
        <f t="shared" si="6"/>
        <v>1.5993265993265993E-2</v>
      </c>
      <c r="J69" s="1" t="s">
        <v>1788</v>
      </c>
      <c r="K69" s="2">
        <f t="shared" si="7"/>
        <v>1.5993265993265993E-2</v>
      </c>
      <c r="Q69" s="131" t="str">
        <f t="shared" si="0"/>
        <v>0.047979797979798，正确</v>
      </c>
      <c r="R69" s="1">
        <f>'鱼属性|FishAttribute'!E35</f>
        <v>57</v>
      </c>
      <c r="S69" s="125">
        <f t="shared" si="3"/>
        <v>4.7979797979797983E-2</v>
      </c>
    </row>
    <row r="70" spans="1:19" x14ac:dyDescent="0.45">
      <c r="A70" s="2">
        <v>4632</v>
      </c>
      <c r="B70" s="2">
        <v>3</v>
      </c>
      <c r="C70" s="2">
        <v>1</v>
      </c>
      <c r="D70" s="2">
        <v>1</v>
      </c>
      <c r="E70" s="125">
        <f t="shared" si="4"/>
        <v>3.6475869809203143E-2</v>
      </c>
      <c r="F70" s="141" t="s">
        <v>1781</v>
      </c>
      <c r="G70" s="2">
        <f t="shared" si="5"/>
        <v>1.4590347923681258E-2</v>
      </c>
      <c r="H70" s="1" t="s">
        <v>1787</v>
      </c>
      <c r="I70" s="2">
        <f t="shared" si="6"/>
        <v>1.4590347923681258E-2</v>
      </c>
      <c r="J70" s="142" t="s">
        <v>1783</v>
      </c>
      <c r="K70" s="2">
        <f t="shared" si="7"/>
        <v>7.2951739618406291E-3</v>
      </c>
      <c r="Q70" s="131" t="str">
        <f t="shared" si="0"/>
        <v>0.0364758698092031，正确</v>
      </c>
      <c r="R70" s="1">
        <f>'鱼属性|FishAttribute'!E36</f>
        <v>52</v>
      </c>
      <c r="S70" s="125">
        <f t="shared" si="3"/>
        <v>3.6475869809203143E-2</v>
      </c>
    </row>
    <row r="71" spans="1:19" x14ac:dyDescent="0.45">
      <c r="A71" s="2">
        <v>4633</v>
      </c>
      <c r="B71" s="2">
        <v>3</v>
      </c>
      <c r="C71" s="2">
        <v>1</v>
      </c>
      <c r="D71" s="2">
        <v>1</v>
      </c>
      <c r="E71" s="125">
        <f t="shared" si="4"/>
        <v>4.3490460157126827E-2</v>
      </c>
      <c r="F71" s="141" t="s">
        <v>1781</v>
      </c>
      <c r="G71" s="2">
        <f t="shared" si="5"/>
        <v>1.739618406285073E-2</v>
      </c>
      <c r="H71" s="1" t="s">
        <v>1787</v>
      </c>
      <c r="I71" s="2">
        <f t="shared" si="6"/>
        <v>1.739618406285073E-2</v>
      </c>
      <c r="J71" s="142" t="s">
        <v>1783</v>
      </c>
      <c r="K71" s="2">
        <f t="shared" si="7"/>
        <v>8.6980920314253651E-3</v>
      </c>
      <c r="Q71" s="131" t="str">
        <f t="shared" si="0"/>
        <v>0.0434904601571268，正确</v>
      </c>
      <c r="R71" s="1">
        <f>'鱼属性|FishAttribute'!E37</f>
        <v>62</v>
      </c>
      <c r="S71" s="125">
        <f t="shared" si="3"/>
        <v>4.3490460157126827E-2</v>
      </c>
    </row>
    <row r="72" spans="1:19" x14ac:dyDescent="0.45">
      <c r="A72" s="2">
        <v>4634</v>
      </c>
      <c r="B72" s="2">
        <v>3</v>
      </c>
      <c r="C72" s="2">
        <v>1</v>
      </c>
      <c r="D72" s="2">
        <v>1</v>
      </c>
      <c r="E72" s="125">
        <f t="shared" si="4"/>
        <v>5.7519640852974174E-2</v>
      </c>
      <c r="F72" s="141" t="s">
        <v>1781</v>
      </c>
      <c r="G72" s="2">
        <f t="shared" si="5"/>
        <v>2.300785634118967E-2</v>
      </c>
      <c r="H72" s="1" t="s">
        <v>1787</v>
      </c>
      <c r="I72" s="2">
        <f t="shared" si="6"/>
        <v>2.300785634118967E-2</v>
      </c>
      <c r="J72" s="142" t="s">
        <v>1783</v>
      </c>
      <c r="K72" s="2">
        <f t="shared" si="7"/>
        <v>1.1503928170594835E-2</v>
      </c>
      <c r="Q72" s="131" t="str">
        <f t="shared" si="0"/>
        <v>0.0575196408529742，正确</v>
      </c>
      <c r="R72" s="1">
        <f>'鱼属性|FishAttribute'!E38</f>
        <v>82</v>
      </c>
      <c r="S72" s="125">
        <f t="shared" si="3"/>
        <v>5.7519640852974174E-2</v>
      </c>
    </row>
    <row r="73" spans="1:19" x14ac:dyDescent="0.45">
      <c r="A73" s="2">
        <v>4635</v>
      </c>
      <c r="B73" s="2">
        <v>3</v>
      </c>
      <c r="C73" s="2">
        <v>1</v>
      </c>
      <c r="D73" s="2">
        <v>1</v>
      </c>
      <c r="E73" s="125">
        <f t="shared" si="4"/>
        <v>0.16835016835016839</v>
      </c>
      <c r="F73" s="141" t="s">
        <v>1781</v>
      </c>
      <c r="G73" s="2">
        <f t="shared" si="5"/>
        <v>6.7340067340067353E-2</v>
      </c>
      <c r="H73" s="1" t="s">
        <v>1787</v>
      </c>
      <c r="I73" s="2">
        <f t="shared" si="6"/>
        <v>6.7340067340067353E-2</v>
      </c>
      <c r="J73" s="142" t="s">
        <v>1783</v>
      </c>
      <c r="K73" s="2">
        <f t="shared" si="7"/>
        <v>3.3670033670033676E-2</v>
      </c>
      <c r="Q73" s="131" t="str">
        <f t="shared" si="0"/>
        <v>0.168350168350168，正确</v>
      </c>
      <c r="R73" s="1">
        <f>'鱼属性|FishAttribute'!E39</f>
        <v>240</v>
      </c>
      <c r="S73" s="125">
        <f t="shared" si="3"/>
        <v>0.16835016835016839</v>
      </c>
    </row>
    <row r="74" spans="1:19" x14ac:dyDescent="0.45">
      <c r="A74" s="2">
        <v>4636</v>
      </c>
      <c r="B74" s="2">
        <v>3</v>
      </c>
      <c r="C74" s="2">
        <v>1</v>
      </c>
      <c r="D74" s="2">
        <v>1</v>
      </c>
      <c r="E74" s="125">
        <f t="shared" si="4"/>
        <v>5.6116722783389444E-2</v>
      </c>
      <c r="F74" s="141" t="s">
        <v>1781</v>
      </c>
      <c r="G74" s="2">
        <f t="shared" si="5"/>
        <v>2.2446689113355778E-2</v>
      </c>
      <c r="H74" s="1" t="s">
        <v>1787</v>
      </c>
      <c r="I74" s="2">
        <f t="shared" si="6"/>
        <v>2.2446689113355778E-2</v>
      </c>
      <c r="J74" s="142" t="s">
        <v>1783</v>
      </c>
      <c r="K74" s="2">
        <f t="shared" si="7"/>
        <v>1.1223344556677889E-2</v>
      </c>
      <c r="Q74" s="131" t="str">
        <f t="shared" si="0"/>
        <v>0.0561167227833894，正确</v>
      </c>
      <c r="R74" s="1">
        <f>'鱼属性|FishAttribute'!E40</f>
        <v>80</v>
      </c>
      <c r="S74" s="125">
        <f t="shared" si="3"/>
        <v>5.6116722783389444E-2</v>
      </c>
    </row>
    <row r="75" spans="1:19" x14ac:dyDescent="0.45">
      <c r="A75" s="2">
        <v>4637</v>
      </c>
      <c r="B75" s="2">
        <v>3</v>
      </c>
      <c r="C75" s="2">
        <v>1</v>
      </c>
      <c r="D75" s="2">
        <v>1</v>
      </c>
      <c r="E75" s="125">
        <f t="shared" si="4"/>
        <v>4.4893378226711557E-2</v>
      </c>
      <c r="F75" s="141" t="s">
        <v>1781</v>
      </c>
      <c r="G75" s="2">
        <f t="shared" si="5"/>
        <v>2.2446689113355778E-2</v>
      </c>
      <c r="H75" s="141" t="s">
        <v>1782</v>
      </c>
      <c r="I75" s="2">
        <f t="shared" si="6"/>
        <v>1.1223344556677889E-2</v>
      </c>
      <c r="J75" s="142" t="s">
        <v>1783</v>
      </c>
      <c r="K75" s="2">
        <f t="shared" si="7"/>
        <v>1.1223344556677889E-2</v>
      </c>
      <c r="Q75" s="131" t="str">
        <f t="shared" si="0"/>
        <v>0.0448933782267116，正确</v>
      </c>
      <c r="R75" s="1">
        <f>'鱼属性|FishAttribute'!E41</f>
        <v>80</v>
      </c>
      <c r="S75" s="125">
        <f t="shared" si="3"/>
        <v>4.4893378226711557E-2</v>
      </c>
    </row>
    <row r="76" spans="1:19" x14ac:dyDescent="0.45">
      <c r="A76" s="2">
        <v>4638</v>
      </c>
      <c r="B76" s="2">
        <v>3</v>
      </c>
      <c r="C76" s="2">
        <v>1</v>
      </c>
      <c r="D76" s="2">
        <v>1</v>
      </c>
      <c r="E76" s="125">
        <f t="shared" si="4"/>
        <v>2.9928918817807706E-2</v>
      </c>
      <c r="F76" s="142" t="s">
        <v>1846</v>
      </c>
      <c r="G76" s="2">
        <f t="shared" si="5"/>
        <v>1.4964459408903853E-2</v>
      </c>
      <c r="H76" s="142" t="s">
        <v>1820</v>
      </c>
      <c r="I76" s="2">
        <f t="shared" si="6"/>
        <v>7.4822297044519264E-3</v>
      </c>
      <c r="J76" s="141" t="s">
        <v>1847</v>
      </c>
      <c r="K76" s="2">
        <f t="shared" si="7"/>
        <v>7.4822297044519264E-3</v>
      </c>
      <c r="Q76" s="131" t="str">
        <f t="shared" si="0"/>
        <v>0.0299289188178077，正确</v>
      </c>
      <c r="R76" s="1">
        <f>'鱼属性|FishAttribute'!E42</f>
        <v>80</v>
      </c>
      <c r="S76" s="125">
        <f t="shared" si="3"/>
        <v>2.9928918817807706E-2</v>
      </c>
    </row>
    <row r="77" spans="1:19" x14ac:dyDescent="0.45">
      <c r="A77" s="2">
        <v>4639</v>
      </c>
      <c r="B77" s="2">
        <v>3</v>
      </c>
      <c r="C77" s="2">
        <v>1</v>
      </c>
      <c r="D77" s="2">
        <v>1</v>
      </c>
      <c r="E77" s="125">
        <f t="shared" si="4"/>
        <v>3.5072951739618399E-2</v>
      </c>
      <c r="F77" s="142" t="s">
        <v>1846</v>
      </c>
      <c r="G77" s="2">
        <f t="shared" si="5"/>
        <v>1.8705574261129815E-2</v>
      </c>
      <c r="H77" s="142" t="s">
        <v>1820</v>
      </c>
      <c r="I77" s="2">
        <f t="shared" si="6"/>
        <v>9.3527871305649074E-3</v>
      </c>
      <c r="J77" s="142" t="s">
        <v>1793</v>
      </c>
      <c r="K77" s="2">
        <f t="shared" si="7"/>
        <v>7.0145903479236806E-3</v>
      </c>
      <c r="Q77" s="131" t="str">
        <f t="shared" si="0"/>
        <v>0.0350729517396184，正确</v>
      </c>
      <c r="R77" s="1">
        <f>'鱼属性|FishAttribute'!E43</f>
        <v>100</v>
      </c>
      <c r="S77" s="125">
        <f t="shared" si="3"/>
        <v>3.5072951739618399E-2</v>
      </c>
    </row>
    <row r="78" spans="1:19" x14ac:dyDescent="0.45">
      <c r="A78" s="2">
        <v>4640</v>
      </c>
      <c r="B78" s="2">
        <v>3</v>
      </c>
      <c r="C78" s="2">
        <v>1</v>
      </c>
      <c r="D78" s="2">
        <v>1</v>
      </c>
      <c r="E78" s="125">
        <f t="shared" si="4"/>
        <v>3.0396558174335949E-2</v>
      </c>
      <c r="F78" s="1" t="s">
        <v>1791</v>
      </c>
      <c r="G78" s="2">
        <f t="shared" si="5"/>
        <v>1.4029180695847361E-2</v>
      </c>
      <c r="H78" s="142" t="s">
        <v>1820</v>
      </c>
      <c r="I78" s="2">
        <f t="shared" si="6"/>
        <v>9.3527871305649074E-3</v>
      </c>
      <c r="J78" s="142" t="s">
        <v>1793</v>
      </c>
      <c r="K78" s="2">
        <f t="shared" si="7"/>
        <v>7.0145903479236806E-3</v>
      </c>
      <c r="Q78" s="131" t="str">
        <f t="shared" si="0"/>
        <v>0.0303965581743359，正确</v>
      </c>
      <c r="R78" s="1">
        <f>'鱼属性|FishAttribute'!E44</f>
        <v>100</v>
      </c>
      <c r="S78" s="125">
        <f t="shared" si="3"/>
        <v>3.0396558174335949E-2</v>
      </c>
    </row>
    <row r="79" spans="1:19" x14ac:dyDescent="0.45">
      <c r="A79" s="2">
        <v>4641</v>
      </c>
      <c r="B79" s="2">
        <v>3</v>
      </c>
      <c r="C79" s="2">
        <v>1</v>
      </c>
      <c r="D79" s="2">
        <v>1</v>
      </c>
      <c r="E79" s="125">
        <f t="shared" si="4"/>
        <v>4.5594837261503929E-2</v>
      </c>
      <c r="F79" s="1" t="s">
        <v>1791</v>
      </c>
      <c r="G79" s="2">
        <f t="shared" si="5"/>
        <v>2.1043771043771045E-2</v>
      </c>
      <c r="H79" s="142" t="s">
        <v>1820</v>
      </c>
      <c r="I79" s="2">
        <f t="shared" si="6"/>
        <v>1.4029180695847363E-2</v>
      </c>
      <c r="J79" s="142" t="s">
        <v>1793</v>
      </c>
      <c r="K79" s="2">
        <f t="shared" si="7"/>
        <v>1.0521885521885523E-2</v>
      </c>
      <c r="Q79" s="131" t="str">
        <f t="shared" si="0"/>
        <v>0.0455948372615039，正确</v>
      </c>
      <c r="R79" s="1">
        <f>'鱼属性|FishAttribute'!E45</f>
        <v>150</v>
      </c>
      <c r="S79" s="125">
        <f t="shared" si="3"/>
        <v>4.5594837261503929E-2</v>
      </c>
    </row>
    <row r="80" spans="1:19" x14ac:dyDescent="0.45">
      <c r="A80" s="2">
        <v>4642</v>
      </c>
      <c r="B80" s="2">
        <v>3</v>
      </c>
      <c r="C80" s="2">
        <v>1</v>
      </c>
      <c r="D80" s="2">
        <v>1</v>
      </c>
      <c r="E80" s="125">
        <f t="shared" si="4"/>
        <v>3.7878787878787887E-2</v>
      </c>
      <c r="F80" s="142" t="s">
        <v>1848</v>
      </c>
      <c r="G80" s="2">
        <f t="shared" si="5"/>
        <v>1.6835016835016838E-2</v>
      </c>
      <c r="H80" s="141" t="s">
        <v>1849</v>
      </c>
      <c r="I80" s="2">
        <f t="shared" si="6"/>
        <v>1.0521885521885523E-2</v>
      </c>
      <c r="J80" s="142" t="s">
        <v>1793</v>
      </c>
      <c r="K80" s="2">
        <f t="shared" si="7"/>
        <v>1.0521885521885523E-2</v>
      </c>
      <c r="Q80" s="131" t="str">
        <f t="shared" si="0"/>
        <v>0.0378787878787879，正确</v>
      </c>
      <c r="R80" s="1">
        <f>'鱼属性|FishAttribute'!E46</f>
        <v>150</v>
      </c>
      <c r="S80" s="125">
        <f t="shared" si="3"/>
        <v>3.7878787878787887E-2</v>
      </c>
    </row>
    <row r="81" spans="1:20" x14ac:dyDescent="0.45">
      <c r="A81" s="2">
        <v>4643</v>
      </c>
      <c r="B81" s="2">
        <v>3</v>
      </c>
      <c r="C81" s="2">
        <v>1</v>
      </c>
      <c r="D81" s="2">
        <v>1</v>
      </c>
      <c r="E81" s="125">
        <f t="shared" si="4"/>
        <v>3.7878787878787887E-2</v>
      </c>
      <c r="F81" s="142" t="s">
        <v>1848</v>
      </c>
      <c r="G81" s="2">
        <f t="shared" si="5"/>
        <v>1.6835016835016838E-2</v>
      </c>
      <c r="H81" s="141" t="s">
        <v>1849</v>
      </c>
      <c r="I81" s="2">
        <f t="shared" si="6"/>
        <v>1.0521885521885523E-2</v>
      </c>
      <c r="J81" s="142" t="s">
        <v>1793</v>
      </c>
      <c r="K81" s="2">
        <f t="shared" si="7"/>
        <v>1.0521885521885523E-2</v>
      </c>
      <c r="Q81" s="131" t="str">
        <f t="shared" si="0"/>
        <v>0.0378787878787879，正确</v>
      </c>
      <c r="R81" s="1">
        <f>'鱼属性|FishAttribute'!E47</f>
        <v>150</v>
      </c>
      <c r="S81" s="125">
        <f t="shared" si="3"/>
        <v>3.7878787878787887E-2</v>
      </c>
    </row>
    <row r="82" spans="1:20" x14ac:dyDescent="0.45">
      <c r="A82" s="2">
        <v>4644</v>
      </c>
      <c r="B82" s="2">
        <v>3</v>
      </c>
      <c r="C82" s="2">
        <v>1</v>
      </c>
      <c r="D82" s="2">
        <v>1</v>
      </c>
      <c r="E82" s="125">
        <f t="shared" si="4"/>
        <v>4.4893378226711557E-2</v>
      </c>
      <c r="F82" s="1" t="s">
        <v>1781</v>
      </c>
      <c r="G82" s="2">
        <f t="shared" si="5"/>
        <v>2.2446689113355778E-2</v>
      </c>
      <c r="H82" s="142" t="s">
        <v>1782</v>
      </c>
      <c r="I82" s="2">
        <f t="shared" si="6"/>
        <v>1.1223344556677889E-2</v>
      </c>
      <c r="J82" s="141" t="s">
        <v>1783</v>
      </c>
      <c r="K82" s="2">
        <f t="shared" si="7"/>
        <v>1.1223344556677889E-2</v>
      </c>
      <c r="Q82" s="131" t="str">
        <f t="shared" si="0"/>
        <v>0.0448933782267116，正确</v>
      </c>
      <c r="R82" s="1">
        <f>'鱼属性|FishAttribute'!E48</f>
        <v>80</v>
      </c>
      <c r="S82" s="125">
        <f t="shared" si="3"/>
        <v>4.4893378226711557E-2</v>
      </c>
    </row>
    <row r="83" spans="1:20" x14ac:dyDescent="0.45">
      <c r="A83" s="2">
        <v>4645</v>
      </c>
      <c r="B83" s="2">
        <v>3</v>
      </c>
      <c r="C83" s="2">
        <v>1</v>
      </c>
      <c r="D83" s="2">
        <v>1</v>
      </c>
      <c r="E83" s="125">
        <f t="shared" si="4"/>
        <v>0.11223344556677889</v>
      </c>
      <c r="F83" s="1" t="s">
        <v>1781</v>
      </c>
      <c r="G83" s="2">
        <f t="shared" si="5"/>
        <v>5.6116722783389444E-2</v>
      </c>
      <c r="H83" s="142" t="s">
        <v>1782</v>
      </c>
      <c r="I83" s="2">
        <f t="shared" si="6"/>
        <v>2.8058361391694722E-2</v>
      </c>
      <c r="J83" s="141" t="s">
        <v>1783</v>
      </c>
      <c r="K83" s="2">
        <f t="shared" si="7"/>
        <v>2.8058361391694722E-2</v>
      </c>
      <c r="Q83" s="131" t="str">
        <f t="shared" si="0"/>
        <v>0.112233445566779，正确</v>
      </c>
      <c r="R83" s="1">
        <f>'鱼属性|FishAttribute'!E49</f>
        <v>200</v>
      </c>
      <c r="S83" s="125">
        <f t="shared" si="3"/>
        <v>0.11223344556677889</v>
      </c>
    </row>
    <row r="84" spans="1:20" x14ac:dyDescent="0.45">
      <c r="A84" s="2">
        <v>4646</v>
      </c>
      <c r="B84" s="2">
        <v>3</v>
      </c>
      <c r="C84" s="2">
        <v>1</v>
      </c>
      <c r="D84" s="2">
        <v>1</v>
      </c>
      <c r="E84" s="125">
        <f t="shared" si="4"/>
        <v>0.11223344556677889</v>
      </c>
      <c r="F84" s="1" t="s">
        <v>1781</v>
      </c>
      <c r="G84" s="2">
        <f t="shared" si="5"/>
        <v>5.6116722783389444E-2</v>
      </c>
      <c r="H84" s="142" t="s">
        <v>1782</v>
      </c>
      <c r="I84" s="2">
        <f t="shared" si="6"/>
        <v>2.8058361391694722E-2</v>
      </c>
      <c r="J84" s="141" t="s">
        <v>1783</v>
      </c>
      <c r="K84" s="2">
        <f t="shared" si="7"/>
        <v>2.8058361391694722E-2</v>
      </c>
      <c r="Q84" s="131" t="str">
        <f t="shared" si="0"/>
        <v>0.112233445566779，正确</v>
      </c>
      <c r="R84" s="1">
        <f>'鱼属性|FishAttribute'!E50</f>
        <v>200</v>
      </c>
      <c r="S84" s="125">
        <f t="shared" si="3"/>
        <v>0.11223344556677889</v>
      </c>
    </row>
    <row r="85" spans="1:20" x14ac:dyDescent="0.45">
      <c r="A85" s="2">
        <v>4647</v>
      </c>
      <c r="B85" s="2">
        <v>3</v>
      </c>
      <c r="C85" s="2">
        <v>1</v>
      </c>
      <c r="D85" s="2">
        <v>1</v>
      </c>
      <c r="E85" s="125">
        <f t="shared" si="4"/>
        <v>0.16835016835016836</v>
      </c>
      <c r="F85" s="1" t="s">
        <v>1781</v>
      </c>
      <c r="G85" s="2">
        <f t="shared" si="5"/>
        <v>8.4175084175084181E-2</v>
      </c>
      <c r="H85" s="142" t="s">
        <v>1782</v>
      </c>
      <c r="I85" s="2">
        <f t="shared" si="6"/>
        <v>4.208754208754209E-2</v>
      </c>
      <c r="J85" s="141" t="s">
        <v>1783</v>
      </c>
      <c r="K85" s="2">
        <f t="shared" si="7"/>
        <v>4.208754208754209E-2</v>
      </c>
      <c r="Q85" s="131" t="str">
        <f t="shared" si="0"/>
        <v>0.168350168350168，正确</v>
      </c>
      <c r="R85" s="1">
        <f>'鱼属性|FishAttribute'!E51</f>
        <v>300</v>
      </c>
      <c r="S85" s="125">
        <f t="shared" si="3"/>
        <v>0.16835016835016836</v>
      </c>
    </row>
    <row r="86" spans="1:20" x14ac:dyDescent="0.45">
      <c r="A86" s="2">
        <v>4648</v>
      </c>
      <c r="B86" s="2">
        <v>3</v>
      </c>
      <c r="C86" s="2">
        <v>1</v>
      </c>
      <c r="D86" s="2">
        <v>1</v>
      </c>
      <c r="E86" s="125">
        <f t="shared" si="4"/>
        <v>0.16835016835016836</v>
      </c>
      <c r="F86" s="142" t="s">
        <v>1786</v>
      </c>
      <c r="G86" s="2">
        <f t="shared" si="5"/>
        <v>8.4175084175084181E-2</v>
      </c>
      <c r="H86" s="1" t="s">
        <v>1787</v>
      </c>
      <c r="I86" s="2">
        <f t="shared" si="6"/>
        <v>4.208754208754209E-2</v>
      </c>
      <c r="J86" s="1" t="s">
        <v>1788</v>
      </c>
      <c r="K86" s="2">
        <f t="shared" si="7"/>
        <v>4.208754208754209E-2</v>
      </c>
      <c r="Q86" s="131" t="str">
        <f t="shared" si="0"/>
        <v>0.168350168350168，正确</v>
      </c>
      <c r="R86" s="1">
        <f>'鱼属性|FishAttribute'!E52</f>
        <v>150</v>
      </c>
      <c r="S86" s="125">
        <f t="shared" si="3"/>
        <v>0.16835016835016836</v>
      </c>
    </row>
    <row r="87" spans="1:20" x14ac:dyDescent="0.45">
      <c r="A87" s="2">
        <v>4649</v>
      </c>
      <c r="B87" s="2">
        <v>3</v>
      </c>
      <c r="C87" s="2">
        <v>1</v>
      </c>
      <c r="D87" s="2">
        <v>1</v>
      </c>
      <c r="E87" s="125">
        <f t="shared" si="4"/>
        <v>0.16835016835016836</v>
      </c>
      <c r="F87" s="142" t="s">
        <v>1786</v>
      </c>
      <c r="G87" s="2">
        <f t="shared" si="5"/>
        <v>8.4175084175084181E-2</v>
      </c>
      <c r="H87" s="1" t="s">
        <v>1787</v>
      </c>
      <c r="I87" s="2">
        <f t="shared" si="6"/>
        <v>4.208754208754209E-2</v>
      </c>
      <c r="J87" s="1" t="s">
        <v>1788</v>
      </c>
      <c r="K87" s="2">
        <f t="shared" si="7"/>
        <v>4.208754208754209E-2</v>
      </c>
      <c r="Q87" s="131" t="str">
        <f t="shared" si="0"/>
        <v>0.168350168350168，正确</v>
      </c>
      <c r="R87" s="1">
        <f>'鱼属性|FishAttribute'!E53</f>
        <v>150</v>
      </c>
      <c r="S87" s="125">
        <f t="shared" si="3"/>
        <v>0.16835016835016836</v>
      </c>
    </row>
    <row r="88" spans="1:20" x14ac:dyDescent="0.45">
      <c r="A88" s="2">
        <v>4650</v>
      </c>
      <c r="B88" s="2">
        <v>3</v>
      </c>
      <c r="C88" s="2">
        <v>1</v>
      </c>
      <c r="D88" s="2">
        <v>1</v>
      </c>
      <c r="E88" s="125">
        <f t="shared" si="4"/>
        <v>0.16835016835016836</v>
      </c>
      <c r="F88" s="1" t="s">
        <v>1781</v>
      </c>
      <c r="G88" s="2">
        <f t="shared" si="5"/>
        <v>8.4175084175084181E-2</v>
      </c>
      <c r="H88" s="1" t="s">
        <v>1782</v>
      </c>
      <c r="I88" s="2">
        <f t="shared" si="6"/>
        <v>4.208754208754209E-2</v>
      </c>
      <c r="J88" s="1" t="s">
        <v>1783</v>
      </c>
      <c r="K88" s="2">
        <f t="shared" si="7"/>
        <v>4.208754208754209E-2</v>
      </c>
      <c r="Q88" s="131" t="str">
        <f t="shared" si="0"/>
        <v>0.168350168350168，正确</v>
      </c>
      <c r="R88" s="1">
        <f>'鱼属性|FishAttribute'!E54</f>
        <v>300</v>
      </c>
      <c r="S88" s="125">
        <f t="shared" si="3"/>
        <v>0.16835016835016836</v>
      </c>
    </row>
    <row r="89" spans="1:20" ht="15.65" customHeight="1" x14ac:dyDescent="0.25">
      <c r="A89" s="2">
        <v>4801</v>
      </c>
      <c r="B89" s="2">
        <v>1</v>
      </c>
      <c r="C89" s="2">
        <v>1</v>
      </c>
      <c r="D89" s="2">
        <v>1</v>
      </c>
      <c r="E89" s="2">
        <v>-1</v>
      </c>
      <c r="F89" s="2" t="s">
        <v>1821</v>
      </c>
      <c r="G89" s="2">
        <v>0.15</v>
      </c>
      <c r="H89" s="2" t="s">
        <v>1850</v>
      </c>
      <c r="I89" s="2">
        <v>0.05</v>
      </c>
      <c r="J89" s="2" t="s">
        <v>1823</v>
      </c>
      <c r="K89" s="2">
        <v>0.3</v>
      </c>
      <c r="L89" s="2" t="s">
        <v>1851</v>
      </c>
      <c r="M89" s="2">
        <v>0.1</v>
      </c>
      <c r="T89" s="143" t="s">
        <v>1852</v>
      </c>
    </row>
    <row r="90" spans="1:20" x14ac:dyDescent="0.25">
      <c r="T90" s="143"/>
    </row>
    <row r="91" spans="1:20" x14ac:dyDescent="0.25">
      <c r="T91" s="143"/>
    </row>
    <row r="92" spans="1:20" x14ac:dyDescent="0.25">
      <c r="T92" s="143"/>
    </row>
  </sheetData>
  <phoneticPr fontId="57" type="noConversion"/>
  <conditionalFormatting sqref="K14">
    <cfRule type="containsText" dxfId="478" priority="503" operator="containsText" text=" ">
      <formula>NOT(ISERROR(SEARCH(" ",K14)))</formula>
    </cfRule>
  </conditionalFormatting>
  <conditionalFormatting sqref="M14">
    <cfRule type="containsText" dxfId="477" priority="502" operator="containsText" text=" ">
      <formula>NOT(ISERROR(SEARCH(" ",M14)))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M16">
    <cfRule type="cellIs" dxfId="476" priority="441" operator="equal">
      <formula>0</formula>
    </cfRule>
  </conditionalFormatting>
  <conditionalFormatting sqref="H1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ntainsText" dxfId="475" priority="448" operator="containsText" text=" ">
      <formula>NOT(ISERROR(SEARCH(" ",I16)))</formula>
    </cfRule>
  </conditionalFormatting>
  <conditionalFormatting sqref="K16">
    <cfRule type="containsText" dxfId="474" priority="447" operator="containsText" text=" ">
      <formula>NOT(ISERROR(SEARCH(" ",K16)))</formula>
    </cfRule>
  </conditionalFormatting>
  <conditionalFormatting sqref="M16">
    <cfRule type="containsText" dxfId="473" priority="446" operator="containsText" text=" ">
      <formula>NOT(ISERROR(SEARCH(" ",M16)))</formula>
    </cfRule>
  </conditionalFormatting>
  <conditionalFormatting sqref="O16">
    <cfRule type="containsText" dxfId="472" priority="453" operator="containsText" text=" ">
      <formula>NOT(ISERROR(SEARCH(" ",O16)))</formula>
    </cfRule>
  </conditionalFormatting>
  <conditionalFormatting sqref="Q16">
    <cfRule type="containsText" dxfId="471" priority="450" operator="containsText" text="正确">
      <formula>NOT(ISERROR(SEARCH("正确",Q16)))</formula>
    </cfRule>
    <cfRule type="cellIs" dxfId="470" priority="451" operator="equal">
      <formula>"正确"</formula>
    </cfRule>
    <cfRule type="containsText" dxfId="469" priority="452" operator="containsText" text="错误">
      <formula>NOT(ISERROR(SEARCH("错误",Q16)))</formula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">
    <cfRule type="containsText" dxfId="468" priority="176" operator="containsText" text=" ">
      <formula>NOT(ISERROR(SEARCH(" ",O20)))</formula>
    </cfRule>
  </conditionalFormatting>
  <conditionalFormatting sqref="F21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M21">
    <cfRule type="cellIs" dxfId="467" priority="145" operator="equal">
      <formula>0</formula>
    </cfRule>
  </conditionalFormatting>
  <conditionalFormatting sqref="H2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ntainsText" dxfId="466" priority="152" operator="containsText" text=" ">
      <formula>NOT(ISERROR(SEARCH(" ",I21)))</formula>
    </cfRule>
  </conditionalFormatting>
  <conditionalFormatting sqref="K21">
    <cfRule type="containsText" dxfId="465" priority="151" operator="containsText" text=" ">
      <formula>NOT(ISERROR(SEARCH(" ",K21)))</formula>
    </cfRule>
  </conditionalFormatting>
  <conditionalFormatting sqref="M21">
    <cfRule type="containsText" dxfId="464" priority="150" operator="containsText" text=" ">
      <formula>NOT(ISERROR(SEARCH(" ",M21)))</formula>
    </cfRule>
  </conditionalFormatting>
  <conditionalFormatting sqref="O21">
    <cfRule type="containsText" dxfId="463" priority="157" operator="containsText" text=" ">
      <formula>NOT(ISERROR(SEARCH(" ",O21)))</formula>
    </cfRule>
  </conditionalFormatting>
  <conditionalFormatting sqref="Q21">
    <cfRule type="containsText" dxfId="462" priority="154" operator="containsText" text="正确">
      <formula>NOT(ISERROR(SEARCH("正确",Q21)))</formula>
    </cfRule>
    <cfRule type="cellIs" dxfId="461" priority="155" operator="equal">
      <formula>"正确"</formula>
    </cfRule>
    <cfRule type="containsText" dxfId="460" priority="156" operator="containsText" text="错误">
      <formula>NOT(ISERROR(SEARCH("错误",Q21)))</formula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">
    <cfRule type="containsText" dxfId="459" priority="179" operator="containsText" text=" ">
      <formula>NOT(ISERROR(SEARCH(" ",I24)))</formula>
    </cfRule>
  </conditionalFormatting>
  <conditionalFormatting sqref="K24">
    <cfRule type="containsText" dxfId="458" priority="178" operator="containsText" text=" ">
      <formula>NOT(ISERROR(SEARCH(" ",K24)))</formula>
    </cfRule>
  </conditionalFormatting>
  <conditionalFormatting sqref="M24">
    <cfRule type="containsText" dxfId="457" priority="177" operator="containsText" text=" ">
      <formula>NOT(ISERROR(SEARCH(" ",M24)))</formula>
    </cfRule>
  </conditionalFormatting>
  <conditionalFormatting sqref="F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ellIs" dxfId="456" priority="9" operator="equal">
      <formula>0</formula>
    </cfRule>
    <cfRule type="containsText" dxfId="455" priority="10" operator="containsText" text=" ">
      <formula>NOT(ISERROR(SEARCH(" ",G25)))</formula>
    </cfRule>
  </conditionalFormatting>
  <conditionalFormatting sqref="O25">
    <cfRule type="containsText" dxfId="454" priority="132" operator="containsText" text=" ">
      <formula>NOT(ISERROR(SEARCH(" ",O25)))</formula>
    </cfRule>
  </conditionalFormatting>
  <conditionalFormatting sqref="F26">
    <cfRule type="cellIs" dxfId="453" priority="41" operator="equal">
      <formula>0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52" priority="44" operator="containsText" text=" ">
      <formula>NOT(ISERROR(SEARCH(" ",F26)))</formula>
    </cfRule>
  </conditionalFormatting>
  <conditionalFormatting sqref="G26:M26">
    <cfRule type="cellIs" dxfId="451" priority="101" operator="equal">
      <formula>0</formula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ntainsText" dxfId="450" priority="108" operator="containsText" text=" ">
      <formula>NOT(ISERROR(SEARCH(" ",I26)))</formula>
    </cfRule>
  </conditionalFormatting>
  <conditionalFormatting sqref="K26">
    <cfRule type="containsText" dxfId="449" priority="107" operator="containsText" text=" ">
      <formula>NOT(ISERROR(SEARCH(" ",K26)))</formula>
    </cfRule>
  </conditionalFormatting>
  <conditionalFormatting sqref="M26">
    <cfRule type="containsText" dxfId="448" priority="106" operator="containsText" text=" ">
      <formula>NOT(ISERROR(SEARCH(" ",M26)))</formula>
    </cfRule>
  </conditionalFormatting>
  <conditionalFormatting sqref="O26">
    <cfRule type="containsText" dxfId="447" priority="113" operator="containsText" text=" ">
      <formula>NOT(ISERROR(SEARCH(" ",O26)))</formula>
    </cfRule>
  </conditionalFormatting>
  <conditionalFormatting sqref="Q26">
    <cfRule type="containsText" dxfId="446" priority="110" operator="containsText" text="正确">
      <formula>NOT(ISERROR(SEARCH("正确",Q26)))</formula>
    </cfRule>
    <cfRule type="cellIs" dxfId="445" priority="111" operator="equal">
      <formula>"正确"</formula>
    </cfRule>
    <cfRule type="containsText" dxfId="444" priority="112" operator="containsText" text="错误">
      <formula>NOT(ISERROR(SEARCH("错误",Q26)))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3" priority="31" operator="equal">
      <formula>0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42" priority="34" operator="containsText" text=" ">
      <formula>NOT(ISERROR(SEARCH(" ",F27)))</formula>
    </cfRule>
  </conditionalFormatting>
  <conditionalFormatting sqref="F2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1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40" priority="28" operator="containsText" text=" ">
      <formula>NOT(ISERROR(SEARCH(" ",F28)))</formula>
    </cfRule>
  </conditionalFormatting>
  <conditionalFormatting sqref="F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ntainsText" dxfId="439" priority="135" operator="containsText" text=" ">
      <formula>NOT(ISERROR(SEARCH(" ",I29)))</formula>
    </cfRule>
  </conditionalFormatting>
  <conditionalFormatting sqref="K29">
    <cfRule type="containsText" dxfId="438" priority="134" operator="containsText" text=" ">
      <formula>NOT(ISERROR(SEARCH(" ",K29)))</formula>
    </cfRule>
  </conditionalFormatting>
  <conditionalFormatting sqref="M29">
    <cfRule type="containsText" dxfId="437" priority="133" operator="containsText" text=" ">
      <formula>NOT(ISERROR(SEARCH(" ",M29)))</formula>
    </cfRule>
  </conditionalFormatting>
  <conditionalFormatting sqref="F30">
    <cfRule type="cellIs" dxfId="436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35" priority="6" operator="containsText" text=" ">
      <formula>NOT(ISERROR(SEARCH(" ",F30)))</formula>
    </cfRule>
  </conditionalFormatting>
  <conditionalFormatting sqref="G30">
    <cfRule type="cellIs" dxfId="434" priority="7" operator="equal">
      <formula>0</formula>
    </cfRule>
    <cfRule type="containsText" dxfId="433" priority="8" operator="containsText" text=" ">
      <formula>NOT(ISERROR(SEARCH(" ",G30)))</formula>
    </cfRule>
  </conditionalFormatting>
  <conditionalFormatting sqref="O30">
    <cfRule type="containsText" dxfId="432" priority="88" operator="containsText" text=" ">
      <formula>NOT(ISERROR(SEARCH(" ",O30)))</formula>
    </cfRule>
  </conditionalFormatting>
  <conditionalFormatting sqref="F31">
    <cfRule type="cellIs" dxfId="431" priority="37" operator="equal">
      <formula>0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30" priority="40" operator="containsText" text=" ">
      <formula>NOT(ISERROR(SEARCH(" ",F31)))</formula>
    </cfRule>
  </conditionalFormatting>
  <conditionalFormatting sqref="G31:M31">
    <cfRule type="cellIs" dxfId="429" priority="57" operator="equal">
      <formula>0</formula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ntainsText" dxfId="428" priority="64" operator="containsText" text=" ">
      <formula>NOT(ISERROR(SEARCH(" ",I31)))</formula>
    </cfRule>
  </conditionalFormatting>
  <conditionalFormatting sqref="K31">
    <cfRule type="containsText" dxfId="427" priority="63" operator="containsText" text=" ">
      <formula>NOT(ISERROR(SEARCH(" ",K31)))</formula>
    </cfRule>
  </conditionalFormatting>
  <conditionalFormatting sqref="M31">
    <cfRule type="containsText" dxfId="426" priority="62" operator="containsText" text=" ">
      <formula>NOT(ISERROR(SEARCH(" ",M31)))</formula>
    </cfRule>
  </conditionalFormatting>
  <conditionalFormatting sqref="O31">
    <cfRule type="containsText" dxfId="425" priority="69" operator="containsText" text=" ">
      <formula>NOT(ISERROR(SEARCH(" ",O31)))</formula>
    </cfRule>
  </conditionalFormatting>
  <conditionalFormatting sqref="Q31">
    <cfRule type="containsText" dxfId="424" priority="66" operator="containsText" text="正确">
      <formula>NOT(ISERROR(SEARCH("正确",Q31)))</formula>
    </cfRule>
    <cfRule type="cellIs" dxfId="423" priority="67" operator="equal">
      <formula>"正确"</formula>
    </cfRule>
    <cfRule type="containsText" dxfId="422" priority="68" operator="containsText" text="错误">
      <formula>NOT(ISERROR(SEARCH("错误",Q31)))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21" priority="19" operator="equal">
      <formula>0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20" priority="22" operator="containsText" text=" ">
      <formula>NOT(ISERROR(SEARCH(" ",F32)))</formula>
    </cfRule>
  </conditionalFormatting>
  <conditionalFormatting sqref="F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9" priority="13" operator="equal">
      <formula>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18" priority="16" operator="containsText" text=" ">
      <formula>NOT(ISERROR(SEARCH(" ",F33)))</formula>
    </cfRule>
  </conditionalFormatting>
  <conditionalFormatting sqref="F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ntainsText" dxfId="417" priority="91" operator="containsText" text=" ">
      <formula>NOT(ISERROR(SEARCH(" ",I34)))</formula>
    </cfRule>
  </conditionalFormatting>
  <conditionalFormatting sqref="K34">
    <cfRule type="containsText" dxfId="416" priority="90" operator="containsText" text=" ">
      <formula>NOT(ISERROR(SEARCH(" ",K34)))</formula>
    </cfRule>
  </conditionalFormatting>
  <conditionalFormatting sqref="M34">
    <cfRule type="containsText" dxfId="415" priority="89" operator="containsText" text=" ">
      <formula>NOT(ISERROR(SEARCH(" ",M34)))</formula>
    </cfRule>
  </conditionalFormatting>
  <conditionalFormatting sqref="B35:D35">
    <cfRule type="containsText" dxfId="414" priority="432" operator="containsText" text=" ">
      <formula>NOT(ISERROR(SEARCH(" ",B35)))</formula>
    </cfRule>
  </conditionalFormatting>
  <conditionalFormatting sqref="F35">
    <cfRule type="containsText" dxfId="413" priority="288" operator="containsText" text=" ">
      <formula>NOT(ISERROR(SEARCH(" ",F35)))</formula>
    </cfRule>
  </conditionalFormatting>
  <conditionalFormatting sqref="H35">
    <cfRule type="containsText" dxfId="412" priority="287" operator="containsText" text=" ">
      <formula>NOT(ISERROR(SEARCH(" ",H35)))</formula>
    </cfRule>
  </conditionalFormatting>
  <conditionalFormatting sqref="J35">
    <cfRule type="containsText" dxfId="411" priority="305" operator="containsText" text=" ">
      <formula>NOT(ISERROR(SEARCH(" ",J35)))</formula>
    </cfRule>
  </conditionalFormatting>
  <conditionalFormatting sqref="L35">
    <cfRule type="containsText" dxfId="410" priority="329" operator="containsText" text=" ">
      <formula>NOT(ISERROR(SEARCH(" ",L35)))</formula>
    </cfRule>
  </conditionalFormatting>
  <conditionalFormatting sqref="N35">
    <cfRule type="containsText" dxfId="409" priority="307" operator="containsText" text=" ">
      <formula>NOT(ISERROR(SEARCH(" ",N35)))</formula>
    </cfRule>
  </conditionalFormatting>
  <conditionalFormatting sqref="B36:D36">
    <cfRule type="containsText" dxfId="408" priority="416" operator="containsText" text=" ">
      <formula>NOT(ISERROR(SEARCH(" ",B36)))</formula>
    </cfRule>
  </conditionalFormatting>
  <conditionalFormatting sqref="F36">
    <cfRule type="containsText" dxfId="407" priority="325" operator="containsText" text=" ">
      <formula>NOT(ISERROR(SEARCH(" ",F36)))</formula>
    </cfRule>
  </conditionalFormatting>
  <conditionalFormatting sqref="H36">
    <cfRule type="containsText" dxfId="406" priority="289" operator="containsText" text=" ">
      <formula>NOT(ISERROR(SEARCH(" ",H36)))</formula>
    </cfRule>
  </conditionalFormatting>
  <conditionalFormatting sqref="J36">
    <cfRule type="containsText" dxfId="405" priority="290" operator="containsText" text=" ">
      <formula>NOT(ISERROR(SEARCH(" ",J36)))</formula>
    </cfRule>
  </conditionalFormatting>
  <conditionalFormatting sqref="L36">
    <cfRule type="containsText" dxfId="404" priority="285" operator="containsText" text=" ">
      <formula>NOT(ISERROR(SEARCH(" ",L36)))</formula>
    </cfRule>
  </conditionalFormatting>
  <conditionalFormatting sqref="N36">
    <cfRule type="containsText" dxfId="403" priority="286" operator="containsText" text=" ">
      <formula>NOT(ISERROR(SEARCH(" ",N36)))</formula>
    </cfRule>
  </conditionalFormatting>
  <conditionalFormatting sqref="B37:D37">
    <cfRule type="containsText" dxfId="402" priority="400" operator="containsText" text=" ">
      <formula>NOT(ISERROR(SEARCH(" ",B37)))</formula>
    </cfRule>
  </conditionalFormatting>
  <conditionalFormatting sqref="F37">
    <cfRule type="containsText" dxfId="401" priority="293" operator="containsText" text=" ">
      <formula>NOT(ISERROR(SEARCH(" ",F37)))</formula>
    </cfRule>
    <cfRule type="containsText" dxfId="400" priority="347" operator="containsText" text=" ">
      <formula>NOT(ISERROR(SEARCH(" ",F37)))</formula>
    </cfRule>
  </conditionalFormatting>
  <conditionalFormatting sqref="H37">
    <cfRule type="containsText" dxfId="399" priority="295" operator="containsText" text=" ">
      <formula>NOT(ISERROR(SEARCH(" ",H37)))</formula>
    </cfRule>
    <cfRule type="containsText" dxfId="398" priority="335" operator="containsText" text=" ">
      <formula>NOT(ISERROR(SEARCH(" ",H37)))</formula>
    </cfRule>
  </conditionalFormatting>
  <conditionalFormatting sqref="J37">
    <cfRule type="containsText" dxfId="397" priority="298" operator="containsText" text=" ">
      <formula>NOT(ISERROR(SEARCH(" ",J37)))</formula>
    </cfRule>
    <cfRule type="containsText" dxfId="396" priority="331" operator="containsText" text=" ">
      <formula>NOT(ISERROR(SEARCH(" ",J37)))</formula>
    </cfRule>
  </conditionalFormatting>
  <conditionalFormatting sqref="L37">
    <cfRule type="containsText" dxfId="395" priority="300" operator="containsText" text=" ">
      <formula>NOT(ISERROR(SEARCH(" ",L37)))</formula>
    </cfRule>
    <cfRule type="containsText" dxfId="394" priority="327" operator="containsText" text=" ">
      <formula>NOT(ISERROR(SEARCH(" ",L37)))</formula>
    </cfRule>
  </conditionalFormatting>
  <conditionalFormatting sqref="N37">
    <cfRule type="containsText" dxfId="393" priority="301" operator="containsText" text=" ">
      <formula>NOT(ISERROR(SEARCH(" ",N37)))</formula>
    </cfRule>
    <cfRule type="containsText" dxfId="392" priority="319" operator="containsText" text=" ">
      <formula>NOT(ISERROR(SEARCH(" ",N37)))</formula>
    </cfRule>
  </conditionalFormatting>
  <conditionalFormatting sqref="B38:D38">
    <cfRule type="containsText" dxfId="391" priority="368" operator="containsText" text=" ">
      <formula>NOT(ISERROR(SEARCH(" ",B38)))</formula>
    </cfRule>
  </conditionalFormatting>
  <conditionalFormatting sqref="F38">
    <cfRule type="containsText" dxfId="390" priority="294" operator="containsText" text=" ">
      <formula>NOT(ISERROR(SEARCH(" ",F38)))</formula>
    </cfRule>
    <cfRule type="containsText" dxfId="389" priority="346" operator="containsText" text=" ">
      <formula>NOT(ISERROR(SEARCH(" ",F38)))</formula>
    </cfRule>
  </conditionalFormatting>
  <conditionalFormatting sqref="H38">
    <cfRule type="containsText" dxfId="388" priority="296" operator="containsText" text=" ">
      <formula>NOT(ISERROR(SEARCH(" ",H38)))</formula>
    </cfRule>
    <cfRule type="containsText" dxfId="387" priority="334" operator="containsText" text=" ">
      <formula>NOT(ISERROR(SEARCH(" ",H38)))</formula>
    </cfRule>
  </conditionalFormatting>
  <conditionalFormatting sqref="J38">
    <cfRule type="containsText" dxfId="386" priority="297" operator="containsText" text=" ">
      <formula>NOT(ISERROR(SEARCH(" ",J38)))</formula>
    </cfRule>
    <cfRule type="containsText" dxfId="385" priority="330" operator="containsText" text=" ">
      <formula>NOT(ISERROR(SEARCH(" ",J38)))</formula>
    </cfRule>
  </conditionalFormatting>
  <conditionalFormatting sqref="L38">
    <cfRule type="containsText" dxfId="384" priority="299" operator="containsText" text=" ">
      <formula>NOT(ISERROR(SEARCH(" ",L38)))</formula>
    </cfRule>
    <cfRule type="containsText" dxfId="383" priority="326" operator="containsText" text=" ">
      <formula>NOT(ISERROR(SEARCH(" ",L38)))</formula>
    </cfRule>
  </conditionalFormatting>
  <conditionalFormatting sqref="N38">
    <cfRule type="containsText" dxfId="382" priority="302" operator="containsText" text=" ">
      <formula>NOT(ISERROR(SEARCH(" ",N38)))</formula>
    </cfRule>
    <cfRule type="containsText" dxfId="381" priority="318" operator="containsText" text=" ">
      <formula>NOT(ISERROR(SEARCH(" ",N38)))</formula>
    </cfRule>
  </conditionalFormatting>
  <conditionalFormatting sqref="F78">
    <cfRule type="containsText" dxfId="380" priority="493" operator="containsText" text=" ">
      <formula>NOT(ISERROR(SEARCH(" ",F78)))</formula>
    </cfRule>
  </conditionalFormatting>
  <conditionalFormatting sqref="F79">
    <cfRule type="containsText" dxfId="379" priority="495" operator="containsText" text=" ">
      <formula>NOT(ISERROR(SEARCH(" ",F79)))</formula>
    </cfRule>
  </conditionalFormatting>
  <conditionalFormatting sqref="F80">
    <cfRule type="containsText" dxfId="378" priority="479" operator="containsText" text=" ">
      <formula>NOT(ISERROR(SEARCH(" ",F80)))</formula>
    </cfRule>
  </conditionalFormatting>
  <conditionalFormatting sqref="F81">
    <cfRule type="containsText" dxfId="377" priority="480" operator="containsText" text=" ">
      <formula>NOT(ISERROR(SEARCH(" ",F81)))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8">
    <cfRule type="cellIs" dxfId="376" priority="423" operator="equal">
      <formula>0</formula>
    </cfRule>
    <cfRule type="containsText" dxfId="375" priority="431" operator="containsText" text=" ">
      <formula>NOT(ISERROR(SEARCH(" ",G35)))</formula>
    </cfRule>
  </conditionalFormatting>
  <conditionalFormatting sqref="G39:G88">
    <cfRule type="containsText" dxfId="374" priority="496" operator="containsText" text=" ">
      <formula>NOT(ISERROR(SEARCH(" ",G39)))</formula>
    </cfRule>
  </conditionalFormatting>
  <conditionalFormatting sqref="I35:I38">
    <cfRule type="cellIs" dxfId="373" priority="316" operator="equal">
      <formula>0</formula>
    </cfRule>
    <cfRule type="containsText" dxfId="372" priority="317" operator="containsText" text=" ">
      <formula>NOT(ISERROR(SEARCH(" ",I35)))</formula>
    </cfRule>
  </conditionalFormatting>
  <conditionalFormatting sqref="I39:I88">
    <cfRule type="containsText" dxfId="371" priority="473" operator="containsText" text=" ">
      <formula>NOT(ISERROR(SEARCH(" ",I39)))</formula>
    </cfRule>
  </conditionalFormatting>
  <conditionalFormatting sqref="K35:K38">
    <cfRule type="cellIs" dxfId="370" priority="314" operator="equal">
      <formula>0</formula>
    </cfRule>
    <cfRule type="containsText" dxfId="369" priority="315" operator="containsText" text=" ">
      <formula>NOT(ISERROR(SEARCH(" ",K35)))</formula>
    </cfRule>
  </conditionalFormatting>
  <conditionalFormatting sqref="K39:K88">
    <cfRule type="containsText" dxfId="368" priority="472" operator="containsText" text=" ">
      <formula>NOT(ISERROR(SEARCH(" ",K39)))</formula>
    </cfRule>
  </conditionalFormatting>
  <conditionalFormatting sqref="M35:M38">
    <cfRule type="cellIs" dxfId="367" priority="340" operator="equal">
      <formula>0</formula>
    </cfRule>
    <cfRule type="containsText" dxfId="366" priority="341" operator="containsText" text=" ">
      <formula>NOT(ISERROR(SEARCH(" ",M35)))</formula>
    </cfRule>
  </conditionalFormatting>
  <conditionalFormatting sqref="O5:O15">
    <cfRule type="containsText" dxfId="365" priority="504" operator="containsText" text=" ">
      <formula>NOT(ISERROR(SEARCH(" ",O5)))</formula>
    </cfRule>
  </conditionalFormatting>
  <conditionalFormatting sqref="O35:O38">
    <cfRule type="cellIs" dxfId="364" priority="312" operator="equal">
      <formula>0</formula>
    </cfRule>
    <cfRule type="containsText" dxfId="363" priority="313" operator="containsText" text=" ">
      <formula>NOT(ISERROR(SEARCH(" ",O35)))</formula>
    </cfRule>
  </conditionalFormatting>
  <conditionalFormatting sqref="R39:R88">
    <cfRule type="containsText" dxfId="362" priority="508" operator="containsText" text=" ">
      <formula>NOT(ISERROR(SEARCH(" ",R39)))</formula>
    </cfRule>
    <cfRule type="containsText" dxfId="361" priority="509" operator="containsText" text=" ">
      <formula>NOT(ISERROR(SEARCH(" ",R39)))</formula>
    </cfRule>
  </conditionalFormatting>
  <conditionalFormatting sqref="R7:R8 R10 R12 R14:R15 A5:H5 L5:L14 N5:N15 H14 S5:Y15 R89:XFD89 T48:XFD88 H86:H87 H39:H79 J86:J87 J5:J14 J19 L19 U39 P1:Q15 B17:D18 S17:Y18 P17:P19 A17 A19:D19 J39:J79 R1:XFD4 AF17:XFD18 AF39:XFD47 AF5:XFD15 Z5:AE19 F19:H19 F86:F87 F39:F77 F14 A6:D15 F6:H13 E6:E19 A39:D88 E35:E88 A22 A27 A32 A34 A20 A24:A25 A29:A30 R93:XFD1048576 R90:S92 U90:XFD92 J91:P91 L39:P88 L90:P90 N89:P89">
    <cfRule type="containsText" dxfId="360" priority="510" operator="containsText" text=" ">
      <formula>NOT(ISERROR(SEARCH(" ",A1)))</formula>
    </cfRule>
  </conditionalFormatting>
  <conditionalFormatting sqref="Q1:Q15 Q17:Q19 Q35:Q1048576">
    <cfRule type="containsText" dxfId="359" priority="498" operator="containsText" text="正确">
      <formula>NOT(ISERROR(SEARCH("正确",Q1)))</formula>
    </cfRule>
  </conditionalFormatting>
  <conditionalFormatting sqref="I5:I14 I19">
    <cfRule type="containsText" dxfId="358" priority="507" operator="containsText" text=" ">
      <formula>NOT(ISERROR(SEARCH(" ",I5)))</formula>
    </cfRule>
  </conditionalFormatting>
  <conditionalFormatting sqref="K5 K19 K7:K9 K11 K13">
    <cfRule type="containsText" dxfId="357" priority="506" operator="containsText" text=" ">
      <formula>NOT(ISERROR(SEARCH(" ",K5)))</formula>
    </cfRule>
  </conditionalFormatting>
  <conditionalFormatting sqref="M19 M5:M13">
    <cfRule type="containsText" dxfId="356" priority="505" operator="containsText" text=" ">
      <formula>NOT(ISERROR(SEARCH(" ",M5)))</formula>
    </cfRule>
  </conditionalFormatting>
  <conditionalFormatting sqref="Q5:Q15 Q17:Q19 Q35:Q88">
    <cfRule type="cellIs" dxfId="355" priority="499" operator="equal">
      <formula>"正确"</formula>
    </cfRule>
    <cfRule type="containsText" dxfId="354" priority="500" operator="containsText" text="错误">
      <formula>NOT(ISERROR(SEARCH("错误",Q5)))</formula>
    </cfRule>
  </conditionalFormatting>
  <conditionalFormatting sqref="K6 R17:R18 S35:T35 P36:P38 R36:T38 N17:O19 U19:U38 AF19:XFD38 A35:A38 Y19 Q17:Q19 Q35:Q1048576 V33:Y34 V24:X32">
    <cfRule type="containsText" dxfId="353" priority="471" operator="containsText" text=" ">
      <formula>NOT(ISERROR(SEARCH(" ",A6)))</formula>
    </cfRule>
  </conditionalFormatting>
  <conditionalFormatting sqref="K10 T40:X47 Y25:Y32 Z20:AE32 Y33:AE34 Y20:Y23">
    <cfRule type="containsText" dxfId="352" priority="470" operator="containsText" text=" ">
      <formula>NOT(ISERROR(SEARCH(" ",K10)))</formula>
    </cfRule>
  </conditionalFormatting>
  <conditionalFormatting sqref="K12 H92:P92 A89:M89 A94:P1048576 A93:D93 F93:P93 A90:E92">
    <cfRule type="containsText" dxfId="351" priority="469" operator="containsText" text=" ">
      <formula>NOT(ISERROR(SEARCH(" ",A12)))</formula>
    </cfRule>
  </conditionalFormatting>
  <conditionalFormatting sqref="G14 V39:W39">
    <cfRule type="containsText" dxfId="350" priority="501" operator="containsText" text=" ">
      <formula>NOT(ISERROR(SEARCH(" ",G14)))</formula>
    </cfRule>
  </conditionalFormatting>
  <conditionalFormatting sqref="J15 F15:H15 L15 L17:L18 J17:J18 F17:H18">
    <cfRule type="containsText" dxfId="349" priority="464" operator="containsText" text=" ">
      <formula>NOT(ISERROR(SEARCH(" ",F15)))</formula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M15 F17:M18">
    <cfRule type="cellIs" dxfId="348" priority="455" operator="equal">
      <formula>0</formula>
    </cfRule>
  </conditionalFormatting>
  <conditionalFormatting sqref="H17:H18 H15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 I17:I18">
    <cfRule type="containsText" dxfId="347" priority="463" operator="containsText" text=" ">
      <formula>NOT(ISERROR(SEARCH(" ",I15)))</formula>
    </cfRule>
  </conditionalFormatting>
  <conditionalFormatting sqref="K15 K17:K18">
    <cfRule type="containsText" dxfId="346" priority="462" operator="containsText" text=" ">
      <formula>NOT(ISERROR(SEARCH(" ",K15)))</formula>
    </cfRule>
  </conditionalFormatting>
  <conditionalFormatting sqref="M15 M17:M18">
    <cfRule type="containsText" dxfId="345" priority="461" operator="containsText" text=" ">
      <formula>NOT(ISERROR(SEARCH(" ",M15)))</formula>
    </cfRule>
  </conditionalFormatting>
  <conditionalFormatting sqref="A16:D16 N16 P16:Y16 A18 AF16:XFD16 A21 A26 A31 A23 A28 A33">
    <cfRule type="containsText" dxfId="344" priority="454" operator="containsText" text=" ">
      <formula>NOT(ISERROR(SEARCH(" ",A16)))</formula>
    </cfRule>
  </conditionalFormatting>
  <conditionalFormatting sqref="L16 F16:H16 J16">
    <cfRule type="containsText" dxfId="343" priority="449" operator="containsText" text=" ">
      <formula>NOT(ISERROR(SEARCH(" ",F16)))</formula>
    </cfRule>
  </conditionalFormatting>
  <conditionalFormatting sqref="W20:X23 W19 W24:W34">
    <cfRule type="containsText" dxfId="342" priority="350" operator="containsText" text=" ">
      <formula>NOT(ISERROR(SEARCH(" ",W19)))</formula>
    </cfRule>
    <cfRule type="containsText" dxfId="341" priority="351" operator="containsText" text=" ">
      <formula>NOT(ISERROR(SEARCH(" ",W19)))</formula>
    </cfRule>
  </conditionalFormatting>
  <conditionalFormatting sqref="N20 J24 L24 P20:Q20 P22:P24 B22:D24 F24:H24 B20:D20 E20:E24">
    <cfRule type="containsText" dxfId="340" priority="180" operator="containsText" text=" ">
      <formula>NOT(ISERROR(SEARCH(" ",B20)))</formula>
    </cfRule>
  </conditionalFormatting>
  <conditionalFormatting sqref="J20 F20:H20 L20 L22:L23 F22:H23 J22:J23">
    <cfRule type="containsText" dxfId="339" priority="167" operator="containsText" text=" ">
      <formula>NOT(ISERROR(SEARCH(" ",F20)))</formula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M20 F22:M23">
    <cfRule type="cellIs" dxfId="338" priority="159" operator="equal">
      <formula>0</formula>
    </cfRule>
  </conditionalFormatting>
  <conditionalFormatting sqref="H22:H23 H2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 I22:I23">
    <cfRule type="containsText" dxfId="337" priority="166" operator="containsText" text=" ">
      <formula>NOT(ISERROR(SEARCH(" ",I20)))</formula>
    </cfRule>
  </conditionalFormatting>
  <conditionalFormatting sqref="K20 K22:K23">
    <cfRule type="containsText" dxfId="336" priority="165" operator="containsText" text=" ">
      <formula>NOT(ISERROR(SEARCH(" ",K20)))</formula>
    </cfRule>
  </conditionalFormatting>
  <conditionalFormatting sqref="M20 M22:M23">
    <cfRule type="containsText" dxfId="335" priority="164" operator="containsText" text=" ">
      <formula>NOT(ISERROR(SEARCH(" ",M20)))</formula>
    </cfRule>
  </conditionalFormatting>
  <conditionalFormatting sqref="Q20 Q22:Q24">
    <cfRule type="containsText" dxfId="334" priority="173" operator="containsText" text="正确">
      <formula>NOT(ISERROR(SEARCH("正确",Q20)))</formula>
    </cfRule>
    <cfRule type="cellIs" dxfId="333" priority="174" operator="equal">
      <formula>"正确"</formula>
    </cfRule>
    <cfRule type="containsText" dxfId="332" priority="175" operator="containsText" text="错误">
      <formula>NOT(ISERROR(SEARCH("错误",Q20)))</formula>
    </cfRule>
  </conditionalFormatting>
  <conditionalFormatting sqref="B21:D21 N21 P21:Q21">
    <cfRule type="containsText" dxfId="331" priority="158" operator="containsText" text=" ">
      <formula>NOT(ISERROR(SEARCH(" ",B21)))</formula>
    </cfRule>
  </conditionalFormatting>
  <conditionalFormatting sqref="L21 F21:H21 J21">
    <cfRule type="containsText" dxfId="330" priority="153" operator="containsText" text=" ">
      <formula>NOT(ISERROR(SEARCH(" ",F21)))</formula>
    </cfRule>
  </conditionalFormatting>
  <conditionalFormatting sqref="N22:O24 Q22:Q24">
    <cfRule type="containsText" dxfId="329" priority="172" operator="containsText" text=" ">
      <formula>NOT(ISERROR(SEARCH(" ",N22)))</formula>
    </cfRule>
  </conditionalFormatting>
  <conditionalFormatting sqref="N25 J29 L29 P25:Q25 P27:P29 B27:D29 F29:H29 B25:D25 E25:E29">
    <cfRule type="containsText" dxfId="328" priority="136" operator="containsText" text=" ">
      <formula>NOT(ISERROR(SEARCH(" ",B25)))</formula>
    </cfRule>
  </conditionalFormatting>
  <conditionalFormatting sqref="J25 F25 L25 L27:L28 J27:J28 G27:H28 H25">
    <cfRule type="containsText" dxfId="327" priority="123" operator="containsText" text=" ">
      <formula>NOT(ISERROR(SEARCH(" ",F25)))</formula>
    </cfRule>
  </conditionalFormatting>
  <conditionalFormatting sqref="F25 G27:M28 H25:M25">
    <cfRule type="cellIs" dxfId="326" priority="115" operator="equal">
      <formula>0</formula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 I27:I28">
    <cfRule type="containsText" dxfId="325" priority="122" operator="containsText" text=" ">
      <formula>NOT(ISERROR(SEARCH(" ",I25)))</formula>
    </cfRule>
  </conditionalFormatting>
  <conditionalFormatting sqref="K25 K27:K28">
    <cfRule type="containsText" dxfId="324" priority="121" operator="containsText" text=" ">
      <formula>NOT(ISERROR(SEARCH(" ",K25)))</formula>
    </cfRule>
  </conditionalFormatting>
  <conditionalFormatting sqref="M25 M27:M28">
    <cfRule type="containsText" dxfId="323" priority="120" operator="containsText" text=" ">
      <formula>NOT(ISERROR(SEARCH(" ",M25)))</formula>
    </cfRule>
  </conditionalFormatting>
  <conditionalFormatting sqref="Q25 Q27:Q29">
    <cfRule type="containsText" dxfId="322" priority="129" operator="containsText" text="正确">
      <formula>NOT(ISERROR(SEARCH("正确",Q25)))</formula>
    </cfRule>
    <cfRule type="cellIs" dxfId="321" priority="130" operator="equal">
      <formula>"正确"</formula>
    </cfRule>
    <cfRule type="containsText" dxfId="320" priority="131" operator="containsText" text="错误">
      <formula>NOT(ISERROR(SEARCH("错误",Q25)))</formula>
    </cfRule>
  </conditionalFormatting>
  <conditionalFormatting sqref="B26:D26 N26 P26:Q26">
    <cfRule type="containsText" dxfId="319" priority="114" operator="containsText" text=" ">
      <formula>NOT(ISERROR(SEARCH(" ",B26)))</formula>
    </cfRule>
  </conditionalFormatting>
  <conditionalFormatting sqref="L26 G26:H26 J26">
    <cfRule type="containsText" dxfId="318" priority="109" operator="containsText" text=" ">
      <formula>NOT(ISERROR(SEARCH(" ",G26)))</formula>
    </cfRule>
  </conditionalFormatting>
  <conditionalFormatting sqref="N27:O29 Q27:Q29">
    <cfRule type="containsText" dxfId="317" priority="128" operator="containsText" text=" ">
      <formula>NOT(ISERROR(SEARCH(" ",N27)))</formula>
    </cfRule>
  </conditionalFormatting>
  <conditionalFormatting sqref="N30 J34 L34 P30:Q30 P32:P34 B32:D34 F34:H34 B30:D30 E30:E34">
    <cfRule type="containsText" dxfId="316" priority="92" operator="containsText" text=" ">
      <formula>NOT(ISERROR(SEARCH(" ",B30)))</formula>
    </cfRule>
  </conditionalFormatting>
  <conditionalFormatting sqref="J30 L30 L32:L33 J32:J33 G32:H33 H30">
    <cfRule type="containsText" dxfId="315" priority="79" operator="containsText" text=" ">
      <formula>NOT(ISERROR(SEARCH(" ",G30)))</formula>
    </cfRule>
  </conditionalFormatting>
  <conditionalFormatting sqref="G32:M33 H30:M30">
    <cfRule type="cellIs" dxfId="314" priority="71" operator="equal">
      <formula>0</formula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 I32:I33">
    <cfRule type="containsText" dxfId="313" priority="78" operator="containsText" text=" ">
      <formula>NOT(ISERROR(SEARCH(" ",I30)))</formula>
    </cfRule>
  </conditionalFormatting>
  <conditionalFormatting sqref="K30 K32:K33">
    <cfRule type="containsText" dxfId="312" priority="77" operator="containsText" text=" ">
      <formula>NOT(ISERROR(SEARCH(" ",K30)))</formula>
    </cfRule>
  </conditionalFormatting>
  <conditionalFormatting sqref="M30 M32:M33">
    <cfRule type="containsText" dxfId="311" priority="76" operator="containsText" text=" ">
      <formula>NOT(ISERROR(SEARCH(" ",M30)))</formula>
    </cfRule>
  </conditionalFormatting>
  <conditionalFormatting sqref="Q30 Q32:Q34">
    <cfRule type="containsText" dxfId="310" priority="85" operator="containsText" text="正确">
      <formula>NOT(ISERROR(SEARCH("正确",Q30)))</formula>
    </cfRule>
    <cfRule type="cellIs" dxfId="309" priority="86" operator="equal">
      <formula>"正确"</formula>
    </cfRule>
    <cfRule type="containsText" dxfId="308" priority="87" operator="containsText" text="错误">
      <formula>NOT(ISERROR(SEARCH("错误",Q30)))</formula>
    </cfRule>
  </conditionalFormatting>
  <conditionalFormatting sqref="B31:D31 N31 P31:Q31">
    <cfRule type="containsText" dxfId="307" priority="70" operator="containsText" text=" ">
      <formula>NOT(ISERROR(SEARCH(" ",B31)))</formula>
    </cfRule>
  </conditionalFormatting>
  <conditionalFormatting sqref="L31 G31:H31 J31">
    <cfRule type="containsText" dxfId="306" priority="65" operator="containsText" text=" ">
      <formula>NOT(ISERROR(SEARCH(" ",G31)))</formula>
    </cfRule>
  </conditionalFormatting>
  <conditionalFormatting sqref="N32:O34 Q32:Q34">
    <cfRule type="containsText" dxfId="305" priority="84" operator="containsText" text=" ">
      <formula>NOT(ISERROR(SEARCH(" ",N32)))</formula>
    </cfRule>
  </conditionalFormatting>
  <conditionalFormatting sqref="S40:S88 S39:T39">
    <cfRule type="containsText" dxfId="304" priority="497" operator="containsText" text=" ">
      <formula>NOT(ISERROR(SEARCH(" ",S39)))</formula>
    </cfRule>
  </conditionalFormatting>
  <conditionalFormatting sqref="H80:H81 J80:J81">
    <cfRule type="containsText" dxfId="303" priority="481" operator="containsText" text=" ">
      <formula>NOT(ISERROR(SEARCH(" ",H80)))</formula>
    </cfRule>
  </conditionalFormatting>
  <conditionalFormatting sqref="F82 H82 J82">
    <cfRule type="containsText" dxfId="302" priority="491" operator="containsText" text=" ">
      <formula>NOT(ISERROR(SEARCH(" ",F82)))</formula>
    </cfRule>
  </conditionalFormatting>
  <conditionalFormatting sqref="F83 H83 J83">
    <cfRule type="containsText" dxfId="301" priority="489" operator="containsText" text=" ">
      <formula>NOT(ISERROR(SEARCH(" ",F83)))</formula>
    </cfRule>
  </conditionalFormatting>
  <conditionalFormatting sqref="F84 H84 J84">
    <cfRule type="containsText" dxfId="300" priority="487" operator="containsText" text=" ">
      <formula>NOT(ISERROR(SEARCH(" ",F84)))</formula>
    </cfRule>
  </conditionalFormatting>
  <conditionalFormatting sqref="F85 H85 J85">
    <cfRule type="containsText" dxfId="299" priority="485" operator="containsText" text=" ">
      <formula>NOT(ISERROR(SEARCH(" ",F85)))</formula>
    </cfRule>
  </conditionalFormatting>
  <conditionalFormatting sqref="F88 H88 J88">
    <cfRule type="containsText" dxfId="298" priority="483" operator="containsText" text=" ">
      <formula>NOT(ISERROR(SEARCH(" ",F88)))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M43"/>
  <sheetViews>
    <sheetView topLeftCell="A19" workbookViewId="0">
      <selection activeCell="E46" sqref="E46"/>
    </sheetView>
  </sheetViews>
  <sheetFormatPr defaultColWidth="9" defaultRowHeight="16.5" x14ac:dyDescent="0.25"/>
  <cols>
    <col min="1" max="1" width="9" style="2"/>
    <col min="2" max="2" width="15.08984375" style="2" customWidth="1"/>
    <col min="3" max="3" width="13" style="2" customWidth="1"/>
    <col min="4" max="4" width="21.36328125" style="2" customWidth="1"/>
    <col min="5" max="5" width="9.90625" style="2" customWidth="1"/>
    <col min="6" max="6" width="17.453125" style="2" customWidth="1"/>
    <col min="7" max="9" width="9.6328125" style="2" customWidth="1"/>
    <col min="10" max="10" width="12.54296875" style="2" customWidth="1"/>
    <col min="11" max="11" width="12" style="2" customWidth="1"/>
    <col min="12" max="12" width="10.1796875" style="2" customWidth="1"/>
    <col min="13" max="13" width="7.90625" style="2" customWidth="1"/>
    <col min="14" max="14" width="9" style="2"/>
    <col min="15" max="15" width="13.90625" style="2" customWidth="1"/>
    <col min="16" max="16" width="8" style="2" customWidth="1"/>
    <col min="17" max="17" width="7.6328125" style="2" customWidth="1"/>
    <col min="18" max="18" width="10.81640625" style="2" customWidth="1"/>
    <col min="19" max="19" width="11.90625" style="2" customWidth="1"/>
    <col min="20" max="21" width="9" style="2"/>
    <col min="22" max="22" width="10.36328125" style="2" customWidth="1"/>
    <col min="23" max="23" width="13.54296875" style="2" customWidth="1"/>
    <col min="24" max="16384" width="9" style="2"/>
  </cols>
  <sheetData>
    <row r="1" spans="1:39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691</v>
      </c>
      <c r="H1" s="3" t="s">
        <v>691</v>
      </c>
      <c r="I1" s="3" t="s">
        <v>0</v>
      </c>
      <c r="J1" s="3" t="s">
        <v>691</v>
      </c>
      <c r="V1" s="108" t="s">
        <v>1853</v>
      </c>
    </row>
    <row r="2" spans="1:39" x14ac:dyDescent="0.4">
      <c r="A2" s="3" t="s">
        <v>2</v>
      </c>
      <c r="B2" s="3" t="s">
        <v>2</v>
      </c>
      <c r="C2" s="3" t="s">
        <v>5</v>
      </c>
      <c r="D2" s="3" t="s">
        <v>5</v>
      </c>
      <c r="E2" s="3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17"/>
      <c r="V2" s="108" t="s">
        <v>1854</v>
      </c>
    </row>
    <row r="3" spans="1:39" x14ac:dyDescent="0.4">
      <c r="A3" s="3" t="s">
        <v>1579</v>
      </c>
      <c r="B3" s="3" t="s">
        <v>1855</v>
      </c>
      <c r="C3" s="3" t="s">
        <v>1856</v>
      </c>
      <c r="D3" s="3" t="s">
        <v>1857</v>
      </c>
      <c r="E3" s="3" t="s">
        <v>1858</v>
      </c>
      <c r="F3" s="3" t="s">
        <v>1859</v>
      </c>
      <c r="G3" s="3" t="s">
        <v>1860</v>
      </c>
      <c r="H3" s="103" t="s">
        <v>1861</v>
      </c>
      <c r="I3" s="103" t="s">
        <v>1862</v>
      </c>
      <c r="J3" s="103" t="s">
        <v>1863</v>
      </c>
      <c r="O3" s="41" t="s">
        <v>1864</v>
      </c>
    </row>
    <row r="4" spans="1:39" ht="69" x14ac:dyDescent="0.25">
      <c r="A4" s="12" t="s">
        <v>1865</v>
      </c>
      <c r="B4" s="12" t="s">
        <v>1866</v>
      </c>
      <c r="C4" s="12" t="s">
        <v>1867</v>
      </c>
      <c r="D4" s="12" t="s">
        <v>1868</v>
      </c>
      <c r="E4" s="12" t="s">
        <v>1869</v>
      </c>
      <c r="F4" s="12" t="s">
        <v>1870</v>
      </c>
      <c r="G4" s="12" t="s">
        <v>1871</v>
      </c>
      <c r="H4" s="12" t="s">
        <v>1872</v>
      </c>
      <c r="I4" s="12" t="s">
        <v>1873</v>
      </c>
      <c r="J4" s="12" t="s">
        <v>1874</v>
      </c>
      <c r="K4" s="104" t="s">
        <v>1875</v>
      </c>
      <c r="L4" s="60" t="s">
        <v>1876</v>
      </c>
      <c r="M4" s="60"/>
      <c r="O4" s="43" t="s">
        <v>1719</v>
      </c>
      <c r="P4" s="44" t="s">
        <v>1563</v>
      </c>
      <c r="Q4" s="44" t="s">
        <v>1482</v>
      </c>
      <c r="R4" s="45" t="s">
        <v>1564</v>
      </c>
      <c r="S4" s="84" t="s">
        <v>1727</v>
      </c>
      <c r="U4" s="104"/>
      <c r="V4" s="52">
        <f>'抽奖|MoonBless'!DN4</f>
        <v>0</v>
      </c>
      <c r="W4" s="45" t="str">
        <f>'抽奖|MoonBless'!DO4</f>
        <v>人民币价值</v>
      </c>
      <c r="X4" s="53" t="str">
        <f>'抽奖|MoonBless'!DP4</f>
        <v>价值
钻石价值</v>
      </c>
      <c r="Y4" s="45" t="str">
        <f>'抽奖|MoonBless'!DQ4</f>
        <v>物品类型</v>
      </c>
      <c r="Z4" s="54" t="str">
        <f>'抽奖|MoonBless'!DR4</f>
        <v>id</v>
      </c>
      <c r="AA4" s="60" t="s">
        <v>1877</v>
      </c>
      <c r="AJ4" s="60" t="s">
        <v>1728</v>
      </c>
      <c r="AK4" s="2" t="s">
        <v>1563</v>
      </c>
      <c r="AL4" s="2" t="s">
        <v>1579</v>
      </c>
      <c r="AM4" s="2" t="s">
        <v>1727</v>
      </c>
    </row>
    <row r="5" spans="1:39" x14ac:dyDescent="0.25">
      <c r="A5" s="2">
        <v>1</v>
      </c>
      <c r="B5" s="2">
        <v>1</v>
      </c>
      <c r="C5" s="2" t="s">
        <v>1878</v>
      </c>
      <c r="D5" s="2" t="str">
        <f t="shared" ref="D5:D12" si="0">P5&amp;"|"&amp;Q5&amp;"|"&amp;R5</f>
        <v>2|1008|1</v>
      </c>
      <c r="E5" s="2">
        <v>1</v>
      </c>
      <c r="F5" s="2" t="str">
        <f>"2|1204|"&amp;K5</f>
        <v>2|1204|65000</v>
      </c>
      <c r="G5" s="2">
        <v>0</v>
      </c>
      <c r="H5" s="2">
        <v>1</v>
      </c>
      <c r="K5" s="47">
        <v>65000</v>
      </c>
      <c r="L5" s="2">
        <f t="shared" ref="L5:L28" si="1">ROUND(S5/$W$12,0)</f>
        <v>66667</v>
      </c>
      <c r="O5" s="46" t="s">
        <v>1539</v>
      </c>
      <c r="P5" s="2">
        <f t="shared" ref="P5:P43" si="2">VLOOKUP(O5,V:Z,4,0)</f>
        <v>2</v>
      </c>
      <c r="Q5" s="2">
        <f t="shared" ref="Q5:Q43" si="3">VLOOKUP(O5,V:Z,5,0)</f>
        <v>1008</v>
      </c>
      <c r="R5" s="47">
        <v>1</v>
      </c>
      <c r="S5" s="25">
        <f t="shared" ref="S5:S43" si="4">VLOOKUP(O5,V:Z,2,0)*R5</f>
        <v>66.666666666666671</v>
      </c>
      <c r="V5" s="109" t="str">
        <f>'抽奖|MoonBless'!DN5</f>
        <v>人民币</v>
      </c>
      <c r="W5" s="110">
        <f>'抽奖|MoonBless'!DO5</f>
        <v>1</v>
      </c>
      <c r="X5" s="110">
        <f>'抽奖|MoonBless'!DP5</f>
        <v>10</v>
      </c>
      <c r="Y5" s="2">
        <f>'抽奖|MoonBless'!DQ5</f>
        <v>1</v>
      </c>
      <c r="Z5" s="25">
        <f>'抽奖|MoonBless'!DR5</f>
        <v>0</v>
      </c>
      <c r="AA5" s="111">
        <v>1</v>
      </c>
      <c r="AI5" s="2" t="s">
        <v>1733</v>
      </c>
      <c r="AJ5" s="2">
        <v>0.1</v>
      </c>
      <c r="AK5" s="2">
        <v>1</v>
      </c>
      <c r="AM5" s="2">
        <v>1</v>
      </c>
    </row>
    <row r="6" spans="1:39" x14ac:dyDescent="0.25">
      <c r="A6" s="2">
        <v>2</v>
      </c>
      <c r="B6" s="2">
        <v>1</v>
      </c>
      <c r="C6" s="2" t="s">
        <v>1878</v>
      </c>
      <c r="D6" s="2" t="str">
        <f t="shared" si="0"/>
        <v>2|1007|1</v>
      </c>
      <c r="E6" s="2">
        <v>1</v>
      </c>
      <c r="F6" s="2" t="str">
        <f t="shared" ref="F6:F21" si="5">"2|1204|"&amp;K6</f>
        <v>2|1204|33000</v>
      </c>
      <c r="G6" s="2">
        <v>0</v>
      </c>
      <c r="H6" s="2">
        <v>2</v>
      </c>
      <c r="K6" s="47">
        <v>33000</v>
      </c>
      <c r="L6" s="2">
        <f t="shared" si="1"/>
        <v>33333</v>
      </c>
      <c r="O6" s="46" t="s">
        <v>1549</v>
      </c>
      <c r="P6" s="2">
        <f t="shared" si="2"/>
        <v>2</v>
      </c>
      <c r="Q6" s="2">
        <f t="shared" si="3"/>
        <v>1007</v>
      </c>
      <c r="R6" s="47">
        <v>1</v>
      </c>
      <c r="S6" s="25">
        <f t="shared" si="4"/>
        <v>33.333333333333336</v>
      </c>
      <c r="V6" s="16" t="str">
        <f>'抽奖|MoonBless'!DN6</f>
        <v>钻石</v>
      </c>
      <c r="W6" s="47">
        <f>'抽奖|MoonBless'!DO6</f>
        <v>0.1</v>
      </c>
      <c r="X6" s="47">
        <f>'抽奖|MoonBless'!DP6</f>
        <v>1</v>
      </c>
      <c r="Y6" s="2">
        <f>'抽奖|MoonBless'!DQ6</f>
        <v>1</v>
      </c>
      <c r="Z6" s="25">
        <f>'抽奖|MoonBless'!DR6</f>
        <v>1</v>
      </c>
      <c r="AA6" s="111">
        <v>1</v>
      </c>
      <c r="AI6" s="2" t="s">
        <v>738</v>
      </c>
      <c r="AJ6" s="2">
        <v>1</v>
      </c>
      <c r="AK6" s="2">
        <v>1</v>
      </c>
      <c r="AL6" s="2">
        <v>1</v>
      </c>
      <c r="AM6" s="2">
        <f>AJ6/10</f>
        <v>0.1</v>
      </c>
    </row>
    <row r="7" spans="1:39" x14ac:dyDescent="0.25">
      <c r="A7" s="2">
        <v>3</v>
      </c>
      <c r="B7" s="2">
        <v>1</v>
      </c>
      <c r="C7" s="2" t="s">
        <v>1878</v>
      </c>
      <c r="D7" s="2" t="str">
        <f t="shared" si="0"/>
        <v>2|1006|1</v>
      </c>
      <c r="E7" s="2">
        <v>1</v>
      </c>
      <c r="F7" s="2" t="str">
        <f t="shared" si="5"/>
        <v>2|1204|13300</v>
      </c>
      <c r="G7" s="2">
        <v>0</v>
      </c>
      <c r="H7" s="2">
        <v>100</v>
      </c>
      <c r="K7" s="47">
        <v>13300</v>
      </c>
      <c r="L7" s="2">
        <f t="shared" si="1"/>
        <v>13333</v>
      </c>
      <c r="O7" s="46" t="s">
        <v>1540</v>
      </c>
      <c r="P7" s="2">
        <f t="shared" si="2"/>
        <v>2</v>
      </c>
      <c r="Q7" s="2">
        <f t="shared" si="3"/>
        <v>1006</v>
      </c>
      <c r="R7" s="47">
        <v>1</v>
      </c>
      <c r="S7" s="25">
        <f t="shared" si="4"/>
        <v>13.333333333333336</v>
      </c>
      <c r="V7" s="16" t="str">
        <f>'抽奖|MoonBless'!DN7</f>
        <v>金币</v>
      </c>
      <c r="W7" s="2">
        <f>W12*(1000/150000)</f>
        <v>6.6666666666666675E-6</v>
      </c>
      <c r="X7" s="2">
        <f>W7*10</f>
        <v>6.666666666666667E-5</v>
      </c>
      <c r="Y7" s="2">
        <f>'抽奖|MoonBless'!DQ7</f>
        <v>1</v>
      </c>
      <c r="Z7" s="25">
        <f>'抽奖|MoonBless'!DR7</f>
        <v>2</v>
      </c>
      <c r="AA7" s="111">
        <v>1</v>
      </c>
      <c r="AI7" s="2" t="s">
        <v>103</v>
      </c>
      <c r="AJ7" s="2">
        <f>1/500</f>
        <v>2E-3</v>
      </c>
      <c r="AK7" s="2">
        <v>1</v>
      </c>
      <c r="AL7" s="2">
        <v>2</v>
      </c>
      <c r="AM7" s="2">
        <f t="shared" ref="AM7:AM24" si="6">AJ7/10</f>
        <v>2.0000000000000001E-4</v>
      </c>
    </row>
    <row r="8" spans="1:39" x14ac:dyDescent="0.25">
      <c r="A8" s="2">
        <v>4</v>
      </c>
      <c r="B8" s="2">
        <v>1</v>
      </c>
      <c r="C8" s="2" t="s">
        <v>1878</v>
      </c>
      <c r="D8" s="2" t="str">
        <f t="shared" si="0"/>
        <v>1|1|100</v>
      </c>
      <c r="E8" s="2">
        <v>1</v>
      </c>
      <c r="F8" s="2" t="str">
        <f t="shared" si="5"/>
        <v>2|1204|10000</v>
      </c>
      <c r="G8" s="2">
        <v>0</v>
      </c>
      <c r="H8" s="2">
        <v>100</v>
      </c>
      <c r="K8" s="2">
        <f t="shared" ref="K8:K28" si="7">L8</f>
        <v>10000</v>
      </c>
      <c r="L8" s="2">
        <f t="shared" si="1"/>
        <v>10000</v>
      </c>
      <c r="M8" s="2">
        <f>K8*5/2</f>
        <v>25000</v>
      </c>
      <c r="O8" s="46" t="s">
        <v>738</v>
      </c>
      <c r="P8" s="2">
        <f t="shared" si="2"/>
        <v>1</v>
      </c>
      <c r="Q8" s="2">
        <f t="shared" si="3"/>
        <v>1</v>
      </c>
      <c r="R8" s="47">
        <v>100</v>
      </c>
      <c r="S8" s="25">
        <f t="shared" si="4"/>
        <v>10</v>
      </c>
      <c r="V8" s="16" t="str">
        <f>'抽奖|MoonBless'!DN8</f>
        <v>锁定</v>
      </c>
      <c r="W8" s="2">
        <f>'抽奖|MoonBless'!DO8</f>
        <v>0.2</v>
      </c>
      <c r="X8" s="2">
        <f>'抽奖|MoonBless'!DP8/AA8</f>
        <v>2</v>
      </c>
      <c r="Y8" s="2">
        <f>'抽奖|MoonBless'!DQ8</f>
        <v>2</v>
      </c>
      <c r="Z8" s="25">
        <f>'抽奖|MoonBless'!DR8</f>
        <v>1001</v>
      </c>
      <c r="AA8" s="111">
        <v>1</v>
      </c>
      <c r="AI8" s="2" t="s">
        <v>756</v>
      </c>
      <c r="AJ8" s="2">
        <v>2</v>
      </c>
      <c r="AK8" s="2">
        <v>2</v>
      </c>
      <c r="AL8" s="2">
        <v>1001</v>
      </c>
      <c r="AM8" s="2">
        <f t="shared" si="6"/>
        <v>0.2</v>
      </c>
    </row>
    <row r="9" spans="1:39" x14ac:dyDescent="0.25">
      <c r="A9" s="2">
        <v>5</v>
      </c>
      <c r="B9" s="2">
        <v>1</v>
      </c>
      <c r="C9" s="2" t="s">
        <v>1878</v>
      </c>
      <c r="D9" s="2" t="str">
        <f t="shared" si="0"/>
        <v>2|1003|10</v>
      </c>
      <c r="E9" s="2">
        <v>1</v>
      </c>
      <c r="F9" s="2" t="str">
        <f t="shared" si="5"/>
        <v>2|1204|20000</v>
      </c>
      <c r="G9" s="2">
        <v>0</v>
      </c>
      <c r="H9" s="2">
        <v>100</v>
      </c>
      <c r="K9" s="2">
        <f t="shared" si="7"/>
        <v>20000</v>
      </c>
      <c r="L9" s="2">
        <f t="shared" si="1"/>
        <v>20000</v>
      </c>
      <c r="O9" s="46" t="s">
        <v>764</v>
      </c>
      <c r="P9" s="2">
        <f t="shared" si="2"/>
        <v>2</v>
      </c>
      <c r="Q9" s="2">
        <f t="shared" si="3"/>
        <v>1003</v>
      </c>
      <c r="R9" s="47">
        <v>10</v>
      </c>
      <c r="S9" s="25">
        <f t="shared" si="4"/>
        <v>20</v>
      </c>
      <c r="V9" s="16" t="str">
        <f>'抽奖|MoonBless'!DN9</f>
        <v>冰冻</v>
      </c>
      <c r="W9" s="2">
        <f>'抽奖|MoonBless'!DO9</f>
        <v>0.5</v>
      </c>
      <c r="X9" s="2">
        <f>'抽奖|MoonBless'!DP9</f>
        <v>5</v>
      </c>
      <c r="Y9" s="2">
        <f>'抽奖|MoonBless'!DQ9</f>
        <v>2</v>
      </c>
      <c r="Z9" s="25">
        <f>'抽奖|MoonBless'!DR9</f>
        <v>1002</v>
      </c>
      <c r="AA9" s="111">
        <v>1</v>
      </c>
      <c r="AI9" s="2" t="s">
        <v>760</v>
      </c>
      <c r="AJ9" s="2">
        <v>5</v>
      </c>
      <c r="AK9" s="2">
        <v>2</v>
      </c>
      <c r="AL9" s="2">
        <v>1002</v>
      </c>
      <c r="AM9" s="2">
        <f t="shared" si="6"/>
        <v>0.5</v>
      </c>
    </row>
    <row r="10" spans="1:39" x14ac:dyDescent="0.25">
      <c r="A10" s="2">
        <v>6</v>
      </c>
      <c r="B10" s="2">
        <v>1</v>
      </c>
      <c r="C10" s="2" t="s">
        <v>1878</v>
      </c>
      <c r="D10" s="2" t="str">
        <f t="shared" si="0"/>
        <v>2|1003|5</v>
      </c>
      <c r="E10" s="2">
        <v>1</v>
      </c>
      <c r="F10" s="2" t="str">
        <f t="shared" si="5"/>
        <v>2|1204|10000</v>
      </c>
      <c r="G10" s="2">
        <v>0</v>
      </c>
      <c r="H10" s="2">
        <v>100</v>
      </c>
      <c r="K10" s="2">
        <f t="shared" si="7"/>
        <v>10000</v>
      </c>
      <c r="L10" s="2">
        <f t="shared" si="1"/>
        <v>10000</v>
      </c>
      <c r="O10" s="46" t="s">
        <v>764</v>
      </c>
      <c r="P10" s="2">
        <f t="shared" si="2"/>
        <v>2</v>
      </c>
      <c r="Q10" s="2">
        <f t="shared" si="3"/>
        <v>1003</v>
      </c>
      <c r="R10" s="47">
        <v>5</v>
      </c>
      <c r="S10" s="25">
        <f t="shared" si="4"/>
        <v>10</v>
      </c>
      <c r="V10" s="16" t="str">
        <f>'抽奖|MoonBless'!DN10</f>
        <v>狂暴</v>
      </c>
      <c r="W10" s="2">
        <f>'抽奖|MoonBless'!DO10</f>
        <v>2</v>
      </c>
      <c r="X10" s="47">
        <f>'抽奖|MoonBless'!DP10</f>
        <v>20</v>
      </c>
      <c r="Y10" s="2">
        <f>'抽奖|MoonBless'!DQ10</f>
        <v>2</v>
      </c>
      <c r="Z10" s="25">
        <f>'抽奖|MoonBless'!DR10</f>
        <v>1003</v>
      </c>
      <c r="AA10" s="111">
        <v>1</v>
      </c>
      <c r="AI10" s="2" t="s">
        <v>764</v>
      </c>
      <c r="AJ10" s="2">
        <v>20</v>
      </c>
      <c r="AK10" s="2">
        <v>2</v>
      </c>
      <c r="AL10" s="2">
        <v>1003</v>
      </c>
      <c r="AM10" s="2">
        <f t="shared" si="6"/>
        <v>2</v>
      </c>
    </row>
    <row r="11" spans="1:39" x14ac:dyDescent="0.25">
      <c r="A11" s="2">
        <v>7</v>
      </c>
      <c r="B11" s="2">
        <v>1</v>
      </c>
      <c r="C11" s="2" t="s">
        <v>1878</v>
      </c>
      <c r="D11" s="2" t="str">
        <f t="shared" si="0"/>
        <v>1|2|3000000</v>
      </c>
      <c r="E11" s="2">
        <v>1</v>
      </c>
      <c r="F11" s="2" t="str">
        <f t="shared" si="5"/>
        <v>2|1204|20000</v>
      </c>
      <c r="G11" s="2">
        <v>0</v>
      </c>
      <c r="H11" s="2">
        <v>100</v>
      </c>
      <c r="K11" s="2">
        <f t="shared" si="7"/>
        <v>20000</v>
      </c>
      <c r="L11" s="2">
        <f t="shared" si="1"/>
        <v>20000</v>
      </c>
      <c r="O11" s="46" t="s">
        <v>103</v>
      </c>
      <c r="P11" s="2">
        <f t="shared" si="2"/>
        <v>1</v>
      </c>
      <c r="Q11" s="2">
        <f t="shared" si="3"/>
        <v>2</v>
      </c>
      <c r="R11" s="47">
        <v>3000000</v>
      </c>
      <c r="S11" s="25">
        <f t="shared" si="4"/>
        <v>20.000000000000004</v>
      </c>
      <c r="V11" s="16" t="str">
        <f>'抽奖|MoonBless'!DN11</f>
        <v>召唤</v>
      </c>
      <c r="W11" s="2">
        <f>'抽奖|MoonBless'!DO11</f>
        <v>0.2</v>
      </c>
      <c r="X11" s="2">
        <f>'抽奖|MoonBless'!DP11</f>
        <v>2</v>
      </c>
      <c r="Y11" s="2">
        <f>'抽奖|MoonBless'!DQ11</f>
        <v>2</v>
      </c>
      <c r="Z11" s="25">
        <f>'抽奖|MoonBless'!DR11</f>
        <v>1004</v>
      </c>
      <c r="AA11" s="111">
        <v>1</v>
      </c>
      <c r="AI11" s="2" t="s">
        <v>768</v>
      </c>
      <c r="AJ11" s="2">
        <v>2</v>
      </c>
      <c r="AK11" s="2">
        <v>2</v>
      </c>
      <c r="AL11" s="2">
        <v>1004</v>
      </c>
      <c r="AM11" s="2">
        <f t="shared" si="6"/>
        <v>0.2</v>
      </c>
    </row>
    <row r="12" spans="1:39" x14ac:dyDescent="0.25">
      <c r="A12" s="2">
        <v>8</v>
      </c>
      <c r="B12" s="2">
        <v>1</v>
      </c>
      <c r="C12" s="2" t="s">
        <v>1878</v>
      </c>
      <c r="D12" s="2" t="str">
        <f t="shared" si="0"/>
        <v>1|2|1500000</v>
      </c>
      <c r="E12" s="2">
        <v>1</v>
      </c>
      <c r="F12" s="2" t="str">
        <f t="shared" si="5"/>
        <v>2|1204|10000</v>
      </c>
      <c r="G12" s="2">
        <v>0</v>
      </c>
      <c r="H12" s="2">
        <v>100</v>
      </c>
      <c r="K12" s="2">
        <f t="shared" si="7"/>
        <v>10000</v>
      </c>
      <c r="L12" s="2">
        <f t="shared" si="1"/>
        <v>10000</v>
      </c>
      <c r="O12" s="105" t="s">
        <v>103</v>
      </c>
      <c r="P12" s="19">
        <f t="shared" si="2"/>
        <v>1</v>
      </c>
      <c r="Q12" s="19">
        <f t="shared" si="3"/>
        <v>2</v>
      </c>
      <c r="R12" s="50">
        <v>1500000</v>
      </c>
      <c r="S12" s="27">
        <f t="shared" si="4"/>
        <v>10.000000000000002</v>
      </c>
      <c r="V12" s="16" t="str">
        <f>'抽奖|MoonBless'!DN12</f>
        <v>福卡</v>
      </c>
      <c r="W12" s="2">
        <f>W5/1000</f>
        <v>1E-3</v>
      </c>
      <c r="X12" s="2">
        <f>X5/1000</f>
        <v>0.01</v>
      </c>
      <c r="Y12" s="2">
        <f>'抽奖|MoonBless'!DQ12</f>
        <v>2</v>
      </c>
      <c r="Z12" s="25">
        <f>'抽奖|MoonBless'!DR12</f>
        <v>1204</v>
      </c>
      <c r="AA12" s="111">
        <v>1</v>
      </c>
      <c r="AI12" s="2" t="s">
        <v>801</v>
      </c>
      <c r="AJ12" s="2">
        <f>1000*AJ7</f>
        <v>2</v>
      </c>
      <c r="AK12" s="2">
        <v>2</v>
      </c>
      <c r="AL12" s="2">
        <v>1204</v>
      </c>
      <c r="AM12" s="2">
        <f t="shared" si="6"/>
        <v>0.2</v>
      </c>
    </row>
    <row r="13" spans="1:39" x14ac:dyDescent="0.25">
      <c r="A13" s="2">
        <v>9</v>
      </c>
      <c r="B13" s="2">
        <v>1</v>
      </c>
      <c r="C13" s="2" t="s">
        <v>1879</v>
      </c>
      <c r="D13" s="2" t="str">
        <f t="shared" ref="D13:D20" si="8">P13&amp;"|"&amp;Q13&amp;"|"&amp;R13</f>
        <v>2|1210|1</v>
      </c>
      <c r="E13" s="2">
        <v>1</v>
      </c>
      <c r="F13" s="2" t="str">
        <f t="shared" si="5"/>
        <v>2|1204|49800</v>
      </c>
      <c r="G13" s="2">
        <v>0</v>
      </c>
      <c r="H13" s="2">
        <v>1</v>
      </c>
      <c r="K13" s="47">
        <v>49800</v>
      </c>
      <c r="L13" s="2">
        <f t="shared" ref="L13:L20" si="9">ROUND(S13/$W$12,0)</f>
        <v>50000</v>
      </c>
      <c r="O13" s="46" t="s">
        <v>831</v>
      </c>
      <c r="P13" s="2">
        <f t="shared" si="2"/>
        <v>2</v>
      </c>
      <c r="Q13" s="2">
        <f t="shared" si="3"/>
        <v>1210</v>
      </c>
      <c r="R13" s="47">
        <v>1</v>
      </c>
      <c r="S13" s="25">
        <f t="shared" si="4"/>
        <v>50</v>
      </c>
      <c r="V13" s="16" t="str">
        <f>'抽奖|MoonBless'!DN13</f>
        <v>超级武器1</v>
      </c>
      <c r="W13" s="2">
        <f>W7*1000000</f>
        <v>6.6666666666666679</v>
      </c>
      <c r="X13" s="2">
        <f>W13*10</f>
        <v>66.666666666666686</v>
      </c>
      <c r="Y13" s="2">
        <f>'抽奖|MoonBless'!DQ13</f>
        <v>2</v>
      </c>
      <c r="Z13" s="25">
        <f>'抽奖|MoonBless'!DR13</f>
        <v>1005</v>
      </c>
      <c r="AA13" s="111">
        <v>1</v>
      </c>
    </row>
    <row r="14" spans="1:39" x14ac:dyDescent="0.25">
      <c r="A14" s="2">
        <v>10</v>
      </c>
      <c r="B14" s="2">
        <v>1</v>
      </c>
      <c r="C14" s="2" t="s">
        <v>1879</v>
      </c>
      <c r="D14" s="2" t="str">
        <f t="shared" si="8"/>
        <v>2|1209|1</v>
      </c>
      <c r="E14" s="2">
        <v>1</v>
      </c>
      <c r="F14" s="2" t="str">
        <f t="shared" ref="F14:F20" si="10">"2|1204|"&amp;K14</f>
        <v>2|1204|30000</v>
      </c>
      <c r="G14" s="2">
        <v>0</v>
      </c>
      <c r="H14" s="2">
        <v>2</v>
      </c>
      <c r="K14" s="47">
        <v>30000</v>
      </c>
      <c r="L14" s="2">
        <f t="shared" si="9"/>
        <v>30000</v>
      </c>
      <c r="O14" s="46" t="s">
        <v>827</v>
      </c>
      <c r="P14" s="2">
        <f t="shared" si="2"/>
        <v>2</v>
      </c>
      <c r="Q14" s="2">
        <f t="shared" si="3"/>
        <v>1209</v>
      </c>
      <c r="R14" s="47">
        <v>1</v>
      </c>
      <c r="S14" s="25">
        <f t="shared" si="4"/>
        <v>30</v>
      </c>
      <c r="V14" s="16" t="str">
        <f>'抽奖|MoonBless'!DN14</f>
        <v>超级武器2</v>
      </c>
      <c r="W14" s="2">
        <f>W7*2000000</f>
        <v>13.333333333333336</v>
      </c>
      <c r="X14" s="2">
        <f t="shared" ref="X14:X16" si="11">W14*10</f>
        <v>133.33333333333337</v>
      </c>
      <c r="Y14" s="2">
        <f>'抽奖|MoonBless'!DQ14</f>
        <v>2</v>
      </c>
      <c r="Z14" s="25">
        <f>'抽奖|MoonBless'!DR14</f>
        <v>1006</v>
      </c>
      <c r="AA14" s="111">
        <v>1</v>
      </c>
    </row>
    <row r="15" spans="1:39" x14ac:dyDescent="0.25">
      <c r="A15" s="2">
        <v>11</v>
      </c>
      <c r="B15" s="2">
        <v>1</v>
      </c>
      <c r="C15" s="2" t="s">
        <v>1879</v>
      </c>
      <c r="D15" s="2" t="str">
        <f t="shared" si="8"/>
        <v>2|1007|1</v>
      </c>
      <c r="E15" s="2">
        <v>1</v>
      </c>
      <c r="F15" s="2" t="str">
        <f t="shared" si="10"/>
        <v>2|1204|33000</v>
      </c>
      <c r="G15" s="2">
        <v>0</v>
      </c>
      <c r="H15" s="2">
        <v>100</v>
      </c>
      <c r="K15" s="47">
        <v>33000</v>
      </c>
      <c r="L15" s="2">
        <f t="shared" si="9"/>
        <v>33333</v>
      </c>
      <c r="O15" s="46" t="s">
        <v>1549</v>
      </c>
      <c r="P15" s="2">
        <f t="shared" si="2"/>
        <v>2</v>
      </c>
      <c r="Q15" s="2">
        <f t="shared" si="3"/>
        <v>1007</v>
      </c>
      <c r="R15" s="47">
        <v>1</v>
      </c>
      <c r="S15" s="25">
        <f t="shared" si="4"/>
        <v>33.333333333333336</v>
      </c>
      <c r="V15" s="16" t="str">
        <f>'抽奖|MoonBless'!DN15</f>
        <v>超级武器3</v>
      </c>
      <c r="W15" s="2">
        <f>W7*5000000</f>
        <v>33.333333333333336</v>
      </c>
      <c r="X15" s="2">
        <f t="shared" si="11"/>
        <v>333.33333333333337</v>
      </c>
      <c r="Y15" s="2">
        <f>'抽奖|MoonBless'!DQ15</f>
        <v>2</v>
      </c>
      <c r="Z15" s="25">
        <f>'抽奖|MoonBless'!DR15</f>
        <v>1007</v>
      </c>
      <c r="AA15" s="111">
        <v>1</v>
      </c>
    </row>
    <row r="16" spans="1:39" x14ac:dyDescent="0.25">
      <c r="A16" s="2">
        <v>12</v>
      </c>
      <c r="B16" s="2">
        <v>1</v>
      </c>
      <c r="C16" s="2" t="s">
        <v>1879</v>
      </c>
      <c r="D16" s="2" t="str">
        <f t="shared" si="8"/>
        <v>1|1|100</v>
      </c>
      <c r="E16" s="2">
        <v>1</v>
      </c>
      <c r="F16" s="2" t="str">
        <f t="shared" si="10"/>
        <v>2|1204|10000</v>
      </c>
      <c r="G16" s="2">
        <v>0</v>
      </c>
      <c r="H16" s="2">
        <v>100</v>
      </c>
      <c r="K16" s="2">
        <f t="shared" ref="K16:K20" si="12">L16</f>
        <v>10000</v>
      </c>
      <c r="L16" s="2">
        <f t="shared" si="9"/>
        <v>10000</v>
      </c>
      <c r="M16" s="2">
        <f>K16*5/2</f>
        <v>25000</v>
      </c>
      <c r="O16" s="46" t="s">
        <v>738</v>
      </c>
      <c r="P16" s="2">
        <f t="shared" si="2"/>
        <v>1</v>
      </c>
      <c r="Q16" s="2">
        <f t="shared" si="3"/>
        <v>1</v>
      </c>
      <c r="R16" s="47">
        <v>100</v>
      </c>
      <c r="S16" s="25">
        <f t="shared" si="4"/>
        <v>10</v>
      </c>
      <c r="V16" s="16" t="str">
        <f>'抽奖|MoonBless'!DN16</f>
        <v>超级武器4</v>
      </c>
      <c r="W16" s="2">
        <f>W7*10000000</f>
        <v>66.666666666666671</v>
      </c>
      <c r="X16" s="2">
        <f t="shared" si="11"/>
        <v>666.66666666666674</v>
      </c>
      <c r="Y16" s="2">
        <f>'抽奖|MoonBless'!DQ16</f>
        <v>2</v>
      </c>
      <c r="Z16" s="25">
        <f>'抽奖|MoonBless'!DR16</f>
        <v>1008</v>
      </c>
      <c r="AA16" s="111">
        <v>1</v>
      </c>
    </row>
    <row r="17" spans="1:39" x14ac:dyDescent="0.25">
      <c r="A17" s="2">
        <v>13</v>
      </c>
      <c r="B17" s="2">
        <v>1</v>
      </c>
      <c r="C17" s="2" t="s">
        <v>1879</v>
      </c>
      <c r="D17" s="2" t="str">
        <f t="shared" si="8"/>
        <v>2|1003|10</v>
      </c>
      <c r="E17" s="2">
        <v>1</v>
      </c>
      <c r="F17" s="2" t="str">
        <f t="shared" si="10"/>
        <v>2|1204|20000</v>
      </c>
      <c r="G17" s="2">
        <v>0</v>
      </c>
      <c r="H17" s="2">
        <v>100</v>
      </c>
      <c r="K17" s="2">
        <f t="shared" si="12"/>
        <v>20000</v>
      </c>
      <c r="L17" s="2">
        <f t="shared" si="9"/>
        <v>20000</v>
      </c>
      <c r="O17" s="46" t="s">
        <v>764</v>
      </c>
      <c r="P17" s="2">
        <f t="shared" si="2"/>
        <v>2</v>
      </c>
      <c r="Q17" s="2">
        <f t="shared" si="3"/>
        <v>1003</v>
      </c>
      <c r="R17" s="47">
        <v>10</v>
      </c>
      <c r="S17" s="25">
        <f t="shared" si="4"/>
        <v>20</v>
      </c>
      <c r="V17" s="16" t="str">
        <f>'抽奖|MoonBless'!DN17</f>
        <v>5元话费卡</v>
      </c>
      <c r="W17" s="2">
        <f>'抽奖|MoonBless'!DO17</f>
        <v>5</v>
      </c>
      <c r="X17" s="2">
        <f>'抽奖|MoonBless'!DP17</f>
        <v>50</v>
      </c>
      <c r="Y17" s="2">
        <f>'抽奖|MoonBless'!DQ17</f>
        <v>2</v>
      </c>
      <c r="Z17" s="25">
        <f>'抽奖|MoonBless'!DR17</f>
        <v>1206</v>
      </c>
      <c r="AA17" s="111">
        <v>1</v>
      </c>
    </row>
    <row r="18" spans="1:39" x14ac:dyDescent="0.25">
      <c r="A18" s="2">
        <v>14</v>
      </c>
      <c r="B18" s="2">
        <v>1</v>
      </c>
      <c r="C18" s="2" t="s">
        <v>1879</v>
      </c>
      <c r="D18" s="2" t="str">
        <f t="shared" si="8"/>
        <v>2|1003|5</v>
      </c>
      <c r="E18" s="2">
        <v>1</v>
      </c>
      <c r="F18" s="2" t="str">
        <f t="shared" si="10"/>
        <v>2|1204|10000</v>
      </c>
      <c r="G18" s="2">
        <v>0</v>
      </c>
      <c r="H18" s="2">
        <v>100</v>
      </c>
      <c r="K18" s="2">
        <f t="shared" si="12"/>
        <v>10000</v>
      </c>
      <c r="L18" s="2">
        <f t="shared" si="9"/>
        <v>10000</v>
      </c>
      <c r="O18" s="46" t="s">
        <v>764</v>
      </c>
      <c r="P18" s="2">
        <f t="shared" si="2"/>
        <v>2</v>
      </c>
      <c r="Q18" s="2">
        <f t="shared" si="3"/>
        <v>1003</v>
      </c>
      <c r="R18" s="47">
        <v>5</v>
      </c>
      <c r="S18" s="25">
        <f t="shared" si="4"/>
        <v>10</v>
      </c>
      <c r="V18" s="16" t="str">
        <f>'抽奖|MoonBless'!DN18</f>
        <v>2元话费卡</v>
      </c>
      <c r="W18" s="2">
        <f>'抽奖|MoonBless'!DO18</f>
        <v>2</v>
      </c>
      <c r="X18" s="2">
        <f>'抽奖|MoonBless'!DP18</f>
        <v>20</v>
      </c>
      <c r="Y18" s="2">
        <f>'抽奖|MoonBless'!DQ18</f>
        <v>2</v>
      </c>
      <c r="Z18" s="25">
        <f>'抽奖|MoonBless'!DR18</f>
        <v>1205</v>
      </c>
      <c r="AA18" s="111">
        <v>1</v>
      </c>
    </row>
    <row r="19" spans="1:39" x14ac:dyDescent="0.25">
      <c r="A19" s="2">
        <v>15</v>
      </c>
      <c r="B19" s="2">
        <v>1</v>
      </c>
      <c r="C19" s="2" t="s">
        <v>1879</v>
      </c>
      <c r="D19" s="2" t="str">
        <f t="shared" si="8"/>
        <v>1|2|3000000</v>
      </c>
      <c r="E19" s="2">
        <v>1</v>
      </c>
      <c r="F19" s="2" t="str">
        <f t="shared" si="10"/>
        <v>2|1204|20000</v>
      </c>
      <c r="G19" s="2">
        <v>0</v>
      </c>
      <c r="H19" s="2">
        <v>100</v>
      </c>
      <c r="K19" s="2">
        <f t="shared" si="12"/>
        <v>20000</v>
      </c>
      <c r="L19" s="2">
        <f t="shared" si="9"/>
        <v>20000</v>
      </c>
      <c r="O19" s="46" t="s">
        <v>103</v>
      </c>
      <c r="P19" s="2">
        <f t="shared" si="2"/>
        <v>1</v>
      </c>
      <c r="Q19" s="2">
        <f t="shared" si="3"/>
        <v>2</v>
      </c>
      <c r="R19" s="47">
        <v>3000000</v>
      </c>
      <c r="S19" s="25">
        <f t="shared" si="4"/>
        <v>20.000000000000004</v>
      </c>
      <c r="V19" s="18" t="str">
        <f>'抽奖|MoonBless'!DN19</f>
        <v>高压锅</v>
      </c>
      <c r="W19" s="19">
        <f>'抽奖|MoonBless'!DO19</f>
        <v>200</v>
      </c>
      <c r="X19" s="19">
        <f>'抽奖|MoonBless'!DP19</f>
        <v>2000</v>
      </c>
      <c r="Y19" s="19">
        <f>'抽奖|MoonBless'!DQ19</f>
        <v>2</v>
      </c>
      <c r="Z19" s="27">
        <f>'抽奖|MoonBless'!DR19</f>
        <v>1208</v>
      </c>
      <c r="AA19" s="111">
        <v>1</v>
      </c>
    </row>
    <row r="20" spans="1:39" x14ac:dyDescent="0.25">
      <c r="A20" s="2">
        <v>16</v>
      </c>
      <c r="B20" s="2">
        <v>1</v>
      </c>
      <c r="C20" s="2" t="s">
        <v>1879</v>
      </c>
      <c r="D20" s="2" t="str">
        <f t="shared" si="8"/>
        <v>1|2|1500000</v>
      </c>
      <c r="E20" s="2">
        <v>1</v>
      </c>
      <c r="F20" s="2" t="str">
        <f t="shared" si="10"/>
        <v>2|1204|10000</v>
      </c>
      <c r="G20" s="2">
        <v>0</v>
      </c>
      <c r="H20" s="2">
        <v>100</v>
      </c>
      <c r="K20" s="2">
        <f t="shared" si="12"/>
        <v>10000</v>
      </c>
      <c r="L20" s="2">
        <f t="shared" si="9"/>
        <v>10000</v>
      </c>
      <c r="O20" s="105" t="s">
        <v>103</v>
      </c>
      <c r="P20" s="19">
        <f t="shared" si="2"/>
        <v>1</v>
      </c>
      <c r="Q20" s="19">
        <f t="shared" si="3"/>
        <v>2</v>
      </c>
      <c r="R20" s="50">
        <v>1500000</v>
      </c>
      <c r="S20" s="27">
        <f t="shared" si="4"/>
        <v>10.000000000000002</v>
      </c>
      <c r="V20" s="2" t="str">
        <f>'抽奖|MoonBless'!DN20</f>
        <v>30元话费卡</v>
      </c>
      <c r="W20" s="2">
        <f>'抽奖|MoonBless'!DO20</f>
        <v>30</v>
      </c>
      <c r="X20" s="2">
        <f>'抽奖|MoonBless'!DP20</f>
        <v>300</v>
      </c>
      <c r="Y20" s="2">
        <f>'抽奖|MoonBless'!DQ20</f>
        <v>2</v>
      </c>
      <c r="Z20" s="2">
        <f>'抽奖|MoonBless'!DR20</f>
        <v>1209</v>
      </c>
      <c r="AA20" s="111">
        <v>1</v>
      </c>
    </row>
    <row r="21" spans="1:39" x14ac:dyDescent="0.25">
      <c r="A21" s="2">
        <v>17</v>
      </c>
      <c r="B21" s="2">
        <v>2</v>
      </c>
      <c r="D21" s="2" t="str">
        <f t="shared" ref="D21:D33" si="13">P21&amp;"|"&amp;Q21&amp;"|"&amp;R21</f>
        <v>2|1001|100</v>
      </c>
      <c r="E21" s="2">
        <v>1</v>
      </c>
      <c r="F21" s="2" t="str">
        <f t="shared" si="5"/>
        <v>2|1204|20000</v>
      </c>
      <c r="G21" s="2">
        <v>0</v>
      </c>
      <c r="H21" s="2">
        <v>100</v>
      </c>
      <c r="K21" s="2">
        <f t="shared" si="7"/>
        <v>20000</v>
      </c>
      <c r="L21" s="2">
        <f t="shared" si="1"/>
        <v>20000</v>
      </c>
      <c r="O21" s="46" t="s">
        <v>756</v>
      </c>
      <c r="P21" s="2">
        <f t="shared" si="2"/>
        <v>2</v>
      </c>
      <c r="Q21" s="2">
        <f t="shared" si="3"/>
        <v>1001</v>
      </c>
      <c r="R21" s="47">
        <v>100</v>
      </c>
      <c r="S21" s="25">
        <f t="shared" si="4"/>
        <v>20</v>
      </c>
      <c r="V21" s="2" t="str">
        <f>'抽奖|MoonBless'!DN21</f>
        <v>50元话费卡</v>
      </c>
      <c r="W21" s="2">
        <f>'抽奖|MoonBless'!DO21</f>
        <v>50</v>
      </c>
      <c r="X21" s="2">
        <f>'抽奖|MoonBless'!DP21</f>
        <v>500</v>
      </c>
      <c r="Y21" s="2">
        <f>'抽奖|MoonBless'!DQ21</f>
        <v>2</v>
      </c>
      <c r="Z21" s="2">
        <f>'抽奖|MoonBless'!DR21</f>
        <v>1210</v>
      </c>
      <c r="AA21" s="111">
        <v>1</v>
      </c>
      <c r="AI21" s="2" t="s">
        <v>1493</v>
      </c>
      <c r="AJ21" s="2">
        <f>AJ7*75000</f>
        <v>150</v>
      </c>
      <c r="AK21" s="2">
        <v>2</v>
      </c>
      <c r="AL21" s="2">
        <v>1005</v>
      </c>
      <c r="AM21" s="2">
        <f t="shared" si="6"/>
        <v>15</v>
      </c>
    </row>
    <row r="22" spans="1:39" x14ac:dyDescent="0.25">
      <c r="A22" s="2">
        <v>18</v>
      </c>
      <c r="B22" s="2">
        <v>2</v>
      </c>
      <c r="D22" s="2" t="str">
        <f t="shared" si="13"/>
        <v>2|1001|50</v>
      </c>
      <c r="E22" s="2">
        <v>1</v>
      </c>
      <c r="F22" s="2" t="str">
        <f t="shared" ref="F22:F28" si="14">"2|1204|"&amp;K22</f>
        <v>2|1204|10000</v>
      </c>
      <c r="G22" s="2">
        <v>0</v>
      </c>
      <c r="H22" s="2">
        <v>100</v>
      </c>
      <c r="K22" s="2">
        <f t="shared" si="7"/>
        <v>10000</v>
      </c>
      <c r="L22" s="2">
        <f t="shared" si="1"/>
        <v>10000</v>
      </c>
      <c r="O22" s="46" t="s">
        <v>756</v>
      </c>
      <c r="P22" s="2">
        <f t="shared" si="2"/>
        <v>2</v>
      </c>
      <c r="Q22" s="2">
        <f t="shared" si="3"/>
        <v>1001</v>
      </c>
      <c r="R22" s="47">
        <v>50</v>
      </c>
      <c r="S22" s="25">
        <f t="shared" si="4"/>
        <v>10</v>
      </c>
      <c r="V22" s="2" t="str">
        <f>'抽奖|MoonBless'!DN22</f>
        <v>活跃度</v>
      </c>
      <c r="W22" s="2">
        <f>'抽奖|MoonBless'!DO22</f>
        <v>1</v>
      </c>
      <c r="X22" s="2">
        <f>'抽奖|MoonBless'!DP22</f>
        <v>10</v>
      </c>
      <c r="Y22" s="2">
        <f>'抽奖|MoonBless'!DQ22</f>
        <v>1</v>
      </c>
      <c r="Z22" s="2">
        <f>'抽奖|MoonBless'!DR22</f>
        <v>6</v>
      </c>
      <c r="AA22" s="111">
        <v>1</v>
      </c>
      <c r="AI22" s="2" t="s">
        <v>1540</v>
      </c>
      <c r="AJ22" s="2">
        <f>AJ7*125000</f>
        <v>250</v>
      </c>
      <c r="AK22" s="2">
        <v>2</v>
      </c>
      <c r="AL22" s="2">
        <v>1006</v>
      </c>
      <c r="AM22" s="2">
        <f t="shared" si="6"/>
        <v>25</v>
      </c>
    </row>
    <row r="23" spans="1:39" x14ac:dyDescent="0.25">
      <c r="A23" s="2">
        <v>19</v>
      </c>
      <c r="B23" s="2">
        <v>2</v>
      </c>
      <c r="D23" s="2" t="str">
        <f t="shared" si="13"/>
        <v>2|1007|1</v>
      </c>
      <c r="E23" s="2">
        <v>1</v>
      </c>
      <c r="F23" s="2" t="str">
        <f t="shared" si="14"/>
        <v>2|1204|13300</v>
      </c>
      <c r="G23" s="2">
        <v>0</v>
      </c>
      <c r="H23" s="2">
        <v>100</v>
      </c>
      <c r="K23" s="47">
        <f>K7</f>
        <v>13300</v>
      </c>
      <c r="L23" s="2">
        <f t="shared" si="1"/>
        <v>33333</v>
      </c>
      <c r="O23" s="46" t="s">
        <v>1549</v>
      </c>
      <c r="P23" s="2">
        <f t="shared" si="2"/>
        <v>2</v>
      </c>
      <c r="Q23" s="2">
        <f t="shared" si="3"/>
        <v>1007</v>
      </c>
      <c r="R23" s="47">
        <v>1</v>
      </c>
      <c r="S23" s="25">
        <f t="shared" si="4"/>
        <v>33.333333333333336</v>
      </c>
      <c r="V23" s="2" t="str">
        <f>'抽奖|MoonBless'!DN23</f>
        <v>红包【恭】</v>
      </c>
      <c r="W23" s="2">
        <f>'抽奖|MoonBless'!DO23</f>
        <v>1</v>
      </c>
      <c r="X23" s="2">
        <f>'抽奖|MoonBless'!DP23</f>
        <v>10</v>
      </c>
      <c r="Y23" s="2">
        <f>'抽奖|MoonBless'!DQ23</f>
        <v>2</v>
      </c>
      <c r="Z23" s="2">
        <f>'抽奖|MoonBless'!DR23</f>
        <v>1301</v>
      </c>
      <c r="AA23" s="111">
        <v>1</v>
      </c>
      <c r="AI23" s="2" t="s">
        <v>1549</v>
      </c>
      <c r="AJ23" s="2">
        <f>AJ7*250000</f>
        <v>500</v>
      </c>
      <c r="AK23" s="2">
        <v>2</v>
      </c>
      <c r="AL23" s="2">
        <v>1007</v>
      </c>
      <c r="AM23" s="2">
        <f t="shared" si="6"/>
        <v>50</v>
      </c>
    </row>
    <row r="24" spans="1:39" x14ac:dyDescent="0.25">
      <c r="A24" s="2">
        <v>20</v>
      </c>
      <c r="B24" s="2">
        <v>2</v>
      </c>
      <c r="D24" s="2" t="str">
        <f t="shared" si="13"/>
        <v>2|1006|1</v>
      </c>
      <c r="E24" s="2">
        <v>1</v>
      </c>
      <c r="F24" s="2" t="str">
        <f t="shared" si="14"/>
        <v>2|1204|10000</v>
      </c>
      <c r="G24" s="2">
        <v>0</v>
      </c>
      <c r="H24" s="2">
        <v>100</v>
      </c>
      <c r="K24" s="47">
        <f>K8</f>
        <v>10000</v>
      </c>
      <c r="L24" s="2">
        <f t="shared" si="1"/>
        <v>13333</v>
      </c>
      <c r="O24" s="46" t="s">
        <v>1540</v>
      </c>
      <c r="P24" s="2">
        <f t="shared" si="2"/>
        <v>2</v>
      </c>
      <c r="Q24" s="2">
        <f t="shared" si="3"/>
        <v>1006</v>
      </c>
      <c r="R24" s="47">
        <v>1</v>
      </c>
      <c r="S24" s="25">
        <f t="shared" si="4"/>
        <v>13.333333333333336</v>
      </c>
      <c r="V24" s="2" t="str">
        <f>'抽奖|MoonBless'!DN24</f>
        <v>红包【喜】</v>
      </c>
      <c r="W24" s="2">
        <f>'抽奖|MoonBless'!DO24</f>
        <v>1</v>
      </c>
      <c r="X24" s="2">
        <f>'抽奖|MoonBless'!DP24</f>
        <v>10</v>
      </c>
      <c r="Y24" s="2">
        <f>'抽奖|MoonBless'!DQ24</f>
        <v>2</v>
      </c>
      <c r="Z24" s="2">
        <f>'抽奖|MoonBless'!DR24</f>
        <v>1302</v>
      </c>
      <c r="AA24" s="111">
        <v>1</v>
      </c>
      <c r="AI24" s="2" t="s">
        <v>1539</v>
      </c>
      <c r="AJ24" s="2">
        <f>AJ7*500000</f>
        <v>1000</v>
      </c>
      <c r="AK24" s="2">
        <v>2</v>
      </c>
      <c r="AL24" s="2">
        <v>1008</v>
      </c>
      <c r="AM24" s="2">
        <f t="shared" si="6"/>
        <v>100</v>
      </c>
    </row>
    <row r="25" spans="1:39" x14ac:dyDescent="0.25">
      <c r="A25" s="2">
        <v>21</v>
      </c>
      <c r="B25" s="2">
        <v>2</v>
      </c>
      <c r="D25" s="2" t="str">
        <f t="shared" si="13"/>
        <v>2|1003|10</v>
      </c>
      <c r="E25" s="2">
        <v>1</v>
      </c>
      <c r="F25" s="2" t="str">
        <f t="shared" si="14"/>
        <v>2|1204|20000</v>
      </c>
      <c r="G25" s="2">
        <v>0</v>
      </c>
      <c r="H25" s="2">
        <v>100</v>
      </c>
      <c r="K25" s="2">
        <f t="shared" si="7"/>
        <v>20000</v>
      </c>
      <c r="L25" s="2">
        <f t="shared" si="1"/>
        <v>20000</v>
      </c>
      <c r="O25" s="46" t="s">
        <v>764</v>
      </c>
      <c r="P25" s="2">
        <f t="shared" si="2"/>
        <v>2</v>
      </c>
      <c r="Q25" s="2">
        <f t="shared" si="3"/>
        <v>1003</v>
      </c>
      <c r="R25" s="47">
        <v>10</v>
      </c>
      <c r="S25" s="25">
        <f t="shared" si="4"/>
        <v>20</v>
      </c>
      <c r="V25" s="2" t="str">
        <f>'抽奖|MoonBless'!DN25</f>
        <v>红包【发】</v>
      </c>
      <c r="W25" s="2">
        <f>'抽奖|MoonBless'!DO25</f>
        <v>1</v>
      </c>
      <c r="X25" s="2">
        <f>'抽奖|MoonBless'!DP25</f>
        <v>10</v>
      </c>
      <c r="Y25" s="2">
        <f>'抽奖|MoonBless'!DQ25</f>
        <v>2</v>
      </c>
      <c r="Z25" s="2">
        <f>'抽奖|MoonBless'!DR25</f>
        <v>1303</v>
      </c>
      <c r="AA25" s="111">
        <v>1</v>
      </c>
    </row>
    <row r="26" spans="1:39" x14ac:dyDescent="0.25">
      <c r="A26" s="2">
        <v>22</v>
      </c>
      <c r="B26" s="2">
        <v>2</v>
      </c>
      <c r="D26" s="2" t="str">
        <f t="shared" si="13"/>
        <v>2|1003|5</v>
      </c>
      <c r="E26" s="2">
        <v>1</v>
      </c>
      <c r="F26" s="2" t="str">
        <f t="shared" si="14"/>
        <v>2|1204|10000</v>
      </c>
      <c r="G26" s="2">
        <v>0</v>
      </c>
      <c r="H26" s="2">
        <v>100</v>
      </c>
      <c r="K26" s="2">
        <f t="shared" si="7"/>
        <v>10000</v>
      </c>
      <c r="L26" s="2">
        <f t="shared" si="1"/>
        <v>10000</v>
      </c>
      <c r="O26" s="46" t="s">
        <v>764</v>
      </c>
      <c r="P26" s="2">
        <f t="shared" si="2"/>
        <v>2</v>
      </c>
      <c r="Q26" s="2">
        <f t="shared" si="3"/>
        <v>1003</v>
      </c>
      <c r="R26" s="47">
        <v>5</v>
      </c>
      <c r="S26" s="25">
        <f t="shared" si="4"/>
        <v>10</v>
      </c>
      <c r="V26" s="2" t="str">
        <f>'抽奖|MoonBless'!DN26</f>
        <v>红包【财】</v>
      </c>
      <c r="W26" s="2">
        <f>'抽奖|MoonBless'!DO26</f>
        <v>1</v>
      </c>
      <c r="X26" s="2">
        <f>'抽奖|MoonBless'!DP26</f>
        <v>10</v>
      </c>
      <c r="Y26" s="2">
        <f>'抽奖|MoonBless'!DQ26</f>
        <v>2</v>
      </c>
      <c r="Z26" s="2">
        <f>'抽奖|MoonBless'!DR26</f>
        <v>1304</v>
      </c>
      <c r="AA26" s="111">
        <v>1</v>
      </c>
    </row>
    <row r="27" spans="1:39" x14ac:dyDescent="0.25">
      <c r="A27" s="2">
        <v>23</v>
      </c>
      <c r="B27" s="2">
        <v>2</v>
      </c>
      <c r="D27" s="2" t="str">
        <f t="shared" si="13"/>
        <v>1|2|3000000</v>
      </c>
      <c r="E27" s="2">
        <v>1</v>
      </c>
      <c r="F27" s="2" t="str">
        <f t="shared" si="14"/>
        <v>2|1204|20000</v>
      </c>
      <c r="G27" s="2">
        <v>0</v>
      </c>
      <c r="H27" s="2">
        <v>100</v>
      </c>
      <c r="K27" s="2">
        <f t="shared" si="7"/>
        <v>20000</v>
      </c>
      <c r="L27" s="2">
        <f t="shared" si="1"/>
        <v>20000</v>
      </c>
      <c r="O27" s="46" t="s">
        <v>103</v>
      </c>
      <c r="P27" s="2">
        <f t="shared" si="2"/>
        <v>1</v>
      </c>
      <c r="Q27" s="2">
        <f t="shared" si="3"/>
        <v>2</v>
      </c>
      <c r="R27" s="47">
        <v>3000000</v>
      </c>
      <c r="S27" s="25">
        <f t="shared" si="4"/>
        <v>20.000000000000004</v>
      </c>
      <c r="V27" s="2" t="str">
        <f>'抽奖|MoonBless'!DN27</f>
        <v>双轮</v>
      </c>
      <c r="W27" s="2">
        <f>'抽奖|MoonBless'!DO27</f>
        <v>100</v>
      </c>
      <c r="X27" s="2">
        <f>'抽奖|MoonBless'!DP27</f>
        <v>1000</v>
      </c>
      <c r="Y27" s="2">
        <f>'抽奖|MoonBless'!DQ27</f>
        <v>2</v>
      </c>
      <c r="Z27" s="2">
        <f>'抽奖|MoonBless'!DR27</f>
        <v>1500</v>
      </c>
      <c r="AA27" s="111">
        <v>1</v>
      </c>
    </row>
    <row r="28" spans="1:39" x14ac:dyDescent="0.25">
      <c r="A28" s="2">
        <v>24</v>
      </c>
      <c r="B28" s="2">
        <v>2</v>
      </c>
      <c r="D28" s="2" t="str">
        <f t="shared" si="13"/>
        <v>1|2|1500000</v>
      </c>
      <c r="E28" s="2">
        <v>1</v>
      </c>
      <c r="F28" s="2" t="str">
        <f t="shared" si="14"/>
        <v>2|1204|10000</v>
      </c>
      <c r="G28" s="2">
        <v>0</v>
      </c>
      <c r="H28" s="2">
        <v>100</v>
      </c>
      <c r="K28" s="2">
        <f t="shared" si="7"/>
        <v>10000</v>
      </c>
      <c r="L28" s="2">
        <f t="shared" si="1"/>
        <v>10000</v>
      </c>
      <c r="O28" s="105" t="s">
        <v>103</v>
      </c>
      <c r="P28" s="19">
        <f t="shared" si="2"/>
        <v>1</v>
      </c>
      <c r="Q28" s="19">
        <f t="shared" si="3"/>
        <v>2</v>
      </c>
      <c r="R28" s="50">
        <v>1500000</v>
      </c>
      <c r="S28" s="27">
        <f t="shared" si="4"/>
        <v>10.000000000000002</v>
      </c>
      <c r="V28" s="2" t="str">
        <f>'抽奖|MoonBless'!DN28</f>
        <v>橄榄油</v>
      </c>
      <c r="W28" s="2">
        <f>'抽奖|MoonBless'!DO28</f>
        <v>200</v>
      </c>
      <c r="X28" s="2">
        <f>'抽奖|MoonBless'!DP28</f>
        <v>2000</v>
      </c>
      <c r="Y28" s="2">
        <f>'抽奖|MoonBless'!DQ28</f>
        <v>2</v>
      </c>
      <c r="Z28" s="2">
        <f>'抽奖|MoonBless'!DR28</f>
        <v>1503</v>
      </c>
      <c r="AA28" s="111">
        <v>1</v>
      </c>
    </row>
    <row r="29" spans="1:39" x14ac:dyDescent="0.25">
      <c r="A29" s="2">
        <v>25</v>
      </c>
      <c r="B29" s="2">
        <v>1</v>
      </c>
      <c r="C29" s="2" t="s">
        <v>1878</v>
      </c>
      <c r="D29" s="2" t="str">
        <f t="shared" si="13"/>
        <v>2|1007|1</v>
      </c>
      <c r="E29" s="2">
        <v>2</v>
      </c>
      <c r="F29" s="2" t="str">
        <f t="shared" ref="F29:F33" si="15">"2|1213|"&amp;K29</f>
        <v>2|1213|30</v>
      </c>
      <c r="G29" s="2">
        <v>0</v>
      </c>
      <c r="I29" s="2">
        <v>1</v>
      </c>
      <c r="J29" s="2">
        <v>1</v>
      </c>
      <c r="K29" s="47">
        <v>30</v>
      </c>
      <c r="L29" s="2">
        <f t="shared" ref="L29:L43" si="16">ROUND(S29/$W$30,0)</f>
        <v>33</v>
      </c>
      <c r="O29" s="46" t="s">
        <v>1549</v>
      </c>
      <c r="P29" s="45">
        <f t="shared" si="2"/>
        <v>2</v>
      </c>
      <c r="Q29" s="45">
        <f t="shared" si="3"/>
        <v>1007</v>
      </c>
      <c r="R29" s="107">
        <v>1</v>
      </c>
      <c r="S29" s="54">
        <f t="shared" si="4"/>
        <v>33.333333333333336</v>
      </c>
      <c r="V29" s="2" t="str">
        <f>'抽奖|MoonBless'!DN29</f>
        <v>米面礼包</v>
      </c>
      <c r="W29" s="2">
        <f>'抽奖|MoonBless'!DO29</f>
        <v>275</v>
      </c>
      <c r="X29" s="2">
        <f>'抽奖|MoonBless'!DP29</f>
        <v>2750</v>
      </c>
      <c r="Y29" s="2">
        <f>'抽奖|MoonBless'!DQ29</f>
        <v>2</v>
      </c>
      <c r="Z29" s="2">
        <f>'抽奖|MoonBless'!DR29</f>
        <v>1504</v>
      </c>
      <c r="AA29" s="111">
        <v>1</v>
      </c>
    </row>
    <row r="30" spans="1:39" x14ac:dyDescent="0.25">
      <c r="A30" s="2">
        <v>26</v>
      </c>
      <c r="B30" s="2">
        <v>1</v>
      </c>
      <c r="C30" s="2" t="s">
        <v>1878</v>
      </c>
      <c r="D30" s="2" t="str">
        <f t="shared" si="13"/>
        <v>2|1006|1</v>
      </c>
      <c r="E30" s="2">
        <v>2</v>
      </c>
      <c r="F30" s="2" t="str">
        <f t="shared" si="15"/>
        <v>2|1213|12</v>
      </c>
      <c r="G30" s="2">
        <v>0</v>
      </c>
      <c r="I30" s="2">
        <v>1</v>
      </c>
      <c r="K30" s="47">
        <v>12</v>
      </c>
      <c r="L30" s="2">
        <f t="shared" si="16"/>
        <v>13</v>
      </c>
      <c r="O30" s="46" t="s">
        <v>1540</v>
      </c>
      <c r="P30" s="2">
        <f t="shared" si="2"/>
        <v>2</v>
      </c>
      <c r="Q30" s="2">
        <f t="shared" si="3"/>
        <v>1006</v>
      </c>
      <c r="R30" s="47">
        <v>1</v>
      </c>
      <c r="S30" s="25">
        <f t="shared" si="4"/>
        <v>13.333333333333336</v>
      </c>
      <c r="V30" s="2" t="str">
        <f>'抽奖|MoonBless'!DN30</f>
        <v>买单券</v>
      </c>
      <c r="W30" s="2">
        <f>W12*1000</f>
        <v>1</v>
      </c>
      <c r="X30" s="2">
        <f>W30*10</f>
        <v>10</v>
      </c>
      <c r="Y30" s="2">
        <f>'抽奖|MoonBless'!DQ30</f>
        <v>2</v>
      </c>
      <c r="Z30" s="2">
        <f>'抽奖|MoonBless'!DR30</f>
        <v>1213</v>
      </c>
      <c r="AA30" s="111">
        <v>1</v>
      </c>
    </row>
    <row r="31" spans="1:39" x14ac:dyDescent="0.25">
      <c r="A31" s="2">
        <v>27</v>
      </c>
      <c r="B31" s="2">
        <v>1</v>
      </c>
      <c r="C31" s="2" t="s">
        <v>1878</v>
      </c>
      <c r="D31" s="2" t="str">
        <f t="shared" si="13"/>
        <v>1|2|3000000</v>
      </c>
      <c r="E31" s="2">
        <v>2</v>
      </c>
      <c r="F31" s="2" t="str">
        <f t="shared" si="15"/>
        <v>2|1213|20</v>
      </c>
      <c r="G31" s="2">
        <v>0</v>
      </c>
      <c r="I31" s="2">
        <v>3</v>
      </c>
      <c r="K31" s="2">
        <f t="shared" ref="K31:K43" si="17">L31</f>
        <v>20</v>
      </c>
      <c r="L31" s="2">
        <f t="shared" si="16"/>
        <v>20</v>
      </c>
      <c r="O31" s="46" t="s">
        <v>103</v>
      </c>
      <c r="P31" s="2">
        <f t="shared" si="2"/>
        <v>1</v>
      </c>
      <c r="Q31" s="2">
        <f t="shared" si="3"/>
        <v>2</v>
      </c>
      <c r="R31" s="47">
        <v>3000000</v>
      </c>
      <c r="S31" s="25">
        <f t="shared" si="4"/>
        <v>20.000000000000004</v>
      </c>
    </row>
    <row r="32" spans="1:39" x14ac:dyDescent="0.25">
      <c r="A32" s="2">
        <v>28</v>
      </c>
      <c r="B32" s="2">
        <v>1</v>
      </c>
      <c r="C32" s="2" t="s">
        <v>1878</v>
      </c>
      <c r="D32" s="2" t="str">
        <f t="shared" si="13"/>
        <v>1|2|1500000</v>
      </c>
      <c r="E32" s="2">
        <v>2</v>
      </c>
      <c r="F32" s="2" t="str">
        <f t="shared" si="15"/>
        <v>2|1213|10</v>
      </c>
      <c r="G32" s="2">
        <v>0</v>
      </c>
      <c r="H32"/>
      <c r="I32" s="2">
        <v>3</v>
      </c>
      <c r="J32"/>
      <c r="K32" s="2">
        <f t="shared" si="17"/>
        <v>10</v>
      </c>
      <c r="L32" s="2">
        <f t="shared" si="16"/>
        <v>10</v>
      </c>
      <c r="M32"/>
      <c r="N32"/>
      <c r="O32" s="46" t="s">
        <v>103</v>
      </c>
      <c r="P32" s="2">
        <f t="shared" si="2"/>
        <v>1</v>
      </c>
      <c r="Q32" s="2">
        <f t="shared" si="3"/>
        <v>2</v>
      </c>
      <c r="R32" s="47">
        <v>1500000</v>
      </c>
      <c r="S32" s="25">
        <f t="shared" si="4"/>
        <v>10.000000000000002</v>
      </c>
    </row>
    <row r="33" spans="1:19" x14ac:dyDescent="0.25">
      <c r="A33" s="2">
        <v>29</v>
      </c>
      <c r="B33" s="2">
        <v>1</v>
      </c>
      <c r="C33" s="2" t="s">
        <v>1878</v>
      </c>
      <c r="D33" s="2" t="str">
        <f t="shared" si="13"/>
        <v>1|1|200</v>
      </c>
      <c r="E33" s="2">
        <v>2</v>
      </c>
      <c r="F33" s="2" t="str">
        <f t="shared" si="15"/>
        <v>2|1213|20</v>
      </c>
      <c r="G33" s="2">
        <v>0</v>
      </c>
      <c r="H33"/>
      <c r="I33" s="2">
        <v>3</v>
      </c>
      <c r="J33"/>
      <c r="K33" s="2">
        <f t="shared" si="17"/>
        <v>20</v>
      </c>
      <c r="L33" s="2">
        <f t="shared" si="16"/>
        <v>20</v>
      </c>
      <c r="M33"/>
      <c r="N33"/>
      <c r="O33" s="105" t="s">
        <v>738</v>
      </c>
      <c r="P33" s="19">
        <f t="shared" si="2"/>
        <v>1</v>
      </c>
      <c r="Q33" s="19">
        <f t="shared" si="3"/>
        <v>1</v>
      </c>
      <c r="R33" s="50">
        <v>200</v>
      </c>
      <c r="S33" s="27">
        <f t="shared" si="4"/>
        <v>20</v>
      </c>
    </row>
    <row r="34" spans="1:19" x14ac:dyDescent="0.25">
      <c r="A34" s="2">
        <v>25</v>
      </c>
      <c r="B34" s="2">
        <v>1</v>
      </c>
      <c r="C34" s="2" t="s">
        <v>1879</v>
      </c>
      <c r="D34" s="2" t="str">
        <f t="shared" ref="D34:D38" si="18">P34&amp;"|"&amp;Q34&amp;"|"&amp;R34</f>
        <v>2|1210|1</v>
      </c>
      <c r="E34" s="2">
        <v>2</v>
      </c>
      <c r="F34" s="2" t="str">
        <f t="shared" ref="F34:F38" si="19">"2|1213|"&amp;K34</f>
        <v>2|1213|48</v>
      </c>
      <c r="G34" s="2">
        <v>0</v>
      </c>
      <c r="I34" s="2">
        <v>1</v>
      </c>
      <c r="J34" s="2">
        <v>1</v>
      </c>
      <c r="K34" s="47">
        <v>48</v>
      </c>
      <c r="L34" s="2">
        <f t="shared" si="16"/>
        <v>50</v>
      </c>
      <c r="O34" s="106" t="s">
        <v>831</v>
      </c>
      <c r="P34" s="45">
        <f t="shared" si="2"/>
        <v>2</v>
      </c>
      <c r="Q34" s="45">
        <f t="shared" si="3"/>
        <v>1210</v>
      </c>
      <c r="R34" s="107">
        <v>1</v>
      </c>
      <c r="S34" s="54">
        <f t="shared" si="4"/>
        <v>50</v>
      </c>
    </row>
    <row r="35" spans="1:19" x14ac:dyDescent="0.25">
      <c r="A35" s="2">
        <v>26</v>
      </c>
      <c r="B35" s="2">
        <v>1</v>
      </c>
      <c r="C35" s="2" t="s">
        <v>1879</v>
      </c>
      <c r="D35" s="2" t="str">
        <f t="shared" si="18"/>
        <v>2|1007|1</v>
      </c>
      <c r="E35" s="2">
        <v>2</v>
      </c>
      <c r="F35" s="2" t="str">
        <f t="shared" si="19"/>
        <v>2|1213|30</v>
      </c>
      <c r="G35" s="2">
        <v>0</v>
      </c>
      <c r="I35" s="2">
        <v>1</v>
      </c>
      <c r="K35" s="47">
        <v>30</v>
      </c>
      <c r="L35" s="2">
        <f t="shared" si="16"/>
        <v>33</v>
      </c>
      <c r="O35" s="46" t="s">
        <v>1549</v>
      </c>
      <c r="P35" s="2">
        <f t="shared" si="2"/>
        <v>2</v>
      </c>
      <c r="Q35" s="2">
        <f t="shared" si="3"/>
        <v>1007</v>
      </c>
      <c r="R35" s="47">
        <v>1</v>
      </c>
      <c r="S35" s="25">
        <f t="shared" si="4"/>
        <v>33.333333333333336</v>
      </c>
    </row>
    <row r="36" spans="1:19" x14ac:dyDescent="0.25">
      <c r="A36" s="2">
        <v>27</v>
      </c>
      <c r="B36" s="2">
        <v>1</v>
      </c>
      <c r="C36" s="2" t="s">
        <v>1879</v>
      </c>
      <c r="D36" s="2" t="str">
        <f t="shared" si="18"/>
        <v>1|2|3000000</v>
      </c>
      <c r="E36" s="2">
        <v>2</v>
      </c>
      <c r="F36" s="2" t="str">
        <f t="shared" si="19"/>
        <v>2|1213|20</v>
      </c>
      <c r="G36" s="2">
        <v>0</v>
      </c>
      <c r="I36" s="2">
        <v>3</v>
      </c>
      <c r="K36" s="2">
        <f t="shared" ref="K36:K38" si="20">L36</f>
        <v>20</v>
      </c>
      <c r="L36" s="2">
        <f t="shared" si="16"/>
        <v>20</v>
      </c>
      <c r="O36" s="46" t="s">
        <v>103</v>
      </c>
      <c r="P36" s="2">
        <f t="shared" si="2"/>
        <v>1</v>
      </c>
      <c r="Q36" s="2">
        <f t="shared" si="3"/>
        <v>2</v>
      </c>
      <c r="R36" s="47">
        <v>3000000</v>
      </c>
      <c r="S36" s="25">
        <f t="shared" si="4"/>
        <v>20.000000000000004</v>
      </c>
    </row>
    <row r="37" spans="1:19" x14ac:dyDescent="0.25">
      <c r="A37" s="2">
        <v>28</v>
      </c>
      <c r="B37" s="2">
        <v>1</v>
      </c>
      <c r="C37" s="2" t="s">
        <v>1879</v>
      </c>
      <c r="D37" s="2" t="str">
        <f t="shared" si="18"/>
        <v>1|2|1500000</v>
      </c>
      <c r="E37" s="2">
        <v>2</v>
      </c>
      <c r="F37" s="2" t="str">
        <f t="shared" si="19"/>
        <v>2|1213|10</v>
      </c>
      <c r="G37" s="2">
        <v>0</v>
      </c>
      <c r="H37"/>
      <c r="I37" s="2">
        <v>3</v>
      </c>
      <c r="J37"/>
      <c r="K37" s="2">
        <f t="shared" si="20"/>
        <v>10</v>
      </c>
      <c r="L37" s="2">
        <f t="shared" si="16"/>
        <v>10</v>
      </c>
      <c r="M37"/>
      <c r="N37"/>
      <c r="O37" s="46" t="s">
        <v>103</v>
      </c>
      <c r="P37" s="2">
        <f t="shared" si="2"/>
        <v>1</v>
      </c>
      <c r="Q37" s="2">
        <f t="shared" si="3"/>
        <v>2</v>
      </c>
      <c r="R37" s="47">
        <v>1500000</v>
      </c>
      <c r="S37" s="25">
        <f t="shared" si="4"/>
        <v>10.000000000000002</v>
      </c>
    </row>
    <row r="38" spans="1:19" x14ac:dyDescent="0.25">
      <c r="A38" s="2">
        <v>29</v>
      </c>
      <c r="B38" s="2">
        <v>1</v>
      </c>
      <c r="C38" s="2" t="s">
        <v>1879</v>
      </c>
      <c r="D38" s="2" t="str">
        <f t="shared" si="18"/>
        <v>1|1|200</v>
      </c>
      <c r="E38" s="2">
        <v>2</v>
      </c>
      <c r="F38" s="2" t="str">
        <f t="shared" si="19"/>
        <v>2|1213|20</v>
      </c>
      <c r="G38" s="2">
        <v>0</v>
      </c>
      <c r="H38"/>
      <c r="I38" s="2">
        <v>3</v>
      </c>
      <c r="J38"/>
      <c r="K38" s="2">
        <f t="shared" si="20"/>
        <v>20</v>
      </c>
      <c r="L38" s="2">
        <f t="shared" si="16"/>
        <v>20</v>
      </c>
      <c r="M38"/>
      <c r="N38"/>
      <c r="O38" s="105" t="s">
        <v>738</v>
      </c>
      <c r="P38" s="19">
        <f t="shared" si="2"/>
        <v>1</v>
      </c>
      <c r="Q38" s="19">
        <f t="shared" si="3"/>
        <v>1</v>
      </c>
      <c r="R38" s="50">
        <v>200</v>
      </c>
      <c r="S38" s="27">
        <f t="shared" si="4"/>
        <v>20</v>
      </c>
    </row>
    <row r="39" spans="1:19" x14ac:dyDescent="0.25">
      <c r="A39" s="2">
        <v>30</v>
      </c>
      <c r="B39" s="2">
        <v>2</v>
      </c>
      <c r="D39" s="2" t="str">
        <f t="shared" ref="D39:D43" si="21">P39&amp;"|"&amp;Q39&amp;"|"&amp;R39</f>
        <v>2|1007|1</v>
      </c>
      <c r="E39" s="2">
        <v>2</v>
      </c>
      <c r="F39" s="2" t="str">
        <f t="shared" ref="F39:F43" si="22">"2|1213|"&amp;K39</f>
        <v>2|1213|30</v>
      </c>
      <c r="G39" s="2">
        <v>0</v>
      </c>
      <c r="I39" s="2">
        <v>1</v>
      </c>
      <c r="J39" s="2">
        <v>1</v>
      </c>
      <c r="K39" s="47">
        <v>30</v>
      </c>
      <c r="L39" s="2">
        <f t="shared" si="16"/>
        <v>33</v>
      </c>
      <c r="O39" s="46" t="s">
        <v>1549</v>
      </c>
      <c r="P39" s="45">
        <f t="shared" si="2"/>
        <v>2</v>
      </c>
      <c r="Q39" s="45">
        <f t="shared" si="3"/>
        <v>1007</v>
      </c>
      <c r="R39" s="107">
        <v>1</v>
      </c>
      <c r="S39" s="54">
        <f t="shared" si="4"/>
        <v>33.333333333333336</v>
      </c>
    </row>
    <row r="40" spans="1:19" x14ac:dyDescent="0.25">
      <c r="A40" s="2">
        <v>31</v>
      </c>
      <c r="B40" s="2">
        <v>2</v>
      </c>
      <c r="D40" s="2" t="str">
        <f t="shared" si="21"/>
        <v>2|1006|1</v>
      </c>
      <c r="E40" s="2">
        <v>2</v>
      </c>
      <c r="F40" s="2" t="str">
        <f t="shared" si="22"/>
        <v>2|1213|12</v>
      </c>
      <c r="G40" s="2">
        <v>0</v>
      </c>
      <c r="I40" s="2">
        <v>1</v>
      </c>
      <c r="K40" s="47">
        <v>12</v>
      </c>
      <c r="L40" s="2">
        <f t="shared" si="16"/>
        <v>13</v>
      </c>
      <c r="M40" s="2">
        <f>K40*5/2</f>
        <v>30</v>
      </c>
      <c r="O40" s="46" t="s">
        <v>1540</v>
      </c>
      <c r="P40" s="2">
        <f t="shared" si="2"/>
        <v>2</v>
      </c>
      <c r="Q40" s="2">
        <f t="shared" si="3"/>
        <v>1006</v>
      </c>
      <c r="R40" s="47">
        <v>1</v>
      </c>
      <c r="S40" s="25">
        <f t="shared" si="4"/>
        <v>13.333333333333336</v>
      </c>
    </row>
    <row r="41" spans="1:19" x14ac:dyDescent="0.25">
      <c r="A41" s="2">
        <v>32</v>
      </c>
      <c r="B41" s="2">
        <v>2</v>
      </c>
      <c r="D41" s="2" t="str">
        <f t="shared" si="21"/>
        <v>1|2|3000000</v>
      </c>
      <c r="E41" s="2">
        <v>2</v>
      </c>
      <c r="F41" s="2" t="str">
        <f t="shared" si="22"/>
        <v>2|1213|20</v>
      </c>
      <c r="G41" s="2">
        <v>0</v>
      </c>
      <c r="I41" s="2">
        <v>3</v>
      </c>
      <c r="K41" s="2">
        <f t="shared" si="17"/>
        <v>20</v>
      </c>
      <c r="L41" s="2">
        <f t="shared" si="16"/>
        <v>20</v>
      </c>
      <c r="O41" s="46" t="s">
        <v>103</v>
      </c>
      <c r="P41" s="2">
        <f t="shared" si="2"/>
        <v>1</v>
      </c>
      <c r="Q41" s="2">
        <f t="shared" si="3"/>
        <v>2</v>
      </c>
      <c r="R41" s="47">
        <v>3000000</v>
      </c>
      <c r="S41" s="25">
        <f t="shared" si="4"/>
        <v>20.000000000000004</v>
      </c>
    </row>
    <row r="42" spans="1:19" x14ac:dyDescent="0.25">
      <c r="A42" s="2">
        <v>33</v>
      </c>
      <c r="B42" s="2">
        <v>2</v>
      </c>
      <c r="D42" s="2" t="str">
        <f t="shared" si="21"/>
        <v>1|2|1500000</v>
      </c>
      <c r="E42" s="2">
        <v>2</v>
      </c>
      <c r="F42" s="2" t="str">
        <f t="shared" si="22"/>
        <v>2|1213|10</v>
      </c>
      <c r="G42" s="2">
        <v>0</v>
      </c>
      <c r="H42"/>
      <c r="I42" s="2">
        <v>3</v>
      </c>
      <c r="J42"/>
      <c r="K42" s="2">
        <f t="shared" si="17"/>
        <v>10</v>
      </c>
      <c r="L42" s="2">
        <f t="shared" si="16"/>
        <v>10</v>
      </c>
      <c r="M42"/>
      <c r="N42"/>
      <c r="O42" s="46" t="s">
        <v>103</v>
      </c>
      <c r="P42" s="2">
        <f t="shared" si="2"/>
        <v>1</v>
      </c>
      <c r="Q42" s="2">
        <f t="shared" si="3"/>
        <v>2</v>
      </c>
      <c r="R42" s="47">
        <v>1500000</v>
      </c>
      <c r="S42" s="25">
        <f t="shared" si="4"/>
        <v>10.000000000000002</v>
      </c>
    </row>
    <row r="43" spans="1:19" x14ac:dyDescent="0.25">
      <c r="A43" s="2">
        <v>34</v>
      </c>
      <c r="B43" s="2">
        <v>2</v>
      </c>
      <c r="D43" s="2" t="str">
        <f t="shared" si="21"/>
        <v>1|1|200</v>
      </c>
      <c r="E43" s="2">
        <v>2</v>
      </c>
      <c r="F43" s="2" t="str">
        <f t="shared" si="22"/>
        <v>2|1213|20</v>
      </c>
      <c r="G43" s="2">
        <v>0</v>
      </c>
      <c r="H43"/>
      <c r="I43" s="2">
        <v>3</v>
      </c>
      <c r="J43"/>
      <c r="K43" s="2">
        <f t="shared" si="17"/>
        <v>20</v>
      </c>
      <c r="L43" s="2">
        <f t="shared" si="16"/>
        <v>20</v>
      </c>
      <c r="M43"/>
      <c r="N43"/>
      <c r="O43" s="105" t="s">
        <v>738</v>
      </c>
      <c r="P43" s="19">
        <f t="shared" si="2"/>
        <v>1</v>
      </c>
      <c r="Q43" s="19">
        <f t="shared" si="3"/>
        <v>1</v>
      </c>
      <c r="R43" s="50">
        <v>200</v>
      </c>
      <c r="S43" s="27">
        <f t="shared" si="4"/>
        <v>20</v>
      </c>
    </row>
  </sheetData>
  <phoneticPr fontId="57" type="noConversion"/>
  <conditionalFormatting sqref="O5">
    <cfRule type="containsText" dxfId="297" priority="39" operator="containsText" text=" ">
      <formula>NOT(ISERROR(SEARCH(" ",O5)))</formula>
    </cfRule>
  </conditionalFormatting>
  <conditionalFormatting sqref="O6">
    <cfRule type="containsText" dxfId="296" priority="38" operator="containsText" text=" ">
      <formula>NOT(ISERROR(SEARCH(" ",O6)))</formula>
    </cfRule>
  </conditionalFormatting>
  <conditionalFormatting sqref="O7">
    <cfRule type="containsText" dxfId="295" priority="37" operator="containsText" text=" ">
      <formula>NOT(ISERROR(SEARCH(" ",O7)))</formula>
    </cfRule>
    <cfRule type="containsText" dxfId="294" priority="53" operator="containsText" text=" ">
      <formula>NOT(ISERROR(SEARCH(" ",O7)))</formula>
    </cfRule>
  </conditionalFormatting>
  <conditionalFormatting sqref="W7">
    <cfRule type="containsText" dxfId="293" priority="40" operator="containsText" text=" ">
      <formula>NOT(ISERROR(SEARCH(" ",W7)))</formula>
    </cfRule>
  </conditionalFormatting>
  <conditionalFormatting sqref="X7">
    <cfRule type="containsText" dxfId="292" priority="50" operator="containsText" text=" ">
      <formula>NOT(ISERROR(SEARCH(" ",X7)))</formula>
    </cfRule>
  </conditionalFormatting>
  <conditionalFormatting sqref="O8">
    <cfRule type="containsText" dxfId="291" priority="52" operator="containsText" text=" ">
      <formula>NOT(ISERROR(SEARCH(" ",O8)))</formula>
    </cfRule>
  </conditionalFormatting>
  <conditionalFormatting sqref="O9">
    <cfRule type="containsText" dxfId="290" priority="112" operator="containsText" text=" ">
      <formula>NOT(ISERROR(SEARCH(" ",O9)))</formula>
    </cfRule>
  </conditionalFormatting>
  <conditionalFormatting sqref="O11">
    <cfRule type="containsText" dxfId="289" priority="119" operator="containsText" text=" ">
      <formula>NOT(ISERROR(SEARCH(" ",O11)))</formula>
    </cfRule>
  </conditionalFormatting>
  <conditionalFormatting sqref="Z12">
    <cfRule type="containsText" dxfId="288" priority="135" operator="containsText" text=" ">
      <formula>NOT(ISERROR(SEARCH(" ",Z12)))</formula>
    </cfRule>
  </conditionalFormatting>
  <conditionalFormatting sqref="O13">
    <cfRule type="containsText" dxfId="287" priority="22" operator="containsText" text=" ">
      <formula>NOT(ISERROR(SEARCH(" ",O13)))</formula>
    </cfRule>
  </conditionalFormatting>
  <conditionalFormatting sqref="O14">
    <cfRule type="containsText" dxfId="286" priority="21" operator="containsText" text=" ">
      <formula>NOT(ISERROR(SEARCH(" ",O14)))</formula>
    </cfRule>
    <cfRule type="containsText" dxfId="285" priority="27" operator="containsText" text=" ">
      <formula>NOT(ISERROR(SEARCH(" ",O14)))</formula>
    </cfRule>
  </conditionalFormatting>
  <conditionalFormatting sqref="O15">
    <cfRule type="containsText" dxfId="284" priority="20" operator="containsText" text=" ">
      <formula>NOT(ISERROR(SEARCH(" ",O15)))</formula>
    </cfRule>
    <cfRule type="containsText" dxfId="283" priority="24" operator="containsText" text=" ">
      <formula>NOT(ISERROR(SEARCH(" ",O15)))</formula>
    </cfRule>
  </conditionalFormatting>
  <conditionalFormatting sqref="O16">
    <cfRule type="containsText" dxfId="282" priority="23" operator="containsText" text=" ">
      <formula>NOT(ISERROR(SEARCH(" ",O16)))</formula>
    </cfRule>
  </conditionalFormatting>
  <conditionalFormatting sqref="O17">
    <cfRule type="containsText" dxfId="281" priority="28" operator="containsText" text=" ">
      <formula>NOT(ISERROR(SEARCH(" ",O17)))</formula>
    </cfRule>
  </conditionalFormatting>
  <conditionalFormatting sqref="V17:W17">
    <cfRule type="containsText" dxfId="280" priority="131" operator="containsText" text=" ">
      <formula>NOT(ISERROR(SEARCH(" ",V17)))</formula>
    </cfRule>
  </conditionalFormatting>
  <conditionalFormatting sqref="V18:W18">
    <cfRule type="containsText" dxfId="279" priority="130" operator="containsText" text=" ">
      <formula>NOT(ISERROR(SEARCH(" ",V18)))</formula>
    </cfRule>
  </conditionalFormatting>
  <conditionalFormatting sqref="O19">
    <cfRule type="containsText" dxfId="278" priority="29" operator="containsText" text=" ">
      <formula>NOT(ISERROR(SEARCH(" ",O19)))</formula>
    </cfRule>
  </conditionalFormatting>
  <conditionalFormatting sqref="Z19">
    <cfRule type="containsText" dxfId="277" priority="129" operator="containsText" text=" ">
      <formula>NOT(ISERROR(SEARCH(" ",Z19)))</formula>
    </cfRule>
  </conditionalFormatting>
  <conditionalFormatting sqref="O21">
    <cfRule type="containsText" dxfId="276" priority="108" operator="containsText" text=" ">
      <formula>NOT(ISERROR(SEARCH(" ",O21)))</formula>
    </cfRule>
  </conditionalFormatting>
  <conditionalFormatting sqref="O22">
    <cfRule type="containsText" dxfId="275" priority="107" operator="containsText" text=" ">
      <formula>NOT(ISERROR(SEARCH(" ",O22)))</formula>
    </cfRule>
  </conditionalFormatting>
  <conditionalFormatting sqref="O23">
    <cfRule type="containsText" dxfId="274" priority="47" operator="containsText" text=" ">
      <formula>NOT(ISERROR(SEARCH(" ",O23)))</formula>
    </cfRule>
  </conditionalFormatting>
  <conditionalFormatting sqref="O24">
    <cfRule type="containsText" dxfId="273" priority="46" operator="containsText" text=" ">
      <formula>NOT(ISERROR(SEARCH(" ",O24)))</formula>
    </cfRule>
  </conditionalFormatting>
  <conditionalFormatting sqref="O25">
    <cfRule type="containsText" dxfId="272" priority="59" operator="containsText" text=" ">
      <formula>NOT(ISERROR(SEARCH(" ",O25)))</formula>
    </cfRule>
  </conditionalFormatting>
  <conditionalFormatting sqref="O27">
    <cfRule type="containsText" dxfId="271" priority="62" operator="containsText" text=" ">
      <formula>NOT(ISERROR(SEARCH(" ",O27)))</formula>
    </cfRule>
  </conditionalFormatting>
  <conditionalFormatting sqref="O29">
    <cfRule type="containsText" dxfId="270" priority="4" operator="containsText" text=" ">
      <formula>NOT(ISERROR(SEARCH(" ",O29)))</formula>
    </cfRule>
  </conditionalFormatting>
  <conditionalFormatting sqref="O30">
    <cfRule type="containsText" dxfId="269" priority="64" operator="containsText" text=" ">
      <formula>NOT(ISERROR(SEARCH(" ",O30)))</formula>
    </cfRule>
  </conditionalFormatting>
  <conditionalFormatting sqref="O31">
    <cfRule type="containsText" dxfId="268" priority="83" operator="containsText" text=" ">
      <formula>NOT(ISERROR(SEARCH(" ",O31)))</formula>
    </cfRule>
  </conditionalFormatting>
  <conditionalFormatting sqref="R31">
    <cfRule type="containsText" dxfId="267" priority="44" operator="containsText" text=" ">
      <formula>NOT(ISERROR(SEARCH(" ",R31)))</formula>
    </cfRule>
  </conditionalFormatting>
  <conditionalFormatting sqref="O32">
    <cfRule type="containsText" dxfId="266" priority="74" operator="containsText" text=" ">
      <formula>NOT(ISERROR(SEARCH(" ",O32)))</formula>
    </cfRule>
  </conditionalFormatting>
  <conditionalFormatting sqref="R32">
    <cfRule type="containsText" dxfId="265" priority="69" operator="containsText" text=" ">
      <formula>NOT(ISERROR(SEARCH(" ",R32)))</formula>
    </cfRule>
  </conditionalFormatting>
  <conditionalFormatting sqref="O33">
    <cfRule type="containsText" dxfId="264" priority="75" operator="containsText" text=" ">
      <formula>NOT(ISERROR(SEARCH(" ",O33)))</formula>
    </cfRule>
  </conditionalFormatting>
  <conditionalFormatting sqref="O34">
    <cfRule type="containsText" dxfId="263" priority="12" operator="containsText" text=" ">
      <formula>NOT(ISERROR(SEARCH(" ",O34)))</formula>
    </cfRule>
  </conditionalFormatting>
  <conditionalFormatting sqref="O35">
    <cfRule type="containsText" dxfId="262" priority="6" operator="containsText" text=" ">
      <formula>NOT(ISERROR(SEARCH(" ",O35)))</formula>
    </cfRule>
  </conditionalFormatting>
  <conditionalFormatting sqref="O36">
    <cfRule type="containsText" dxfId="261" priority="11" operator="containsText" text=" ">
      <formula>NOT(ISERROR(SEARCH(" ",O36)))</formula>
    </cfRule>
  </conditionalFormatting>
  <conditionalFormatting sqref="R36">
    <cfRule type="containsText" dxfId="260" priority="5" operator="containsText" text=" ">
      <formula>NOT(ISERROR(SEARCH(" ",R36)))</formula>
    </cfRule>
  </conditionalFormatting>
  <conditionalFormatting sqref="O37">
    <cfRule type="containsText" dxfId="259" priority="9" operator="containsText" text=" ">
      <formula>NOT(ISERROR(SEARCH(" ",O37)))</formula>
    </cfRule>
  </conditionalFormatting>
  <conditionalFormatting sqref="R37">
    <cfRule type="containsText" dxfId="258" priority="7" operator="containsText" text=" ">
      <formula>NOT(ISERROR(SEARCH(" ",R37)))</formula>
    </cfRule>
  </conditionalFormatting>
  <conditionalFormatting sqref="O38">
    <cfRule type="containsText" dxfId="257" priority="10" operator="containsText" text=" ">
      <formula>NOT(ISERROR(SEARCH(" ",O38)))</formula>
    </cfRule>
  </conditionalFormatting>
  <conditionalFormatting sqref="O39">
    <cfRule type="containsText" dxfId="256" priority="65" operator="containsText" text=" ">
      <formula>NOT(ISERROR(SEARCH(" ",O39)))</formula>
    </cfRule>
  </conditionalFormatting>
  <conditionalFormatting sqref="O40">
    <cfRule type="containsText" dxfId="255" priority="78" operator="containsText" text=" ">
      <formula>NOT(ISERROR(SEARCH(" ",O40)))</formula>
    </cfRule>
  </conditionalFormatting>
  <conditionalFormatting sqref="O41">
    <cfRule type="containsText" dxfId="254" priority="77" operator="containsText" text=" ">
      <formula>NOT(ISERROR(SEARCH(" ",O41)))</formula>
    </cfRule>
  </conditionalFormatting>
  <conditionalFormatting sqref="R41">
    <cfRule type="containsText" dxfId="253" priority="41" operator="containsText" text=" ">
      <formula>NOT(ISERROR(SEARCH(" ",R41)))</formula>
    </cfRule>
  </conditionalFormatting>
  <conditionalFormatting sqref="O42">
    <cfRule type="containsText" dxfId="252" priority="72" operator="containsText" text=" ">
      <formula>NOT(ISERROR(SEARCH(" ",O42)))</formula>
    </cfRule>
  </conditionalFormatting>
  <conditionalFormatting sqref="R42">
    <cfRule type="containsText" dxfId="251" priority="42" operator="containsText" text=" ">
      <formula>NOT(ISERROR(SEARCH(" ",R42)))</formula>
    </cfRule>
  </conditionalFormatting>
  <conditionalFormatting sqref="O43">
    <cfRule type="containsText" dxfId="250" priority="73" operator="containsText" text=" ">
      <formula>NOT(ISERROR(SEARCH(" ",O43)))</formula>
    </cfRule>
  </conditionalFormatting>
  <conditionalFormatting sqref="R43">
    <cfRule type="containsText" dxfId="249" priority="43" operator="containsText" text=" ">
      <formula>NOT(ISERROR(SEARCH(" ",R43)))</formula>
    </cfRule>
  </conditionalFormatting>
  <conditionalFormatting sqref="C13:C20">
    <cfRule type="containsText" dxfId="248" priority="1" operator="containsText" text=" ">
      <formula>NOT(ISERROR(SEARCH(" ",C13)))</formula>
    </cfRule>
  </conditionalFormatting>
  <conditionalFormatting sqref="C34:C38">
    <cfRule type="containsText" dxfId="247" priority="2" operator="containsText" text=" ">
      <formula>NOT(ISERROR(SEARCH(" ",C34)))</formula>
    </cfRule>
  </conditionalFormatting>
  <conditionalFormatting sqref="D13:D20">
    <cfRule type="containsText" dxfId="246" priority="32" operator="containsText" text=" ">
      <formula>NOT(ISERROR(SEARCH(" ",D13)))</formula>
    </cfRule>
  </conditionalFormatting>
  <conditionalFormatting sqref="D34:D38">
    <cfRule type="containsText" dxfId="245" priority="16" operator="containsText" text=" ">
      <formula>NOT(ISERROR(SEARCH(" ",D34)))</formula>
    </cfRule>
  </conditionalFormatting>
  <conditionalFormatting sqref="E13:E2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:E3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F20">
    <cfRule type="containsText" dxfId="244" priority="33" operator="containsText" text=" ">
      <formula>NOT(ISERROR(SEARCH(" ",F13)))</formula>
    </cfRule>
  </conditionalFormatting>
  <conditionalFormatting sqref="F34:F38">
    <cfRule type="containsText" dxfId="243" priority="17" operator="containsText" text=" ">
      <formula>NOT(ISERROR(SEARCH(" ",F34)))</formula>
    </cfRule>
  </conditionalFormatting>
  <conditionalFormatting sqref="L34:L38">
    <cfRule type="containsText" dxfId="242" priority="15" operator="containsText" text=" ">
      <formula>NOT(ISERROR(SEARCH(" ",L34)))</formula>
    </cfRule>
  </conditionalFormatting>
  <conditionalFormatting sqref="M21:M28">
    <cfRule type="containsText" dxfId="241" priority="111" operator="containsText" text=" ">
      <formula>NOT(ISERROR(SEARCH(" ",M21)))</formula>
    </cfRule>
  </conditionalFormatting>
  <conditionalFormatting sqref="N15:N19">
    <cfRule type="containsText" dxfId="240" priority="35" operator="containsText" text=" ">
      <formula>NOT(ISERROR(SEARCH(" ",N15)))</formula>
    </cfRule>
  </conditionalFormatting>
  <conditionalFormatting sqref="R11:R12">
    <cfRule type="containsText" dxfId="239" priority="57" operator="containsText" text=" ">
      <formula>NOT(ISERROR(SEARCH(" ",R11)))</formula>
    </cfRule>
  </conditionalFormatting>
  <conditionalFormatting sqref="R19:R20">
    <cfRule type="containsText" dxfId="238" priority="25" operator="containsText" text=" ">
      <formula>NOT(ISERROR(SEARCH(" ",R19)))</formula>
    </cfRule>
  </conditionalFormatting>
  <conditionalFormatting sqref="R21:R22">
    <cfRule type="containsText" dxfId="237" priority="87" operator="containsText" text=" ">
      <formula>NOT(ISERROR(SEARCH(" ",R21)))</formula>
    </cfRule>
  </conditionalFormatting>
  <conditionalFormatting sqref="R25:R26">
    <cfRule type="containsText" dxfId="236" priority="45" operator="containsText" text=" ">
      <formula>NOT(ISERROR(SEARCH(" ",R25)))</formula>
    </cfRule>
  </conditionalFormatting>
  <conditionalFormatting sqref="R27:R28">
    <cfRule type="containsText" dxfId="235" priority="51" operator="containsText" text=" ">
      <formula>NOT(ISERROR(SEARCH(" ",R27)))</formula>
    </cfRule>
  </conditionalFormatting>
  <conditionalFormatting sqref="R39:R40">
    <cfRule type="containsText" dxfId="234" priority="80" operator="containsText" text=" ">
      <formula>NOT(ISERROR(SEARCH(" ",R39)))</formula>
    </cfRule>
  </conditionalFormatting>
  <conditionalFormatting sqref="X8:X12">
    <cfRule type="containsText" dxfId="233" priority="136" operator="containsText" text=" ">
      <formula>NOT(ISERROR(SEARCH(" ",X8)))</formula>
    </cfRule>
  </conditionalFormatting>
  <conditionalFormatting sqref="X13:X16">
    <cfRule type="containsText" dxfId="232" priority="133" operator="containsText" text=" ">
      <formula>NOT(ISERROR(SEARCH(" ",X13)))</formula>
    </cfRule>
  </conditionalFormatting>
  <conditionalFormatting sqref="Z8:Z11">
    <cfRule type="containsText" dxfId="231" priority="137" operator="containsText" text=" ">
      <formula>NOT(ISERROR(SEARCH(" ",Z8)))</formula>
    </cfRule>
  </conditionalFormatting>
  <conditionalFormatting sqref="Z13:Z16">
    <cfRule type="containsText" dxfId="230" priority="134" operator="containsText" text=" ">
      <formula>NOT(ISERROR(SEARCH(" ",Z13)))</formula>
    </cfRule>
  </conditionalFormatting>
  <conditionalFormatting sqref="AJ8:AJ11">
    <cfRule type="containsText" dxfId="229" priority="142" operator="containsText" text=" ">
      <formula>NOT(ISERROR(SEARCH(" ",AJ8)))</formula>
    </cfRule>
  </conditionalFormatting>
  <conditionalFormatting sqref="AJ21:AJ24">
    <cfRule type="containsText" dxfId="228" priority="139" operator="containsText" text=" ">
      <formula>NOT(ISERROR(SEARCH(" ",AJ21)))</formula>
    </cfRule>
  </conditionalFormatting>
  <conditionalFormatting sqref="AL8:AL11">
    <cfRule type="containsText" dxfId="227" priority="143" operator="containsText" text=" ">
      <formula>NOT(ISERROR(SEARCH(" ",AL8)))</formula>
    </cfRule>
  </conditionalFormatting>
  <conditionalFormatting sqref="AL12:AL20">
    <cfRule type="containsText" dxfId="226" priority="141" operator="containsText" text=" ">
      <formula>NOT(ISERROR(SEARCH(" ",AL12)))</formula>
    </cfRule>
  </conditionalFormatting>
  <conditionalFormatting sqref="AL21:AL24">
    <cfRule type="containsText" dxfId="225" priority="140" operator="containsText" text=" ">
      <formula>NOT(ISERROR(SEARCH(" ",AL21)))</formula>
    </cfRule>
  </conditionalFormatting>
  <conditionalFormatting sqref="X17:Z18 U25:U26 U3:Z6 U1:U2 W1:Z2 Y7:Z7 U7:V7 U8:W12 U13:U20 Y8:Y16">
    <cfRule type="containsText" dxfId="224" priority="138" operator="containsText" text=" ">
      <formula>NOT(ISERROR(SEARCH(" ",U1)))</formula>
    </cfRule>
  </conditionalFormatting>
  <conditionalFormatting sqref="AK8:AK11 AK21:AK24 AI21:AI24 AI12:AK20 AI8:AI11 AI4:AL7">
    <cfRule type="containsText" dxfId="223" priority="144" operator="containsText" text=" ">
      <formula>NOT(ISERROR(SEARCH(" ",AI4)))</formula>
    </cfRule>
  </conditionalFormatting>
  <conditionalFormatting sqref="G5:J7 I8:J8 H8:H12 B29:B33 AN5:XFD5 E5:E12 AF5:AH6 AE25:XFD1048576 AF12:AH24 N12 N5:N6 AN12:XFD24 A44:A1048576 D44:D1048576 F44:N1048576 AM6 M29:N33 G8:G11 I29:K33 N21:N28 E21:E33 H21:H28 E39:E1048576 I39:K43 M39:N43 B39:C1048576">
    <cfRule type="containsText" dxfId="222" priority="154" operator="containsText" text=" ">
      <formula>NOT(ISERROR(SEARCH(" ",A5)))</formula>
    </cfRule>
  </conditionalFormatting>
  <conditionalFormatting sqref="D5:D12 D21:D33 D39:D43">
    <cfRule type="containsText" dxfId="221" priority="145" operator="containsText" text=" ">
      <formula>NOT(ISERROR(SEARCH(" ",D5)))</formula>
    </cfRule>
  </conditionalFormatting>
  <conditionalFormatting sqref="E5:E12 E21:E33 E39:E43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2 F21:F33 F39:F43">
    <cfRule type="containsText" dxfId="220" priority="146" operator="containsText" text=" ">
      <formula>NOT(ISERROR(SEARCH(" ",F5)))</formula>
    </cfRule>
  </conditionalFormatting>
  <conditionalFormatting sqref="K5:M12 K21:K28 L21:L33 L39:L43">
    <cfRule type="containsText" dxfId="219" priority="123" operator="containsText" text=" ">
      <formula>NOT(ISERROR(SEARCH(" ",K5)))</formula>
    </cfRule>
  </conditionalFormatting>
  <conditionalFormatting sqref="N7:N11 AN6:XFD6 AM5 AM7:AM24">
    <cfRule type="containsText" dxfId="218" priority="153" operator="containsText" text=" ">
      <formula>NOT(ISERROR(SEARCH(" ",N5)))</formula>
    </cfRule>
  </conditionalFormatting>
  <conditionalFormatting sqref="O10:S10 P5:S9 P11:Q11 O12:Q12 S11:S12">
    <cfRule type="containsText" dxfId="217" priority="122" operator="containsText" text=" ">
      <formula>NOT(ISERROR(SEARCH(" ",O5)))</formula>
    </cfRule>
  </conditionalFormatting>
  <conditionalFormatting sqref="O6 V19:Y19 U27:U43 V20:Z30 U21:U24 V13:W16 U44:AD1048576 AB26:AD43 AA18:AA30">
    <cfRule type="containsText" dxfId="216" priority="90" operator="containsText" text=" ">
      <formula>NOT(ISERROR(SEARCH(" ",O6)))</formula>
    </cfRule>
  </conditionalFormatting>
  <conditionalFormatting sqref="G12 H29:H33 I9:J12 AF7:AH7 AN7:XFD7 I21:J28 G21:G33 G39:H43">
    <cfRule type="containsText" dxfId="215" priority="152" operator="containsText" text=" ">
      <formula>NOT(ISERROR(SEARCH(" ",G7)))</formula>
    </cfRule>
  </conditionalFormatting>
  <conditionalFormatting sqref="AF8:AH8 AN8:XFD8">
    <cfRule type="containsText" dxfId="214" priority="151" operator="containsText" text=" ">
      <formula>NOT(ISERROR(SEARCH(" ",AF8)))</formula>
    </cfRule>
  </conditionalFormatting>
  <conditionalFormatting sqref="AF9:AH9 AN9:XFD9">
    <cfRule type="containsText" dxfId="213" priority="150" operator="containsText" text=" ">
      <formula>NOT(ISERROR(SEARCH(" ",AF9)))</formula>
    </cfRule>
  </conditionalFormatting>
  <conditionalFormatting sqref="AF10:AH10 AN10:XFD10">
    <cfRule type="containsText" dxfId="212" priority="149" operator="containsText" text=" ">
      <formula>NOT(ISERROR(SEARCH(" ",AF10)))</formula>
    </cfRule>
  </conditionalFormatting>
  <conditionalFormatting sqref="AF11:AH11 AN11:XFD11">
    <cfRule type="containsText" dxfId="211" priority="148" operator="containsText" text=" ">
      <formula>NOT(ISERROR(SEARCH(" ",AF11)))</formula>
    </cfRule>
  </conditionalFormatting>
  <conditionalFormatting sqref="G13:J15 I16:J16 H16:H20 E13:E20 N20 N13:N14 G16:G19">
    <cfRule type="containsText" dxfId="210" priority="36" operator="containsText" text=" ">
      <formula>NOT(ISERROR(SEARCH(" ",E13)))</formula>
    </cfRule>
  </conditionalFormatting>
  <conditionalFormatting sqref="K13:M20">
    <cfRule type="containsText" dxfId="209" priority="31" operator="containsText" text=" ">
      <formula>NOT(ISERROR(SEARCH(" ",K13)))</formula>
    </cfRule>
  </conditionalFormatting>
  <conditionalFormatting sqref="O18:S18 P13:S17 P19:Q19 O20:Q20 S19:S20">
    <cfRule type="containsText" dxfId="208" priority="30" operator="containsText" text=" ">
      <formula>NOT(ISERROR(SEARCH(" ",O13)))</formula>
    </cfRule>
  </conditionalFormatting>
  <conditionalFormatting sqref="G20 I17:J20">
    <cfRule type="containsText" dxfId="207" priority="34" operator="containsText" text=" ">
      <formula>NOT(ISERROR(SEARCH(" ",G17)))</formula>
    </cfRule>
  </conditionalFormatting>
  <conditionalFormatting sqref="P21:Q22 S21:S33 P29:Q33">
    <cfRule type="containsText" dxfId="206" priority="110" operator="containsText" text=" ">
      <formula>NOT(ISERROR(SEARCH(" ",P21)))</formula>
    </cfRule>
  </conditionalFormatting>
  <conditionalFormatting sqref="P23:R24">
    <cfRule type="containsText" dxfId="205" priority="56" operator="containsText" text=" ">
      <formula>NOT(ISERROR(SEARCH(" ",P23)))</formula>
    </cfRule>
  </conditionalFormatting>
  <conditionalFormatting sqref="O26:Q26 P25:Q25 P27:Q27 O28:Q28">
    <cfRule type="containsText" dxfId="204" priority="63" operator="containsText" text=" ">
      <formula>NOT(ISERROR(SEARCH(" ",O25)))</formula>
    </cfRule>
  </conditionalFormatting>
  <conditionalFormatting sqref="R29:R30 R33">
    <cfRule type="containsText" dxfId="203" priority="86" operator="containsText" text=" ">
      <formula>NOT(ISERROR(SEARCH(" ",R29)))</formula>
    </cfRule>
  </conditionalFormatting>
  <conditionalFormatting sqref="M34:N38 I34:K38 E34:E38 B34:B38">
    <cfRule type="containsText" dxfId="202" priority="19" operator="containsText" text=" ">
      <formula>NOT(ISERROR(SEARCH(" ",B34)))</formula>
    </cfRule>
  </conditionalFormatting>
  <conditionalFormatting sqref="G34:H38">
    <cfRule type="containsText" dxfId="201" priority="18" operator="containsText" text=" ">
      <formula>NOT(ISERROR(SEARCH(" ",G34)))</formula>
    </cfRule>
  </conditionalFormatting>
  <conditionalFormatting sqref="S34:S38 P34:Q38">
    <cfRule type="containsText" dxfId="200" priority="14" operator="containsText" text=" ">
      <formula>NOT(ISERROR(SEARCH(" ",P34)))</formula>
    </cfRule>
  </conditionalFormatting>
  <conditionalFormatting sqref="R34:R35 R38">
    <cfRule type="containsText" dxfId="199" priority="13" operator="containsText" text=" ">
      <formula>NOT(ISERROR(SEARCH(" ",R34)))</formula>
    </cfRule>
  </conditionalFormatting>
  <conditionalFormatting sqref="P39:Q43 S39:S43">
    <cfRule type="containsText" dxfId="198" priority="82" operator="containsText" text=" ">
      <formula>NOT(ISERROR(SEARCH(" ",P39)))</formula>
    </cfRule>
  </conditionalFormatting>
  <conditionalFormatting sqref="O44:S55">
    <cfRule type="containsText" dxfId="197" priority="132" operator="containsText" text=" ">
      <formula>NOT(ISERROR(SEARCH(" ",O44)))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AK52"/>
  <sheetViews>
    <sheetView workbookViewId="0">
      <selection activeCell="P28" sqref="P28"/>
    </sheetView>
  </sheetViews>
  <sheetFormatPr defaultColWidth="9" defaultRowHeight="16.5" x14ac:dyDescent="0.25"/>
  <cols>
    <col min="1" max="1" width="9.90625" style="2" customWidth="1"/>
    <col min="2" max="2" width="15.90625" style="2" customWidth="1"/>
    <col min="3" max="3" width="14.08984375" style="2" customWidth="1"/>
    <col min="4" max="4" width="11.1796875" style="2" customWidth="1"/>
    <col min="5" max="5" width="30.81640625" style="2" customWidth="1"/>
    <col min="6" max="6" width="36.90625" style="2" customWidth="1"/>
    <col min="7" max="7" width="12.36328125" style="2" customWidth="1"/>
    <col min="8" max="8" width="7.90625" style="2" customWidth="1"/>
    <col min="9" max="9" width="9.1796875" style="2" customWidth="1"/>
    <col min="10" max="10" width="5.453125" style="2" customWidth="1"/>
    <col min="11" max="11" width="7.1796875" style="2" customWidth="1"/>
    <col min="12" max="12" width="9.6328125" style="2" customWidth="1"/>
    <col min="13" max="13" width="7.90625" style="2" customWidth="1"/>
    <col min="14" max="14" width="9.1796875" style="2" customWidth="1"/>
    <col min="15" max="15" width="5.453125" style="2" customWidth="1"/>
    <col min="16" max="16" width="7.1796875" style="2" customWidth="1"/>
    <col min="17" max="18" width="9.1796875" style="2" customWidth="1"/>
    <col min="19" max="19" width="5.453125" style="2" customWidth="1"/>
    <col min="20" max="20" width="7.1796875" style="2" customWidth="1"/>
    <col min="21" max="22" width="9.1796875" style="2" customWidth="1"/>
    <col min="23" max="23" width="5.453125" style="2" customWidth="1"/>
    <col min="24" max="24" width="7.1796875" style="2" customWidth="1"/>
    <col min="25" max="26" width="9.1796875" style="2" customWidth="1"/>
    <col min="27" max="27" width="5.453125" style="2" customWidth="1"/>
    <col min="28" max="28" width="7.1796875" style="2" customWidth="1"/>
    <col min="29" max="30" width="9.1796875" style="2" customWidth="1"/>
    <col min="31" max="32" width="9" style="2"/>
    <col min="33" max="33" width="11.6328125" style="2" customWidth="1"/>
    <col min="34" max="34" width="12.1796875" style="2" customWidth="1"/>
    <col min="35" max="35" width="9.1796875" style="2" customWidth="1"/>
    <col min="36" max="16384" width="9" style="2"/>
  </cols>
  <sheetData>
    <row r="1" spans="1:37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88" t="s">
        <v>0</v>
      </c>
    </row>
    <row r="2" spans="1:37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5</v>
      </c>
      <c r="F2" s="3" t="s">
        <v>5</v>
      </c>
      <c r="G2" s="88" t="s">
        <v>2</v>
      </c>
    </row>
    <row r="3" spans="1:37" x14ac:dyDescent="0.4">
      <c r="A3" s="3" t="s">
        <v>1880</v>
      </c>
      <c r="B3" s="3" t="s">
        <v>1458</v>
      </c>
      <c r="C3" s="3" t="s">
        <v>693</v>
      </c>
      <c r="D3" s="3" t="s">
        <v>1881</v>
      </c>
      <c r="E3" s="3" t="s">
        <v>1882</v>
      </c>
      <c r="F3" s="3" t="s">
        <v>1883</v>
      </c>
      <c r="G3" s="88" t="s">
        <v>1884</v>
      </c>
      <c r="I3" s="91" t="s">
        <v>1885</v>
      </c>
      <c r="J3" s="92"/>
      <c r="K3" s="92"/>
      <c r="L3" s="92"/>
      <c r="N3" s="536" t="s">
        <v>1886</v>
      </c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</row>
    <row r="4" spans="1:37" ht="80.5" x14ac:dyDescent="0.25">
      <c r="A4" s="12" t="s">
        <v>1887</v>
      </c>
      <c r="B4" s="12" t="s">
        <v>1471</v>
      </c>
      <c r="C4" s="12" t="s">
        <v>1888</v>
      </c>
      <c r="D4" s="12" t="s">
        <v>1889</v>
      </c>
      <c r="E4" s="12" t="s">
        <v>1890</v>
      </c>
      <c r="F4" s="12" t="s">
        <v>1891</v>
      </c>
      <c r="G4" s="89" t="s">
        <v>1892</v>
      </c>
      <c r="I4" s="93" t="s">
        <v>1893</v>
      </c>
      <c r="J4" s="94" t="s">
        <v>1481</v>
      </c>
      <c r="K4" s="95" t="s">
        <v>1482</v>
      </c>
      <c r="L4" s="96" t="s">
        <v>1483</v>
      </c>
      <c r="M4" s="60" t="s">
        <v>1894</v>
      </c>
      <c r="N4" s="93" t="s">
        <v>1895</v>
      </c>
      <c r="O4" s="94" t="s">
        <v>1481</v>
      </c>
      <c r="P4" s="95" t="s">
        <v>1482</v>
      </c>
      <c r="Q4" s="96" t="s">
        <v>1483</v>
      </c>
      <c r="R4" s="97" t="s">
        <v>1484</v>
      </c>
      <c r="S4" s="98" t="s">
        <v>1481</v>
      </c>
      <c r="T4" s="99" t="s">
        <v>1482</v>
      </c>
      <c r="U4" s="99" t="s">
        <v>1483</v>
      </c>
      <c r="V4" s="93" t="s">
        <v>1485</v>
      </c>
      <c r="W4" s="94" t="s">
        <v>1481</v>
      </c>
      <c r="X4" s="95" t="s">
        <v>1482</v>
      </c>
      <c r="Y4" s="96" t="s">
        <v>1483</v>
      </c>
      <c r="Z4" s="101" t="s">
        <v>1486</v>
      </c>
      <c r="AA4" s="98" t="s">
        <v>1481</v>
      </c>
      <c r="AB4" s="99" t="s">
        <v>1482</v>
      </c>
      <c r="AC4" s="102" t="s">
        <v>1483</v>
      </c>
      <c r="AD4" s="60" t="s">
        <v>1490</v>
      </c>
      <c r="AE4" s="2" t="s">
        <v>1491</v>
      </c>
      <c r="AG4" s="52">
        <f>'抽奖|MoonBless'!DN4</f>
        <v>0</v>
      </c>
      <c r="AH4" s="45" t="str">
        <f>'抽奖|MoonBless'!DO4</f>
        <v>人民币价值</v>
      </c>
      <c r="AI4" s="53" t="str">
        <f>'抽奖|MoonBless'!DP4</f>
        <v>价值
钻石价值</v>
      </c>
      <c r="AJ4" s="45" t="str">
        <f>'抽奖|MoonBless'!DQ4</f>
        <v>物品类型</v>
      </c>
      <c r="AK4" s="54" t="str">
        <f>'抽奖|MoonBless'!DR4</f>
        <v>id</v>
      </c>
    </row>
    <row r="5" spans="1:37" x14ac:dyDescent="0.45">
      <c r="A5" s="2">
        <v>2</v>
      </c>
      <c r="B5" s="2">
        <v>30</v>
      </c>
      <c r="C5" s="2">
        <v>1202</v>
      </c>
      <c r="D5" s="2">
        <v>30</v>
      </c>
      <c r="E5" s="90" t="str">
        <f t="shared" ref="E5" si="0">J5&amp;"|"&amp;K5&amp;"|"&amp;L5</f>
        <v>1|2|500000</v>
      </c>
      <c r="F5" s="90" t="str">
        <f>O5&amp;"|"&amp;P5&amp;"|"&amp;Q5&amp;","&amp;S5&amp;"|"&amp;T5&amp;"|"&amp;U5&amp;","&amp;W5&amp;"|"&amp;X5&amp;"|"&amp;Y5&amp;","&amp;AA5&amp;"|"&amp;AB5&amp;"|"&amp;AC5</f>
        <v>1|1|10,1|2|200000,2|1001|5,2|1002|5</v>
      </c>
      <c r="G5" s="2">
        <v>1</v>
      </c>
      <c r="I5" s="47" t="s">
        <v>103</v>
      </c>
      <c r="J5" s="2">
        <f>VLOOKUP(I5,$AG:$AK,4,0)</f>
        <v>1</v>
      </c>
      <c r="K5" s="2">
        <f>VLOOKUP(I5,$AG:$AK,5,0)</f>
        <v>2</v>
      </c>
      <c r="L5" s="47">
        <v>500000</v>
      </c>
      <c r="M5" s="2">
        <f>VLOOKUP(I5,$AG:$AK,2,0)*L5</f>
        <v>2.5</v>
      </c>
      <c r="N5" s="47" t="s">
        <v>738</v>
      </c>
      <c r="O5" s="2">
        <f>VLOOKUP(N5,$AG:$AK,4,0)</f>
        <v>1</v>
      </c>
      <c r="P5" s="2">
        <f>VLOOKUP(N5,$AG:$AK,5,0)</f>
        <v>1</v>
      </c>
      <c r="Q5" s="100">
        <v>10</v>
      </c>
      <c r="R5" s="47" t="s">
        <v>103</v>
      </c>
      <c r="S5" s="2">
        <f>VLOOKUP(R5,$AG:$AK,4,0)</f>
        <v>1</v>
      </c>
      <c r="T5" s="2">
        <f>VLOOKUP(R5,$AG:$AK,5,0)</f>
        <v>2</v>
      </c>
      <c r="U5" s="47">
        <v>200000</v>
      </c>
      <c r="V5" s="47" t="s">
        <v>756</v>
      </c>
      <c r="W5" s="2">
        <f>VLOOKUP(V5,$AG:$AK,4,0)</f>
        <v>2</v>
      </c>
      <c r="X5" s="2">
        <f>VLOOKUP(V5,$AG:$AK,5,0)</f>
        <v>1001</v>
      </c>
      <c r="Y5" s="47">
        <v>5</v>
      </c>
      <c r="Z5" s="47" t="s">
        <v>760</v>
      </c>
      <c r="AA5" s="2">
        <f>VLOOKUP(Z5,$AG:$AK,4,0)</f>
        <v>2</v>
      </c>
      <c r="AB5" s="2">
        <f>VLOOKUP(Z5,$AG:$AK,5,0)</f>
        <v>1002</v>
      </c>
      <c r="AC5" s="47">
        <v>5</v>
      </c>
      <c r="AD5" s="2">
        <f>(VLOOKUP(N5,$AG:$AK,2,0)*Q5+VLOOKUP(R5,$AG:$AK,2,0)*U5+VLOOKUP(V5,$AG:$AK,2,0)*Y5+VLOOKUP(Z5,$AG:$AK,2,0)*AC5)*D5</f>
        <v>165</v>
      </c>
      <c r="AE5" s="2">
        <f t="shared" ref="AE5" si="1">(AD5+M5)/B5</f>
        <v>5.583333333333333</v>
      </c>
      <c r="AG5" s="16" t="str">
        <f>'抽奖|MoonBless'!DN5</f>
        <v>人民币</v>
      </c>
      <c r="AH5" s="2">
        <f>'抽奖|MoonBless'!DO5</f>
        <v>1</v>
      </c>
      <c r="AI5" s="2">
        <f>'抽奖|MoonBless'!DP5</f>
        <v>10</v>
      </c>
      <c r="AJ5" s="2">
        <f>'抽奖|MoonBless'!DQ5</f>
        <v>1</v>
      </c>
      <c r="AK5" s="25">
        <f>'抽奖|MoonBless'!DR5</f>
        <v>0</v>
      </c>
    </row>
    <row r="6" spans="1:37" x14ac:dyDescent="0.45">
      <c r="E6" s="1"/>
      <c r="F6" s="1"/>
      <c r="AG6" s="16" t="str">
        <f>'抽奖|MoonBless'!DN6</f>
        <v>钻石</v>
      </c>
      <c r="AH6" s="2">
        <f>'抽奖|MoonBless'!DO6</f>
        <v>0.1</v>
      </c>
      <c r="AI6" s="2">
        <f>'抽奖|MoonBless'!DP6</f>
        <v>1</v>
      </c>
      <c r="AJ6" s="2">
        <f>'抽奖|MoonBless'!DQ6</f>
        <v>1</v>
      </c>
      <c r="AK6" s="25">
        <f>'抽奖|MoonBless'!DR6</f>
        <v>1</v>
      </c>
    </row>
    <row r="7" spans="1:37" x14ac:dyDescent="0.45">
      <c r="E7" s="1"/>
      <c r="F7" s="1"/>
      <c r="AG7" s="16" t="str">
        <f>'抽奖|MoonBless'!DN7</f>
        <v>金币</v>
      </c>
      <c r="AH7" s="2">
        <f>'抽奖|MoonBless'!DO7</f>
        <v>5.0000000000000004E-6</v>
      </c>
      <c r="AI7" s="2">
        <f>'抽奖|MoonBless'!DP7</f>
        <v>5.0000000000000002E-5</v>
      </c>
      <c r="AJ7" s="2">
        <f>'抽奖|MoonBless'!DQ7</f>
        <v>1</v>
      </c>
      <c r="AK7" s="25">
        <f>'抽奖|MoonBless'!DR7</f>
        <v>2</v>
      </c>
    </row>
    <row r="8" spans="1:37" x14ac:dyDescent="0.45">
      <c r="E8" s="1"/>
      <c r="F8" s="1"/>
      <c r="AG8" s="16" t="str">
        <f>'抽奖|MoonBless'!DN8</f>
        <v>锁定</v>
      </c>
      <c r="AH8" s="2">
        <f>'抽奖|MoonBless'!DO8</f>
        <v>0.2</v>
      </c>
      <c r="AI8" s="2">
        <f>'抽奖|MoonBless'!DP8</f>
        <v>2</v>
      </c>
      <c r="AJ8" s="2">
        <f>'抽奖|MoonBless'!DQ8</f>
        <v>2</v>
      </c>
      <c r="AK8" s="25">
        <f>'抽奖|MoonBless'!DR8</f>
        <v>1001</v>
      </c>
    </row>
    <row r="9" spans="1:37" x14ac:dyDescent="0.45">
      <c r="D9" s="1"/>
      <c r="F9" s="1"/>
      <c r="AG9" s="16" t="str">
        <f>'抽奖|MoonBless'!DN9</f>
        <v>冰冻</v>
      </c>
      <c r="AH9" s="2">
        <f>'抽奖|MoonBless'!DO9</f>
        <v>0.5</v>
      </c>
      <c r="AI9" s="2">
        <f>'抽奖|MoonBless'!DP9</f>
        <v>5</v>
      </c>
      <c r="AJ9" s="2">
        <f>'抽奖|MoonBless'!DQ9</f>
        <v>2</v>
      </c>
      <c r="AK9" s="25">
        <f>'抽奖|MoonBless'!DR9</f>
        <v>1002</v>
      </c>
    </row>
    <row r="10" spans="1:37" x14ac:dyDescent="0.45">
      <c r="E10" s="1"/>
      <c r="F10" s="1"/>
      <c r="AG10" s="16" t="str">
        <f>'抽奖|MoonBless'!DN10</f>
        <v>狂暴</v>
      </c>
      <c r="AH10" s="2">
        <f>'抽奖|MoonBless'!DO10</f>
        <v>2</v>
      </c>
      <c r="AI10" s="2">
        <f>'抽奖|MoonBless'!DP10</f>
        <v>20</v>
      </c>
      <c r="AJ10" s="2">
        <f>'抽奖|MoonBless'!DQ10</f>
        <v>2</v>
      </c>
      <c r="AK10" s="25">
        <f>'抽奖|MoonBless'!DR10</f>
        <v>1003</v>
      </c>
    </row>
    <row r="11" spans="1:37" x14ac:dyDescent="0.45">
      <c r="E11" s="1"/>
      <c r="F11" s="1"/>
      <c r="AG11" s="16" t="str">
        <f>'抽奖|MoonBless'!DN11</f>
        <v>召唤</v>
      </c>
      <c r="AH11" s="2">
        <f>'抽奖|MoonBless'!DO11</f>
        <v>0.2</v>
      </c>
      <c r="AI11" s="2">
        <f>'抽奖|MoonBless'!DP11</f>
        <v>2</v>
      </c>
      <c r="AJ11" s="2">
        <f>'抽奖|MoonBless'!DQ11</f>
        <v>2</v>
      </c>
      <c r="AK11" s="25">
        <f>'抽奖|MoonBless'!DR11</f>
        <v>1004</v>
      </c>
    </row>
    <row r="12" spans="1:37" x14ac:dyDescent="0.45">
      <c r="E12" s="1"/>
      <c r="F12" s="1"/>
      <c r="AG12" s="16" t="str">
        <f>'抽奖|MoonBless'!DN12</f>
        <v>福卡</v>
      </c>
      <c r="AH12" s="2">
        <f>'抽奖|MoonBless'!DO12</f>
        <v>2.5000000000000001E-3</v>
      </c>
      <c r="AI12" s="2">
        <f>'抽奖|MoonBless'!DP12</f>
        <v>2.5000000000000001E-2</v>
      </c>
      <c r="AJ12" s="2">
        <f>'抽奖|MoonBless'!DQ12</f>
        <v>2</v>
      </c>
      <c r="AK12" s="25">
        <f>'抽奖|MoonBless'!DR12</f>
        <v>1204</v>
      </c>
    </row>
    <row r="13" spans="1:37" x14ac:dyDescent="0.45">
      <c r="E13" s="1"/>
      <c r="F13" s="1"/>
      <c r="AG13" s="16" t="str">
        <f>'抽奖|MoonBless'!DN13</f>
        <v>超级武器1</v>
      </c>
      <c r="AH13" s="2">
        <f>'抽奖|MoonBless'!DO13</f>
        <v>5</v>
      </c>
      <c r="AI13" s="2">
        <f>'抽奖|MoonBless'!DP13</f>
        <v>50</v>
      </c>
      <c r="AJ13" s="2">
        <f>'抽奖|MoonBless'!DQ13</f>
        <v>2</v>
      </c>
      <c r="AK13" s="25">
        <f>'抽奖|MoonBless'!DR13</f>
        <v>1005</v>
      </c>
    </row>
    <row r="14" spans="1:37" x14ac:dyDescent="0.45">
      <c r="E14" s="1"/>
      <c r="F14" s="1"/>
      <c r="G14" s="1"/>
      <c r="H14" s="1"/>
      <c r="M14" s="1"/>
      <c r="AG14" s="16" t="str">
        <f>'抽奖|MoonBless'!DN14</f>
        <v>超级武器2</v>
      </c>
      <c r="AH14" s="2">
        <f>'抽奖|MoonBless'!DO14</f>
        <v>10</v>
      </c>
      <c r="AI14" s="2">
        <f>'抽奖|MoonBless'!DP14</f>
        <v>100</v>
      </c>
      <c r="AJ14" s="2">
        <f>'抽奖|MoonBless'!DQ14</f>
        <v>2</v>
      </c>
      <c r="AK14" s="25">
        <f>'抽奖|MoonBless'!DR14</f>
        <v>1006</v>
      </c>
    </row>
    <row r="15" spans="1:37" x14ac:dyDescent="0.45">
      <c r="E15" s="1"/>
      <c r="F15" s="1"/>
      <c r="G15" s="1"/>
      <c r="H15" s="1"/>
      <c r="M15" s="1"/>
      <c r="AG15" s="16" t="str">
        <f>'抽奖|MoonBless'!DN15</f>
        <v>超级武器3</v>
      </c>
      <c r="AH15" s="2">
        <f>'抽奖|MoonBless'!DO15</f>
        <v>25</v>
      </c>
      <c r="AI15" s="2">
        <f>'抽奖|MoonBless'!DP15</f>
        <v>250</v>
      </c>
      <c r="AJ15" s="2">
        <f>'抽奖|MoonBless'!DQ15</f>
        <v>2</v>
      </c>
      <c r="AK15" s="25">
        <f>'抽奖|MoonBless'!DR15</f>
        <v>1007</v>
      </c>
    </row>
    <row r="16" spans="1:37" x14ac:dyDescent="0.45">
      <c r="E16" s="1"/>
      <c r="F16" s="1"/>
      <c r="G16" s="1"/>
      <c r="H16" s="1"/>
      <c r="M16" s="1"/>
      <c r="AG16" s="16" t="str">
        <f>'抽奖|MoonBless'!DN16</f>
        <v>超级武器4</v>
      </c>
      <c r="AH16" s="2">
        <f>'抽奖|MoonBless'!DO16</f>
        <v>50</v>
      </c>
      <c r="AI16" s="2">
        <f>'抽奖|MoonBless'!DP16</f>
        <v>500</v>
      </c>
      <c r="AJ16" s="2">
        <f>'抽奖|MoonBless'!DQ16</f>
        <v>2</v>
      </c>
      <c r="AK16" s="25">
        <f>'抽奖|MoonBless'!DR16</f>
        <v>1008</v>
      </c>
    </row>
    <row r="17" spans="5:37" x14ac:dyDescent="0.45">
      <c r="E17" s="1"/>
      <c r="F17" s="1"/>
      <c r="G17" s="1"/>
      <c r="H17" s="1"/>
      <c r="M17" s="1"/>
      <c r="AG17" s="16" t="str">
        <f>'抽奖|MoonBless'!DN17</f>
        <v>5元话费卡</v>
      </c>
      <c r="AH17" s="2">
        <f>'抽奖|MoonBless'!DO17</f>
        <v>5</v>
      </c>
      <c r="AI17" s="2">
        <f>'抽奖|MoonBless'!DP17</f>
        <v>50</v>
      </c>
      <c r="AJ17" s="2">
        <f>'抽奖|MoonBless'!DQ17</f>
        <v>2</v>
      </c>
      <c r="AK17" s="25">
        <f>'抽奖|MoonBless'!DR17</f>
        <v>1206</v>
      </c>
    </row>
    <row r="18" spans="5:37" x14ac:dyDescent="0.45">
      <c r="E18" s="1"/>
      <c r="F18" s="1"/>
      <c r="G18" s="1"/>
      <c r="H18" s="1"/>
      <c r="M18" s="1"/>
      <c r="AG18" s="16" t="str">
        <f>'抽奖|MoonBless'!DN18</f>
        <v>2元话费卡</v>
      </c>
      <c r="AH18" s="2">
        <f>'抽奖|MoonBless'!DO18</f>
        <v>2</v>
      </c>
      <c r="AI18" s="2">
        <f>'抽奖|MoonBless'!DP18</f>
        <v>20</v>
      </c>
      <c r="AJ18" s="2">
        <f>'抽奖|MoonBless'!DQ18</f>
        <v>2</v>
      </c>
      <c r="AK18" s="25">
        <f>'抽奖|MoonBless'!DR18</f>
        <v>1205</v>
      </c>
    </row>
    <row r="19" spans="5:37" x14ac:dyDescent="0.45">
      <c r="E19" s="1"/>
      <c r="F19" s="1"/>
      <c r="G19" s="1"/>
      <c r="H19" s="1"/>
      <c r="M19" s="1"/>
      <c r="AG19" s="18" t="str">
        <f>'抽奖|MoonBless'!DN19</f>
        <v>高压锅</v>
      </c>
      <c r="AH19" s="19">
        <f>'抽奖|MoonBless'!DO19</f>
        <v>200</v>
      </c>
      <c r="AI19" s="19">
        <f>'抽奖|MoonBless'!DP19</f>
        <v>2000</v>
      </c>
      <c r="AJ19" s="19">
        <f>'抽奖|MoonBless'!DQ19</f>
        <v>2</v>
      </c>
      <c r="AK19" s="27">
        <f>'抽奖|MoonBless'!DR19</f>
        <v>1208</v>
      </c>
    </row>
    <row r="20" spans="5:37" x14ac:dyDescent="0.45">
      <c r="E20" s="1"/>
      <c r="F20" s="1"/>
      <c r="G20" s="1"/>
      <c r="H20" s="1"/>
      <c r="M20" s="1"/>
      <c r="AG20" s="2" t="str">
        <f>'抽奖|MoonBless'!DN20</f>
        <v>30元话费卡</v>
      </c>
      <c r="AH20" s="2">
        <f>'抽奖|MoonBless'!DO20</f>
        <v>30</v>
      </c>
      <c r="AI20" s="2">
        <f>'抽奖|MoonBless'!DP20</f>
        <v>300</v>
      </c>
      <c r="AJ20" s="2">
        <f>'抽奖|MoonBless'!DQ20</f>
        <v>2</v>
      </c>
      <c r="AK20" s="2">
        <f>'抽奖|MoonBless'!DR20</f>
        <v>1209</v>
      </c>
    </row>
    <row r="21" spans="5:37" x14ac:dyDescent="0.45">
      <c r="E21" s="1"/>
      <c r="F21" s="1"/>
      <c r="G21" s="1"/>
      <c r="H21" s="1"/>
      <c r="M21" s="1"/>
      <c r="AG21" s="2" t="str">
        <f>'抽奖|MoonBless'!DN21</f>
        <v>50元话费卡</v>
      </c>
      <c r="AH21" s="2">
        <f>'抽奖|MoonBless'!DO21</f>
        <v>50</v>
      </c>
      <c r="AI21" s="2">
        <f>'抽奖|MoonBless'!DP21</f>
        <v>500</v>
      </c>
      <c r="AJ21" s="2">
        <f>'抽奖|MoonBless'!DQ21</f>
        <v>2</v>
      </c>
      <c r="AK21" s="2">
        <f>'抽奖|MoonBless'!DR21</f>
        <v>1210</v>
      </c>
    </row>
    <row r="22" spans="5:37" x14ac:dyDescent="0.45">
      <c r="E22" s="1"/>
      <c r="F22" s="1"/>
      <c r="G22" s="1"/>
      <c r="H22" s="1"/>
      <c r="M22" s="1"/>
      <c r="AG22" s="2" t="str">
        <f>'抽奖|MoonBless'!DN22</f>
        <v>活跃度</v>
      </c>
      <c r="AH22" s="2">
        <f>'抽奖|MoonBless'!DO22</f>
        <v>1</v>
      </c>
      <c r="AI22" s="2">
        <f>'抽奖|MoonBless'!DP22</f>
        <v>10</v>
      </c>
      <c r="AJ22" s="2">
        <f>'抽奖|MoonBless'!DQ22</f>
        <v>1</v>
      </c>
      <c r="AK22" s="2">
        <f>'抽奖|MoonBless'!DR22</f>
        <v>6</v>
      </c>
    </row>
    <row r="23" spans="5:37" x14ac:dyDescent="0.45">
      <c r="E23" s="1"/>
      <c r="F23" s="1"/>
      <c r="G23" s="1"/>
      <c r="H23" s="1"/>
      <c r="M23" s="1"/>
      <c r="AG23" s="2" t="str">
        <f>'抽奖|MoonBless'!DN23</f>
        <v>红包【恭】</v>
      </c>
      <c r="AH23" s="2">
        <f>'抽奖|MoonBless'!DO23</f>
        <v>1</v>
      </c>
      <c r="AI23" s="2">
        <f>'抽奖|MoonBless'!DP23</f>
        <v>10</v>
      </c>
      <c r="AJ23" s="2">
        <f>'抽奖|MoonBless'!DQ23</f>
        <v>2</v>
      </c>
      <c r="AK23" s="2">
        <f>'抽奖|MoonBless'!DR23</f>
        <v>1301</v>
      </c>
    </row>
    <row r="24" spans="5:37" x14ac:dyDescent="0.45">
      <c r="E24" s="1"/>
      <c r="F24" s="1"/>
      <c r="G24" s="1"/>
      <c r="H24" s="1"/>
      <c r="M24" s="1"/>
      <c r="AG24" s="2" t="str">
        <f>'抽奖|MoonBless'!DN24</f>
        <v>红包【喜】</v>
      </c>
      <c r="AH24" s="2">
        <f>'抽奖|MoonBless'!DO24</f>
        <v>1</v>
      </c>
      <c r="AI24" s="2">
        <f>'抽奖|MoonBless'!DP24</f>
        <v>10</v>
      </c>
      <c r="AJ24" s="2">
        <f>'抽奖|MoonBless'!DQ24</f>
        <v>2</v>
      </c>
      <c r="AK24" s="2">
        <f>'抽奖|MoonBless'!DR24</f>
        <v>1302</v>
      </c>
    </row>
    <row r="25" spans="5:37" x14ac:dyDescent="0.45">
      <c r="E25" s="1"/>
      <c r="F25" s="1"/>
      <c r="G25" s="1"/>
      <c r="H25" s="1"/>
      <c r="M25" s="1"/>
      <c r="AG25" s="2" t="str">
        <f>'抽奖|MoonBless'!DN25</f>
        <v>红包【发】</v>
      </c>
      <c r="AH25" s="2">
        <f>'抽奖|MoonBless'!DO25</f>
        <v>1</v>
      </c>
      <c r="AI25" s="2">
        <f>'抽奖|MoonBless'!DP25</f>
        <v>10</v>
      </c>
      <c r="AJ25" s="2">
        <f>'抽奖|MoonBless'!DQ25</f>
        <v>2</v>
      </c>
      <c r="AK25" s="2">
        <f>'抽奖|MoonBless'!DR25</f>
        <v>1303</v>
      </c>
    </row>
    <row r="26" spans="5:37" x14ac:dyDescent="0.45">
      <c r="E26" s="1"/>
      <c r="F26" s="1"/>
      <c r="G26" s="1"/>
      <c r="H26" s="1"/>
      <c r="M26" s="1"/>
      <c r="AG26" s="2" t="str">
        <f>'抽奖|MoonBless'!DN26</f>
        <v>红包【财】</v>
      </c>
      <c r="AH26" s="2">
        <f>'抽奖|MoonBless'!DO26</f>
        <v>1</v>
      </c>
      <c r="AI26" s="2">
        <f>'抽奖|MoonBless'!DP26</f>
        <v>10</v>
      </c>
      <c r="AJ26" s="2">
        <f>'抽奖|MoonBless'!DQ26</f>
        <v>2</v>
      </c>
      <c r="AK26" s="2">
        <f>'抽奖|MoonBless'!DR26</f>
        <v>1304</v>
      </c>
    </row>
    <row r="27" spans="5:37" x14ac:dyDescent="0.45">
      <c r="E27" s="1"/>
      <c r="F27" s="1"/>
      <c r="G27" s="1"/>
      <c r="H27" s="1"/>
      <c r="M27" s="1"/>
      <c r="AG27" s="2" t="str">
        <f>'抽奖|MoonBless'!DN27</f>
        <v>双轮</v>
      </c>
      <c r="AH27" s="2">
        <f>'抽奖|MoonBless'!DO27</f>
        <v>100</v>
      </c>
      <c r="AI27" s="2">
        <f>'抽奖|MoonBless'!DP27</f>
        <v>1000</v>
      </c>
      <c r="AJ27" s="2">
        <f>'抽奖|MoonBless'!DQ27</f>
        <v>2</v>
      </c>
      <c r="AK27" s="2">
        <f>'抽奖|MoonBless'!DR27</f>
        <v>1500</v>
      </c>
    </row>
    <row r="28" spans="5:37" x14ac:dyDescent="0.45">
      <c r="E28" s="1"/>
      <c r="F28" s="1"/>
      <c r="G28" s="1"/>
      <c r="H28" s="1"/>
      <c r="M28" s="1"/>
    </row>
    <row r="29" spans="5:37" x14ac:dyDescent="0.45">
      <c r="E29" s="1"/>
      <c r="F29" s="1"/>
      <c r="G29" s="1"/>
      <c r="H29" s="1"/>
      <c r="M29" s="1"/>
    </row>
    <row r="30" spans="5:37" x14ac:dyDescent="0.45">
      <c r="E30" s="1"/>
      <c r="F30" s="1"/>
      <c r="G30" s="1"/>
      <c r="H30" s="1"/>
      <c r="M30" s="1"/>
    </row>
    <row r="31" spans="5:37" x14ac:dyDescent="0.45">
      <c r="E31" s="1"/>
      <c r="F31" s="1"/>
      <c r="G31" s="1"/>
      <c r="H31" s="1"/>
      <c r="M31" s="1"/>
    </row>
    <row r="32" spans="5:37" x14ac:dyDescent="0.45">
      <c r="E32" s="1"/>
      <c r="F32" s="1"/>
      <c r="G32" s="1"/>
      <c r="H32" s="1"/>
      <c r="M32" s="1"/>
    </row>
    <row r="33" spans="5:13" x14ac:dyDescent="0.45">
      <c r="E33" s="1"/>
      <c r="F33" s="1"/>
      <c r="G33" s="1"/>
      <c r="H33" s="1"/>
      <c r="M33" s="1"/>
    </row>
    <row r="34" spans="5:13" x14ac:dyDescent="0.45">
      <c r="E34" s="1"/>
      <c r="F34" s="1"/>
      <c r="G34" s="1"/>
      <c r="H34" s="1"/>
      <c r="M34" s="1"/>
    </row>
    <row r="35" spans="5:13" x14ac:dyDescent="0.45">
      <c r="E35" s="1"/>
      <c r="F35" s="1"/>
      <c r="G35" s="1"/>
      <c r="H35" s="1"/>
      <c r="M35" s="1"/>
    </row>
    <row r="36" spans="5:13" x14ac:dyDescent="0.45">
      <c r="E36" s="1"/>
      <c r="F36" s="1"/>
      <c r="G36" s="1"/>
      <c r="H36" s="1"/>
      <c r="M36" s="1"/>
    </row>
    <row r="37" spans="5:13" x14ac:dyDescent="0.45">
      <c r="E37" s="1"/>
      <c r="F37" s="1"/>
      <c r="G37" s="1"/>
      <c r="H37" s="1"/>
      <c r="M37" s="1"/>
    </row>
    <row r="38" spans="5:13" x14ac:dyDescent="0.45">
      <c r="E38" s="1"/>
      <c r="F38" s="1"/>
      <c r="G38" s="1"/>
      <c r="H38" s="1"/>
      <c r="M38" s="1"/>
    </row>
    <row r="39" spans="5:13" x14ac:dyDescent="0.45">
      <c r="E39" s="1"/>
      <c r="F39" s="1"/>
      <c r="G39" s="1"/>
      <c r="H39" s="1"/>
      <c r="M39" s="1"/>
    </row>
    <row r="40" spans="5:13" x14ac:dyDescent="0.45">
      <c r="E40" s="1"/>
      <c r="F40" s="1"/>
      <c r="G40" s="1"/>
      <c r="H40" s="1"/>
      <c r="M40" s="1"/>
    </row>
    <row r="41" spans="5:13" x14ac:dyDescent="0.45">
      <c r="E41" s="1"/>
      <c r="F41" s="1"/>
      <c r="G41" s="1"/>
      <c r="H41" s="1"/>
      <c r="M41" s="1"/>
    </row>
    <row r="42" spans="5:13" x14ac:dyDescent="0.45">
      <c r="E42" s="1"/>
      <c r="F42" s="1"/>
      <c r="G42" s="1"/>
      <c r="H42" s="1"/>
      <c r="M42" s="1"/>
    </row>
    <row r="43" spans="5:13" x14ac:dyDescent="0.45">
      <c r="E43" s="1"/>
      <c r="F43" s="1"/>
      <c r="G43" s="1"/>
      <c r="H43" s="1"/>
      <c r="M43" s="1"/>
    </row>
    <row r="44" spans="5:13" x14ac:dyDescent="0.45">
      <c r="E44" s="1"/>
      <c r="F44" s="1"/>
      <c r="G44" s="1"/>
      <c r="H44" s="1"/>
      <c r="M44" s="1"/>
    </row>
    <row r="45" spans="5:13" x14ac:dyDescent="0.45">
      <c r="E45" s="1"/>
      <c r="F45" s="1"/>
      <c r="G45" s="1"/>
      <c r="H45" s="1"/>
      <c r="M45" s="1"/>
    </row>
    <row r="46" spans="5:13" x14ac:dyDescent="0.45">
      <c r="E46" s="1"/>
      <c r="F46" s="1"/>
      <c r="G46" s="1"/>
      <c r="H46" s="1"/>
      <c r="M46" s="1"/>
    </row>
    <row r="47" spans="5:13" x14ac:dyDescent="0.45">
      <c r="E47" s="1"/>
      <c r="F47" s="1"/>
      <c r="G47" s="1"/>
      <c r="H47" s="1"/>
      <c r="M47" s="1"/>
    </row>
    <row r="48" spans="5:13" x14ac:dyDescent="0.45">
      <c r="E48" s="1"/>
      <c r="F48" s="1"/>
      <c r="G48" s="1"/>
      <c r="H48" s="1"/>
      <c r="M48" s="1"/>
    </row>
    <row r="49" spans="5:13" x14ac:dyDescent="0.45">
      <c r="E49" s="1"/>
      <c r="F49" s="1"/>
      <c r="G49" s="1"/>
      <c r="H49" s="1"/>
      <c r="M49" s="1"/>
    </row>
    <row r="50" spans="5:13" x14ac:dyDescent="0.45">
      <c r="E50" s="1"/>
      <c r="F50" s="1"/>
      <c r="G50" s="1"/>
      <c r="H50" s="1"/>
      <c r="M50" s="1"/>
    </row>
    <row r="51" spans="5:13" x14ac:dyDescent="0.45">
      <c r="E51" s="1"/>
      <c r="F51" s="1"/>
      <c r="G51" s="1"/>
      <c r="H51" s="1"/>
      <c r="M51" s="1"/>
    </row>
    <row r="52" spans="5:13" x14ac:dyDescent="0.45">
      <c r="E52" s="1"/>
      <c r="F52" s="1"/>
      <c r="G52" s="1"/>
      <c r="H52" s="1"/>
      <c r="M52" s="1"/>
    </row>
  </sheetData>
  <mergeCells count="1">
    <mergeCell ref="N3:AC3"/>
  </mergeCells>
  <phoneticPr fontId="57" type="noConversion"/>
  <conditionalFormatting sqref="W4">
    <cfRule type="containsText" dxfId="196" priority="11" operator="containsText" text=" ">
      <formula>NOT(ISERROR(SEARCH(" ",W4)))</formula>
    </cfRule>
  </conditionalFormatting>
  <conditionalFormatting sqref="AA4">
    <cfRule type="containsText" dxfId="195" priority="18" operator="containsText" text=" ">
      <formula>NOT(ISERROR(SEARCH(" ",AA4)))</formula>
    </cfRule>
  </conditionalFormatting>
  <conditionalFormatting sqref="AD4">
    <cfRule type="containsText" dxfId="194" priority="10" operator="containsText" text=" ">
      <formula>NOT(ISERROR(SEARCH(" ",AD4)))</formula>
    </cfRule>
  </conditionalFormatting>
  <conditionalFormatting sqref="Z5">
    <cfRule type="containsText" dxfId="193" priority="1" operator="containsText" text=" ">
      <formula>NOT(ISERROR(SEARCH(" ",Z5)))</formula>
    </cfRule>
  </conditionalFormatting>
  <conditionalFormatting sqref="AK12">
    <cfRule type="containsText" dxfId="192" priority="37" operator="containsText" text=" ">
      <formula>NOT(ISERROR(SEARCH(" ",AK12)))</formula>
    </cfRule>
  </conditionalFormatting>
  <conditionalFormatting sqref="AG17:AH17">
    <cfRule type="containsText" dxfId="191" priority="34" operator="containsText" text=" ">
      <formula>NOT(ISERROR(SEARCH(" ",AG17)))</formula>
    </cfRule>
  </conditionalFormatting>
  <conditionalFormatting sqref="AG18:AH18">
    <cfRule type="containsText" dxfId="190" priority="33" operator="containsText" text=" ">
      <formula>NOT(ISERROR(SEARCH(" ",AG18)))</formula>
    </cfRule>
  </conditionalFormatting>
  <conditionalFormatting sqref="AK19">
    <cfRule type="containsText" dxfId="189" priority="32" operator="containsText" text=" ">
      <formula>NOT(ISERROR(SEARCH(" ",AK19)))</formula>
    </cfRule>
  </conditionalFormatting>
  <conditionalFormatting sqref="H1:H4">
    <cfRule type="containsText" dxfId="188" priority="4" operator="containsText" text=" ">
      <formula>NOT(ISERROR(SEARCH(" ",H1)))</formula>
    </cfRule>
  </conditionalFormatting>
  <conditionalFormatting sqref="H14:H1048576">
    <cfRule type="containsText" dxfId="187" priority="6" operator="containsText" text=" ">
      <formula>NOT(ISERROR(SEARCH(" ",H14)))</formula>
    </cfRule>
  </conditionalFormatting>
  <conditionalFormatting sqref="M6:M13">
    <cfRule type="containsText" dxfId="186" priority="53" operator="containsText" text=" ">
      <formula>NOT(ISERROR(SEARCH(" ",M6)))</formula>
    </cfRule>
  </conditionalFormatting>
  <conditionalFormatting sqref="AI8:AI11">
    <cfRule type="containsText" dxfId="185" priority="38" operator="containsText" text=" ">
      <formula>NOT(ISERROR(SEARCH(" ",AI8)))</formula>
    </cfRule>
  </conditionalFormatting>
  <conditionalFormatting sqref="AI13:AI16">
    <cfRule type="containsText" dxfId="184" priority="35" operator="containsText" text=" ">
      <formula>NOT(ISERROR(SEARCH(" ",AI13)))</formula>
    </cfRule>
  </conditionalFormatting>
  <conditionalFormatting sqref="AK8:AK11">
    <cfRule type="containsText" dxfId="183" priority="39" operator="containsText" text=" ">
      <formula>NOT(ISERROR(SEARCH(" ",AK8)))</formula>
    </cfRule>
  </conditionalFormatting>
  <conditionalFormatting sqref="AK13:AK16">
    <cfRule type="containsText" dxfId="182" priority="36" operator="containsText" text=" ">
      <formula>NOT(ISERROR(SEARCH(" ",AK13)))</formula>
    </cfRule>
  </conditionalFormatting>
  <conditionalFormatting sqref="J4 AG4:AK4 H5:H13 AE5:AF1048576 G1:G13 A5:D1048576 AN5:XFD7 AG5:AL7 E5:F8 M1:M4 I5:Y5 AA5:AD5">
    <cfRule type="containsText" dxfId="181" priority="8" operator="containsText" text=" ">
      <formula>NOT(ISERROR(SEARCH(" ",A1)))</formula>
    </cfRule>
  </conditionalFormatting>
  <conditionalFormatting sqref="O4 S4">
    <cfRule type="containsText" dxfId="180" priority="52" operator="containsText" text=" ">
      <formula>NOT(ISERROR(SEARCH(" ",O4)))</formula>
    </cfRule>
  </conditionalFormatting>
  <conditionalFormatting sqref="E10:F1048576 F9 N6:Q1048576 AG34:XFD1048576 AL8:XFD33">
    <cfRule type="containsText" dxfId="179" priority="55" operator="containsText" text=" ">
      <formula>NOT(ISERROR(SEARCH(" ",E6)))</formula>
    </cfRule>
  </conditionalFormatting>
  <conditionalFormatting sqref="I6:L1048576">
    <cfRule type="containsText" dxfId="178" priority="9" operator="containsText" text=" ">
      <formula>NOT(ISERROR(SEARCH(" ",I6)))</formula>
    </cfRule>
  </conditionalFormatting>
  <conditionalFormatting sqref="R6:U1048576">
    <cfRule type="containsText" dxfId="177" priority="31" operator="containsText" text=" ">
      <formula>NOT(ISERROR(SEARCH(" ",R6)))</formula>
    </cfRule>
  </conditionalFormatting>
  <conditionalFormatting sqref="V6:Y1048576">
    <cfRule type="containsText" dxfId="176" priority="29" operator="containsText" text=" ">
      <formula>NOT(ISERROR(SEARCH(" ",V6)))</formula>
    </cfRule>
  </conditionalFormatting>
  <conditionalFormatting sqref="Z6:AD1048576">
    <cfRule type="containsText" dxfId="175" priority="27" operator="containsText" text=" ">
      <formula>NOT(ISERROR(SEARCH(" ",Z6)))</formula>
    </cfRule>
  </conditionalFormatting>
  <conditionalFormatting sqref="AJ8:AJ11 AG8:AH11 AG20:AK27 AG12:AJ12 AG13:AH16 AJ13:AJ16 AI17:AK18 AG19:AJ19">
    <cfRule type="containsText" dxfId="174" priority="40" operator="containsText" text=" ">
      <formula>NOT(ISERROR(SEARCH(" ",AG8)))</formula>
    </cfRule>
  </conditionalFormatting>
  <conditionalFormatting sqref="G14:G1048576 M14:M1048576">
    <cfRule type="containsText" dxfId="173" priority="54" operator="containsText" text=" ">
      <formula>NOT(ISERROR(SEARCH(" ",G14)))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V64"/>
  <sheetViews>
    <sheetView workbookViewId="0">
      <selection activeCell="E13" sqref="E13"/>
    </sheetView>
  </sheetViews>
  <sheetFormatPr defaultColWidth="9" defaultRowHeight="16.5" x14ac:dyDescent="0.25"/>
  <cols>
    <col min="1" max="1" width="9.90625" style="2" customWidth="1"/>
    <col min="2" max="2" width="15.1796875" style="2" customWidth="1"/>
    <col min="3" max="3" width="31.453125" style="2" customWidth="1"/>
    <col min="4" max="4" width="15.08984375" style="2" customWidth="1"/>
    <col min="5" max="5" width="28.6328125" style="2" customWidth="1"/>
    <col min="6" max="9" width="9" style="2"/>
    <col min="10" max="10" width="10.453125" style="2" customWidth="1"/>
    <col min="11" max="13" width="9" style="2"/>
    <col min="14" max="14" width="9.81640625" style="2" customWidth="1"/>
    <col min="15" max="17" width="9" style="2"/>
    <col min="18" max="18" width="11.6328125" style="2" customWidth="1"/>
    <col min="19" max="16384" width="9" style="2"/>
  </cols>
  <sheetData>
    <row r="1" spans="1:22" x14ac:dyDescent="0.4">
      <c r="A1" s="3" t="s">
        <v>0</v>
      </c>
      <c r="B1" s="3" t="s">
        <v>0</v>
      </c>
      <c r="C1" s="36" t="s">
        <v>0</v>
      </c>
      <c r="D1" s="79" t="s">
        <v>0</v>
      </c>
      <c r="E1" s="79" t="s">
        <v>0</v>
      </c>
    </row>
    <row r="2" spans="1:22" x14ac:dyDescent="0.4">
      <c r="A2" s="3" t="s">
        <v>2</v>
      </c>
      <c r="B2" s="3" t="s">
        <v>2</v>
      </c>
      <c r="C2" s="36" t="s">
        <v>5</v>
      </c>
      <c r="D2" s="79" t="s">
        <v>5</v>
      </c>
      <c r="E2" s="79" t="s">
        <v>5</v>
      </c>
      <c r="G2" s="6"/>
      <c r="J2" s="2" t="s">
        <v>1896</v>
      </c>
      <c r="O2" s="2" t="str">
        <f>RIGHT(D5,LEN(LEFT(D5,2)))</f>
        <v/>
      </c>
    </row>
    <row r="3" spans="1:22" x14ac:dyDescent="0.4">
      <c r="A3" s="3" t="s">
        <v>1897</v>
      </c>
      <c r="B3" s="3" t="s">
        <v>1898</v>
      </c>
      <c r="C3" s="36" t="s">
        <v>693</v>
      </c>
      <c r="D3" s="79" t="s">
        <v>1899</v>
      </c>
      <c r="E3" s="79" t="s">
        <v>1900</v>
      </c>
      <c r="G3" s="10"/>
    </row>
    <row r="4" spans="1:22" s="10" customFormat="1" ht="80.5" x14ac:dyDescent="0.25">
      <c r="A4" s="4" t="s">
        <v>1901</v>
      </c>
      <c r="B4" s="4" t="s">
        <v>1902</v>
      </c>
      <c r="C4" s="12" t="s">
        <v>1774</v>
      </c>
      <c r="D4" s="80" t="s">
        <v>1903</v>
      </c>
      <c r="E4" s="80" t="s">
        <v>1904</v>
      </c>
      <c r="G4" s="83" t="s">
        <v>1905</v>
      </c>
      <c r="I4" s="10" t="s">
        <v>1906</v>
      </c>
      <c r="J4" s="43" t="s">
        <v>1719</v>
      </c>
      <c r="K4" s="44" t="s">
        <v>1563</v>
      </c>
      <c r="L4" s="44" t="s">
        <v>1482</v>
      </c>
      <c r="M4" s="45" t="s">
        <v>1564</v>
      </c>
      <c r="N4" s="53" t="s">
        <v>1907</v>
      </c>
      <c r="O4" s="84" t="s">
        <v>1727</v>
      </c>
      <c r="P4" s="10">
        <f>10+20+30+40+50</f>
        <v>150</v>
      </c>
      <c r="R4" s="28">
        <f>'抽奖|MoonBless'!DN4</f>
        <v>0</v>
      </c>
      <c r="S4" s="86" t="str">
        <f>'抽奖|MoonBless'!DO4</f>
        <v>人民币价值</v>
      </c>
      <c r="T4" s="44" t="str">
        <f>'抽奖|MoonBless'!DP4</f>
        <v>价值
钻石价值</v>
      </c>
      <c r="U4" s="86" t="str">
        <f>'抽奖|MoonBless'!DQ4</f>
        <v>物品类型</v>
      </c>
      <c r="V4" s="87" t="str">
        <f>'抽奖|MoonBless'!DR4</f>
        <v>id</v>
      </c>
    </row>
    <row r="5" spans="1:22" x14ac:dyDescent="0.25">
      <c r="A5" s="2">
        <v>1</v>
      </c>
      <c r="B5" s="2">
        <v>1</v>
      </c>
      <c r="C5" s="2" t="str">
        <f t="shared" ref="C5:C18" si="0">K5&amp;"|"&amp;L5&amp;"|"&amp;M5</f>
        <v>1|2|20000</v>
      </c>
      <c r="E5" s="2" t="s">
        <v>1908</v>
      </c>
      <c r="G5" s="2">
        <f>IF(F5&gt;0,1,0)</f>
        <v>0</v>
      </c>
      <c r="I5" s="2">
        <v>1</v>
      </c>
      <c r="J5" s="46" t="s">
        <v>103</v>
      </c>
      <c r="K5" s="2">
        <f t="shared" ref="K5:K18" si="1">VLOOKUP(J5,R:V,4,0)</f>
        <v>1</v>
      </c>
      <c r="L5" s="2">
        <f t="shared" ref="L5:L18" si="2">VLOOKUP(J5,R:V,5,0)</f>
        <v>2</v>
      </c>
      <c r="M5" s="47">
        <v>20000</v>
      </c>
      <c r="N5" s="2">
        <f>M5*I5</f>
        <v>20000</v>
      </c>
      <c r="O5" s="25">
        <f t="shared" ref="O5:O18" si="3">VLOOKUP(J5,R:V,2,0)*M5</f>
        <v>0.1</v>
      </c>
      <c r="P5" s="2" t="s">
        <v>1909</v>
      </c>
      <c r="Q5" s="2">
        <f>SUMIF($J$5:$J$34,"金币",$M$5:$M$34)</f>
        <v>1440000</v>
      </c>
      <c r="R5" s="16" t="str">
        <f>'抽奖|MoonBless'!DN5</f>
        <v>人民币</v>
      </c>
      <c r="S5" s="2">
        <f>'抽奖|MoonBless'!DO5</f>
        <v>1</v>
      </c>
      <c r="T5" s="2">
        <f>'抽奖|MoonBless'!DP5</f>
        <v>10</v>
      </c>
      <c r="U5" s="2">
        <f>'抽奖|MoonBless'!DQ5</f>
        <v>1</v>
      </c>
      <c r="V5" s="25">
        <f>'抽奖|MoonBless'!DR5</f>
        <v>0</v>
      </c>
    </row>
    <row r="6" spans="1:22" x14ac:dyDescent="0.25">
      <c r="A6" s="2">
        <v>2</v>
      </c>
      <c r="B6" s="2">
        <v>1</v>
      </c>
      <c r="C6" s="2" t="str">
        <f t="shared" si="0"/>
        <v>1|2|50000</v>
      </c>
      <c r="D6" s="2" t="s">
        <v>1910</v>
      </c>
      <c r="E6" s="2" t="s">
        <v>1908</v>
      </c>
      <c r="G6" s="2">
        <v>0</v>
      </c>
      <c r="I6" s="2">
        <f t="shared" ref="I6:I11" si="4">(LEFT(D6,1)+RIGHT(D6,LEN(D6)-LEN(LEFT(D6,2))))/2</f>
        <v>6</v>
      </c>
      <c r="J6" s="46" t="s">
        <v>103</v>
      </c>
      <c r="K6" s="2">
        <f t="shared" si="1"/>
        <v>1</v>
      </c>
      <c r="L6" s="2">
        <f t="shared" si="2"/>
        <v>2</v>
      </c>
      <c r="M6" s="47">
        <v>50000</v>
      </c>
      <c r="N6" s="2">
        <f t="shared" ref="N6:N11" si="5">M6*I6</f>
        <v>300000</v>
      </c>
      <c r="O6" s="25">
        <f t="shared" si="3"/>
        <v>0.25</v>
      </c>
      <c r="P6" s="2" t="s">
        <v>1911</v>
      </c>
      <c r="Q6" s="2">
        <f>SUMIF($J$5:$J$34,"钻石",$M$5:$M$34)</f>
        <v>0</v>
      </c>
      <c r="R6" s="16" t="str">
        <f>'抽奖|MoonBless'!DN6</f>
        <v>钻石</v>
      </c>
      <c r="S6" s="2">
        <f>'抽奖|MoonBless'!DO6</f>
        <v>0.1</v>
      </c>
      <c r="T6" s="2">
        <f>'抽奖|MoonBless'!DP6</f>
        <v>1</v>
      </c>
      <c r="U6" s="2">
        <f>'抽奖|MoonBless'!DQ6</f>
        <v>1</v>
      </c>
      <c r="V6" s="25">
        <f>'抽奖|MoonBless'!DR6</f>
        <v>1</v>
      </c>
    </row>
    <row r="7" spans="1:22" x14ac:dyDescent="0.25">
      <c r="A7" s="2">
        <v>3</v>
      </c>
      <c r="B7" s="2">
        <v>1</v>
      </c>
      <c r="C7" s="2" t="str">
        <f t="shared" si="0"/>
        <v>1|2|80000</v>
      </c>
      <c r="D7" s="2" t="s">
        <v>813</v>
      </c>
      <c r="E7" s="2" t="s">
        <v>1908</v>
      </c>
      <c r="G7" s="2">
        <v>1</v>
      </c>
      <c r="I7" s="2">
        <f t="shared" si="4"/>
        <v>5</v>
      </c>
      <c r="J7" s="46" t="s">
        <v>103</v>
      </c>
      <c r="K7" s="2">
        <f t="shared" si="1"/>
        <v>1</v>
      </c>
      <c r="L7" s="2">
        <f t="shared" si="2"/>
        <v>2</v>
      </c>
      <c r="M7" s="47">
        <v>80000</v>
      </c>
      <c r="N7" s="2">
        <f t="shared" si="5"/>
        <v>400000</v>
      </c>
      <c r="O7" s="25">
        <f t="shared" si="3"/>
        <v>0.4</v>
      </c>
      <c r="P7" s="2" t="s">
        <v>1912</v>
      </c>
      <c r="Q7" s="2">
        <f>SUMIF($J$5:$J$34,"锁定",$M$5:$M$34)</f>
        <v>0</v>
      </c>
      <c r="R7" s="16" t="str">
        <f>'抽奖|MoonBless'!DN7</f>
        <v>金币</v>
      </c>
      <c r="S7" s="2">
        <f>'抽奖|MoonBless'!DO7</f>
        <v>5.0000000000000004E-6</v>
      </c>
      <c r="T7" s="2">
        <f>'抽奖|MoonBless'!DP7</f>
        <v>5.0000000000000002E-5</v>
      </c>
      <c r="U7" s="2">
        <f>'抽奖|MoonBless'!DQ7</f>
        <v>1</v>
      </c>
      <c r="V7" s="25">
        <f>'抽奖|MoonBless'!DR7</f>
        <v>2</v>
      </c>
    </row>
    <row r="8" spans="1:22" x14ac:dyDescent="0.25">
      <c r="A8" s="2">
        <v>4</v>
      </c>
      <c r="B8" s="2">
        <v>1</v>
      </c>
      <c r="C8" s="2" t="str">
        <f t="shared" si="0"/>
        <v>1|2|100000</v>
      </c>
      <c r="D8" s="2" t="s">
        <v>1913</v>
      </c>
      <c r="E8" s="2" t="s">
        <v>1908</v>
      </c>
      <c r="G8" s="2">
        <v>0</v>
      </c>
      <c r="I8" s="2">
        <f t="shared" si="4"/>
        <v>4.5</v>
      </c>
      <c r="J8" s="46" t="s">
        <v>103</v>
      </c>
      <c r="K8" s="2">
        <f t="shared" si="1"/>
        <v>1</v>
      </c>
      <c r="L8" s="2">
        <f t="shared" si="2"/>
        <v>2</v>
      </c>
      <c r="M8" s="47">
        <v>100000</v>
      </c>
      <c r="N8" s="2">
        <f t="shared" si="5"/>
        <v>450000</v>
      </c>
      <c r="O8" s="25">
        <f t="shared" si="3"/>
        <v>0.5</v>
      </c>
      <c r="P8" s="2" t="s">
        <v>1914</v>
      </c>
      <c r="Q8" s="2">
        <f>SUMIF($J$5:$J$34,"狂暴",$M$5:$M$34)</f>
        <v>0</v>
      </c>
      <c r="R8" s="16" t="str">
        <f>'抽奖|MoonBless'!DN8</f>
        <v>锁定</v>
      </c>
      <c r="S8" s="2">
        <f>'抽奖|MoonBless'!DO8</f>
        <v>0.2</v>
      </c>
      <c r="T8" s="2">
        <f>'抽奖|MoonBless'!DP8</f>
        <v>2</v>
      </c>
      <c r="U8" s="2">
        <f>'抽奖|MoonBless'!DQ8</f>
        <v>2</v>
      </c>
      <c r="V8" s="25">
        <f>'抽奖|MoonBless'!DR8</f>
        <v>1001</v>
      </c>
    </row>
    <row r="9" spans="1:22" x14ac:dyDescent="0.25">
      <c r="A9" s="2">
        <v>5</v>
      </c>
      <c r="B9" s="2">
        <v>1</v>
      </c>
      <c r="C9" s="2" t="str">
        <f t="shared" si="0"/>
        <v>1|2|120000</v>
      </c>
      <c r="D9" s="2" t="s">
        <v>1915</v>
      </c>
      <c r="E9" s="2" t="s">
        <v>1908</v>
      </c>
      <c r="G9" s="2">
        <v>0</v>
      </c>
      <c r="I9" s="2">
        <f t="shared" si="4"/>
        <v>4</v>
      </c>
      <c r="J9" s="46" t="s">
        <v>103</v>
      </c>
      <c r="K9" s="2">
        <f t="shared" si="1"/>
        <v>1</v>
      </c>
      <c r="L9" s="2">
        <f t="shared" si="2"/>
        <v>2</v>
      </c>
      <c r="M9" s="47">
        <v>120000</v>
      </c>
      <c r="N9" s="2">
        <f t="shared" si="5"/>
        <v>480000</v>
      </c>
      <c r="O9" s="25">
        <f t="shared" si="3"/>
        <v>0.60000000000000009</v>
      </c>
      <c r="R9" s="16" t="str">
        <f>'抽奖|MoonBless'!DN9</f>
        <v>冰冻</v>
      </c>
      <c r="S9" s="2">
        <f>'抽奖|MoonBless'!DO9</f>
        <v>0.5</v>
      </c>
      <c r="T9" s="2">
        <f>'抽奖|MoonBless'!DP9</f>
        <v>5</v>
      </c>
      <c r="U9" s="2">
        <f>'抽奖|MoonBless'!DQ9</f>
        <v>2</v>
      </c>
      <c r="V9" s="25">
        <f>'抽奖|MoonBless'!DR9</f>
        <v>1002</v>
      </c>
    </row>
    <row r="10" spans="1:22" x14ac:dyDescent="0.25">
      <c r="A10" s="81">
        <v>6</v>
      </c>
      <c r="B10" s="2">
        <v>1</v>
      </c>
      <c r="C10" s="2" t="str">
        <f t="shared" si="0"/>
        <v>1|2|150000</v>
      </c>
      <c r="D10" s="2" t="s">
        <v>1915</v>
      </c>
      <c r="E10" s="2" t="s">
        <v>1908</v>
      </c>
      <c r="G10" s="2">
        <v>0</v>
      </c>
      <c r="I10" s="2">
        <f t="shared" si="4"/>
        <v>4</v>
      </c>
      <c r="J10" s="46" t="s">
        <v>103</v>
      </c>
      <c r="K10" s="2">
        <f t="shared" si="1"/>
        <v>1</v>
      </c>
      <c r="L10" s="2">
        <f t="shared" si="2"/>
        <v>2</v>
      </c>
      <c r="M10" s="47">
        <v>150000</v>
      </c>
      <c r="N10" s="2">
        <f t="shared" si="5"/>
        <v>600000</v>
      </c>
      <c r="O10" s="25">
        <f t="shared" si="3"/>
        <v>0.75000000000000011</v>
      </c>
      <c r="R10" s="16" t="str">
        <f>'抽奖|MoonBless'!DN10</f>
        <v>狂暴</v>
      </c>
      <c r="S10" s="2">
        <f>'抽奖|MoonBless'!DO10</f>
        <v>2</v>
      </c>
      <c r="T10" s="2">
        <f>'抽奖|MoonBless'!DP10</f>
        <v>20</v>
      </c>
      <c r="U10" s="2">
        <f>'抽奖|MoonBless'!DQ10</f>
        <v>2</v>
      </c>
      <c r="V10" s="25">
        <f>'抽奖|MoonBless'!DR10</f>
        <v>1003</v>
      </c>
    </row>
    <row r="11" spans="1:22" x14ac:dyDescent="0.25">
      <c r="A11" s="2">
        <v>7</v>
      </c>
      <c r="B11" s="2">
        <v>1</v>
      </c>
      <c r="C11" s="2" t="str">
        <f t="shared" si="0"/>
        <v>1|2|200000</v>
      </c>
      <c r="D11" s="2" t="s">
        <v>1436</v>
      </c>
      <c r="E11" s="2" t="s">
        <v>1908</v>
      </c>
      <c r="G11" s="2">
        <v>1</v>
      </c>
      <c r="I11" s="2">
        <f t="shared" si="4"/>
        <v>3.5</v>
      </c>
      <c r="J11" s="46" t="s">
        <v>103</v>
      </c>
      <c r="K11" s="2">
        <f t="shared" si="1"/>
        <v>1</v>
      </c>
      <c r="L11" s="2">
        <f t="shared" si="2"/>
        <v>2</v>
      </c>
      <c r="M11" s="47">
        <v>200000</v>
      </c>
      <c r="N11" s="2">
        <f t="shared" si="5"/>
        <v>700000</v>
      </c>
      <c r="O11" s="25">
        <f t="shared" si="3"/>
        <v>1</v>
      </c>
      <c r="R11" s="16" t="str">
        <f>'抽奖|MoonBless'!DN11</f>
        <v>召唤</v>
      </c>
      <c r="S11" s="2">
        <f>'抽奖|MoonBless'!DO11</f>
        <v>0.2</v>
      </c>
      <c r="T11" s="2">
        <f>'抽奖|MoonBless'!DP11</f>
        <v>2</v>
      </c>
      <c r="U11" s="2">
        <f>'抽奖|MoonBless'!DQ11</f>
        <v>2</v>
      </c>
      <c r="V11" s="25">
        <f>'抽奖|MoonBless'!DR11</f>
        <v>1004</v>
      </c>
    </row>
    <row r="12" spans="1:22" x14ac:dyDescent="0.25">
      <c r="A12" s="2">
        <v>8</v>
      </c>
      <c r="B12" s="2">
        <v>2</v>
      </c>
      <c r="C12" s="2" t="str">
        <f t="shared" si="0"/>
        <v>1|2|20000</v>
      </c>
      <c r="E12" s="2" t="s">
        <v>1908</v>
      </c>
      <c r="G12" s="2">
        <v>0</v>
      </c>
      <c r="J12" s="46" t="s">
        <v>103</v>
      </c>
      <c r="K12" s="2">
        <f t="shared" si="1"/>
        <v>1</v>
      </c>
      <c r="L12" s="2">
        <f t="shared" si="2"/>
        <v>2</v>
      </c>
      <c r="M12" s="47">
        <f>M5</f>
        <v>20000</v>
      </c>
      <c r="O12" s="25">
        <f t="shared" si="3"/>
        <v>0.1</v>
      </c>
      <c r="R12" s="16" t="str">
        <f>'抽奖|MoonBless'!DN12</f>
        <v>福卡</v>
      </c>
      <c r="S12" s="2">
        <f>'抽奖|MoonBless'!DO12</f>
        <v>2.5000000000000001E-3</v>
      </c>
      <c r="T12" s="2">
        <f>'抽奖|MoonBless'!DP12</f>
        <v>2.5000000000000001E-2</v>
      </c>
      <c r="U12" s="2">
        <f>'抽奖|MoonBless'!DQ12</f>
        <v>2</v>
      </c>
      <c r="V12" s="25">
        <f>'抽奖|MoonBless'!DR12</f>
        <v>1204</v>
      </c>
    </row>
    <row r="13" spans="1:22" x14ac:dyDescent="0.25">
      <c r="A13" s="2">
        <v>9</v>
      </c>
      <c r="B13" s="2">
        <v>2</v>
      </c>
      <c r="C13" s="2" t="str">
        <f t="shared" si="0"/>
        <v>1|2|50000</v>
      </c>
      <c r="E13" s="2" t="s">
        <v>1908</v>
      </c>
      <c r="G13" s="2">
        <v>0</v>
      </c>
      <c r="J13" s="46" t="s">
        <v>103</v>
      </c>
      <c r="K13" s="2">
        <f t="shared" si="1"/>
        <v>1</v>
      </c>
      <c r="L13" s="2">
        <f t="shared" si="2"/>
        <v>2</v>
      </c>
      <c r="M13" s="47">
        <f t="shared" ref="M13:M18" si="6">M6</f>
        <v>50000</v>
      </c>
      <c r="O13" s="25">
        <f t="shared" si="3"/>
        <v>0.25</v>
      </c>
      <c r="R13" s="16" t="str">
        <f>'抽奖|MoonBless'!DN13</f>
        <v>超级武器1</v>
      </c>
      <c r="S13" s="2">
        <f>'抽奖|MoonBless'!DO13</f>
        <v>5</v>
      </c>
      <c r="T13" s="2">
        <f>'抽奖|MoonBless'!DP13</f>
        <v>50</v>
      </c>
      <c r="U13" s="2">
        <f>'抽奖|MoonBless'!DQ13</f>
        <v>2</v>
      </c>
      <c r="V13" s="25">
        <f>'抽奖|MoonBless'!DR13</f>
        <v>1005</v>
      </c>
    </row>
    <row r="14" spans="1:22" x14ac:dyDescent="0.25">
      <c r="A14" s="2">
        <v>10</v>
      </c>
      <c r="B14" s="2">
        <v>2</v>
      </c>
      <c r="C14" s="2" t="str">
        <f t="shared" si="0"/>
        <v>1|2|80000</v>
      </c>
      <c r="E14" s="2" t="s">
        <v>1908</v>
      </c>
      <c r="G14" s="2">
        <v>0</v>
      </c>
      <c r="J14" s="46" t="s">
        <v>103</v>
      </c>
      <c r="K14" s="2">
        <f t="shared" si="1"/>
        <v>1</v>
      </c>
      <c r="L14" s="2">
        <f t="shared" si="2"/>
        <v>2</v>
      </c>
      <c r="M14" s="47">
        <f t="shared" si="6"/>
        <v>80000</v>
      </c>
      <c r="O14" s="25">
        <f t="shared" si="3"/>
        <v>0.4</v>
      </c>
      <c r="R14" s="16" t="str">
        <f>'抽奖|MoonBless'!DN14</f>
        <v>超级武器2</v>
      </c>
      <c r="S14" s="2">
        <f>'抽奖|MoonBless'!DO14</f>
        <v>10</v>
      </c>
      <c r="T14" s="2">
        <f>'抽奖|MoonBless'!DP14</f>
        <v>100</v>
      </c>
      <c r="U14" s="2">
        <f>'抽奖|MoonBless'!DQ14</f>
        <v>2</v>
      </c>
      <c r="V14" s="25">
        <f>'抽奖|MoonBless'!DR14</f>
        <v>1006</v>
      </c>
    </row>
    <row r="15" spans="1:22" x14ac:dyDescent="0.25">
      <c r="A15" s="2">
        <v>11</v>
      </c>
      <c r="B15" s="2">
        <v>2</v>
      </c>
      <c r="C15" s="2" t="str">
        <f t="shared" si="0"/>
        <v>1|2|100000</v>
      </c>
      <c r="E15" s="2" t="s">
        <v>1908</v>
      </c>
      <c r="G15" s="2">
        <v>1</v>
      </c>
      <c r="J15" s="46" t="s">
        <v>103</v>
      </c>
      <c r="K15" s="2">
        <f t="shared" si="1"/>
        <v>1</v>
      </c>
      <c r="L15" s="2">
        <f t="shared" si="2"/>
        <v>2</v>
      </c>
      <c r="M15" s="47">
        <f t="shared" si="6"/>
        <v>100000</v>
      </c>
      <c r="O15" s="25">
        <f t="shared" si="3"/>
        <v>0.5</v>
      </c>
      <c r="R15" s="16" t="str">
        <f>'抽奖|MoonBless'!DN15</f>
        <v>超级武器3</v>
      </c>
      <c r="S15" s="2">
        <f>'抽奖|MoonBless'!DO15</f>
        <v>25</v>
      </c>
      <c r="T15" s="2">
        <f>'抽奖|MoonBless'!DP15</f>
        <v>250</v>
      </c>
      <c r="U15" s="2">
        <f>'抽奖|MoonBless'!DQ15</f>
        <v>2</v>
      </c>
      <c r="V15" s="25">
        <f>'抽奖|MoonBless'!DR15</f>
        <v>1007</v>
      </c>
    </row>
    <row r="16" spans="1:22" x14ac:dyDescent="0.25">
      <c r="A16" s="81">
        <v>12</v>
      </c>
      <c r="B16" s="2">
        <v>2</v>
      </c>
      <c r="C16" s="2" t="str">
        <f t="shared" si="0"/>
        <v>1|2|120000</v>
      </c>
      <c r="E16" s="2" t="s">
        <v>1908</v>
      </c>
      <c r="G16" s="2">
        <v>0</v>
      </c>
      <c r="J16" s="46" t="s">
        <v>103</v>
      </c>
      <c r="K16" s="2">
        <f t="shared" si="1"/>
        <v>1</v>
      </c>
      <c r="L16" s="2">
        <f t="shared" si="2"/>
        <v>2</v>
      </c>
      <c r="M16" s="47">
        <f t="shared" si="6"/>
        <v>120000</v>
      </c>
      <c r="O16" s="25">
        <f t="shared" si="3"/>
        <v>0.60000000000000009</v>
      </c>
      <c r="R16" s="16" t="str">
        <f>'抽奖|MoonBless'!DN16</f>
        <v>超级武器4</v>
      </c>
      <c r="S16" s="2">
        <f>'抽奖|MoonBless'!DO16</f>
        <v>50</v>
      </c>
      <c r="T16" s="2">
        <f>'抽奖|MoonBless'!DP16</f>
        <v>500</v>
      </c>
      <c r="U16" s="2">
        <f>'抽奖|MoonBless'!DQ16</f>
        <v>2</v>
      </c>
      <c r="V16" s="25">
        <f>'抽奖|MoonBless'!DR16</f>
        <v>1008</v>
      </c>
    </row>
    <row r="17" spans="1:22" x14ac:dyDescent="0.25">
      <c r="A17" s="2">
        <v>13</v>
      </c>
      <c r="B17" s="2">
        <v>2</v>
      </c>
      <c r="C17" s="2" t="str">
        <f t="shared" si="0"/>
        <v>1|2|150000</v>
      </c>
      <c r="E17" s="2" t="s">
        <v>1908</v>
      </c>
      <c r="G17" s="2">
        <v>0</v>
      </c>
      <c r="J17" s="46" t="s">
        <v>103</v>
      </c>
      <c r="K17" s="2">
        <f t="shared" si="1"/>
        <v>1</v>
      </c>
      <c r="L17" s="2">
        <f t="shared" si="2"/>
        <v>2</v>
      </c>
      <c r="M17" s="47">
        <f t="shared" si="6"/>
        <v>150000</v>
      </c>
      <c r="O17" s="25">
        <f t="shared" si="3"/>
        <v>0.75000000000000011</v>
      </c>
      <c r="R17" s="16" t="str">
        <f>'抽奖|MoonBless'!DN17</f>
        <v>5元话费卡</v>
      </c>
      <c r="S17" s="2">
        <f>'抽奖|MoonBless'!DO17</f>
        <v>5</v>
      </c>
      <c r="T17" s="2">
        <f>'抽奖|MoonBless'!DP17</f>
        <v>50</v>
      </c>
      <c r="U17" s="2">
        <f>'抽奖|MoonBless'!DQ17</f>
        <v>2</v>
      </c>
      <c r="V17" s="25">
        <f>'抽奖|MoonBless'!DR17</f>
        <v>1206</v>
      </c>
    </row>
    <row r="18" spans="1:22" x14ac:dyDescent="0.25">
      <c r="A18" s="2">
        <v>14</v>
      </c>
      <c r="B18" s="2">
        <v>2</v>
      </c>
      <c r="C18" s="2" t="str">
        <f t="shared" si="0"/>
        <v>1|2|200000</v>
      </c>
      <c r="E18" s="2" t="s">
        <v>1908</v>
      </c>
      <c r="G18" s="2">
        <v>0</v>
      </c>
      <c r="J18" s="46" t="s">
        <v>103</v>
      </c>
      <c r="K18" s="2">
        <f t="shared" si="1"/>
        <v>1</v>
      </c>
      <c r="L18" s="2">
        <f t="shared" si="2"/>
        <v>2</v>
      </c>
      <c r="M18" s="47">
        <f t="shared" si="6"/>
        <v>200000</v>
      </c>
      <c r="O18" s="25">
        <f t="shared" si="3"/>
        <v>1</v>
      </c>
      <c r="R18" s="16" t="str">
        <f>'抽奖|MoonBless'!DN18</f>
        <v>2元话费卡</v>
      </c>
      <c r="S18" s="2">
        <f>'抽奖|MoonBless'!DO18</f>
        <v>2</v>
      </c>
      <c r="T18" s="2">
        <f>'抽奖|MoonBless'!DP18</f>
        <v>20</v>
      </c>
      <c r="U18" s="2">
        <f>'抽奖|MoonBless'!DQ18</f>
        <v>2</v>
      </c>
      <c r="V18" s="25">
        <f>'抽奖|MoonBless'!DR18</f>
        <v>1205</v>
      </c>
    </row>
    <row r="19" spans="1:22" x14ac:dyDescent="0.25">
      <c r="J19" s="48"/>
      <c r="M19" s="47"/>
      <c r="O19" s="25"/>
      <c r="R19" s="18" t="str">
        <f>'抽奖|MoonBless'!DN19</f>
        <v>高压锅</v>
      </c>
      <c r="S19" s="19">
        <f>'抽奖|MoonBless'!DO19</f>
        <v>200</v>
      </c>
      <c r="T19" s="19">
        <f>'抽奖|MoonBless'!DP19</f>
        <v>2000</v>
      </c>
      <c r="U19" s="19">
        <f>'抽奖|MoonBless'!DQ19</f>
        <v>2</v>
      </c>
      <c r="V19" s="27">
        <f>'抽奖|MoonBless'!DR19</f>
        <v>1208</v>
      </c>
    </row>
    <row r="20" spans="1:22" x14ac:dyDescent="0.25">
      <c r="J20" s="46"/>
      <c r="M20" s="47"/>
      <c r="O20" s="25"/>
      <c r="R20" s="2" t="str">
        <f>'抽奖|MoonBless'!DN20</f>
        <v>30元话费卡</v>
      </c>
      <c r="S20" s="2">
        <f>'抽奖|MoonBless'!DO20</f>
        <v>30</v>
      </c>
      <c r="T20" s="2">
        <f>'抽奖|MoonBless'!DP20</f>
        <v>300</v>
      </c>
      <c r="U20" s="2">
        <f>'抽奖|MoonBless'!DQ20</f>
        <v>2</v>
      </c>
      <c r="V20" s="2">
        <f>'抽奖|MoonBless'!DR20</f>
        <v>1209</v>
      </c>
    </row>
    <row r="21" spans="1:22" x14ac:dyDescent="0.25">
      <c r="J21" s="46"/>
      <c r="M21" s="47"/>
      <c r="O21" s="25"/>
      <c r="R21" s="2" t="str">
        <f>'抽奖|MoonBless'!DN21</f>
        <v>50元话费卡</v>
      </c>
      <c r="S21" s="2">
        <f>'抽奖|MoonBless'!DO21</f>
        <v>50</v>
      </c>
      <c r="T21" s="2">
        <f>'抽奖|MoonBless'!DP21</f>
        <v>500</v>
      </c>
      <c r="U21" s="2">
        <f>'抽奖|MoonBless'!DQ21</f>
        <v>2</v>
      </c>
      <c r="V21" s="2">
        <f>'抽奖|MoonBless'!DR21</f>
        <v>1210</v>
      </c>
    </row>
    <row r="22" spans="1:22" x14ac:dyDescent="0.25">
      <c r="A22" s="81"/>
      <c r="J22" s="48"/>
      <c r="M22" s="47"/>
      <c r="O22" s="25"/>
      <c r="R22" s="2" t="str">
        <f>'抽奖|MoonBless'!DN22</f>
        <v>活跃度</v>
      </c>
      <c r="S22" s="2">
        <f>'抽奖|MoonBless'!DO22</f>
        <v>1</v>
      </c>
      <c r="T22" s="2">
        <f>'抽奖|MoonBless'!DP22</f>
        <v>10</v>
      </c>
      <c r="U22" s="2">
        <f>'抽奖|MoonBless'!DQ22</f>
        <v>1</v>
      </c>
      <c r="V22" s="2">
        <f>'抽奖|MoonBless'!DR22</f>
        <v>6</v>
      </c>
    </row>
    <row r="23" spans="1:22" x14ac:dyDescent="0.25">
      <c r="J23" s="46"/>
      <c r="M23" s="47"/>
      <c r="O23" s="25"/>
      <c r="R23" s="2" t="str">
        <f>'抽奖|MoonBless'!DN23</f>
        <v>红包【恭】</v>
      </c>
      <c r="S23" s="2">
        <f>'抽奖|MoonBless'!DO23</f>
        <v>1</v>
      </c>
      <c r="T23" s="2">
        <f>'抽奖|MoonBless'!DP23</f>
        <v>10</v>
      </c>
      <c r="U23" s="2">
        <f>'抽奖|MoonBless'!DQ23</f>
        <v>2</v>
      </c>
      <c r="V23" s="2">
        <f>'抽奖|MoonBless'!DR23</f>
        <v>1301</v>
      </c>
    </row>
    <row r="24" spans="1:22" x14ac:dyDescent="0.25">
      <c r="J24" s="46"/>
      <c r="M24" s="47"/>
      <c r="O24" s="25"/>
      <c r="R24" s="2" t="str">
        <f>'抽奖|MoonBless'!DN24</f>
        <v>红包【喜】</v>
      </c>
      <c r="S24" s="2">
        <f>'抽奖|MoonBless'!DO24</f>
        <v>1</v>
      </c>
      <c r="T24" s="2">
        <f>'抽奖|MoonBless'!DP24</f>
        <v>10</v>
      </c>
      <c r="U24" s="2">
        <f>'抽奖|MoonBless'!DQ24</f>
        <v>2</v>
      </c>
      <c r="V24" s="2">
        <f>'抽奖|MoonBless'!DR24</f>
        <v>1302</v>
      </c>
    </row>
    <row r="25" spans="1:22" x14ac:dyDescent="0.25">
      <c r="J25" s="48"/>
      <c r="M25" s="47"/>
      <c r="O25" s="25"/>
      <c r="R25" s="2" t="str">
        <f>'抽奖|MoonBless'!DN25</f>
        <v>红包【发】</v>
      </c>
      <c r="S25" s="2">
        <f>'抽奖|MoonBless'!DO25</f>
        <v>1</v>
      </c>
      <c r="T25" s="2">
        <f>'抽奖|MoonBless'!DP25</f>
        <v>10</v>
      </c>
      <c r="U25" s="2">
        <f>'抽奖|MoonBless'!DQ25</f>
        <v>2</v>
      </c>
      <c r="V25" s="2">
        <f>'抽奖|MoonBless'!DR25</f>
        <v>1303</v>
      </c>
    </row>
    <row r="26" spans="1:22" x14ac:dyDescent="0.25">
      <c r="J26" s="46"/>
      <c r="M26" s="47"/>
      <c r="O26" s="25"/>
      <c r="R26" s="2" t="str">
        <f>'抽奖|MoonBless'!DN26</f>
        <v>红包【财】</v>
      </c>
      <c r="S26" s="2">
        <f>'抽奖|MoonBless'!DO26</f>
        <v>1</v>
      </c>
      <c r="T26" s="2">
        <f>'抽奖|MoonBless'!DP26</f>
        <v>10</v>
      </c>
      <c r="U26" s="2">
        <f>'抽奖|MoonBless'!DQ26</f>
        <v>2</v>
      </c>
      <c r="V26" s="2">
        <f>'抽奖|MoonBless'!DR26</f>
        <v>1304</v>
      </c>
    </row>
    <row r="27" spans="1:22" x14ac:dyDescent="0.25">
      <c r="J27" s="46"/>
      <c r="M27" s="47"/>
      <c r="O27" s="25"/>
      <c r="R27" s="2" t="str">
        <f>'抽奖|MoonBless'!DN27</f>
        <v>双轮</v>
      </c>
      <c r="S27" s="2">
        <f>'抽奖|MoonBless'!DO27</f>
        <v>100</v>
      </c>
      <c r="T27" s="2">
        <f>'抽奖|MoonBless'!DP27</f>
        <v>1000</v>
      </c>
      <c r="U27" s="2">
        <f>'抽奖|MoonBless'!DQ27</f>
        <v>2</v>
      </c>
      <c r="V27" s="2">
        <f>'抽奖|MoonBless'!DR27</f>
        <v>1500</v>
      </c>
    </row>
    <row r="28" spans="1:22" x14ac:dyDescent="0.25">
      <c r="A28" s="81"/>
      <c r="J28" s="48"/>
      <c r="M28" s="47"/>
      <c r="O28" s="25"/>
    </row>
    <row r="29" spans="1:22" x14ac:dyDescent="0.25">
      <c r="J29" s="46"/>
      <c r="M29" s="47"/>
      <c r="O29" s="25"/>
    </row>
    <row r="30" spans="1:22" x14ac:dyDescent="0.25">
      <c r="J30" s="46"/>
      <c r="M30" s="47"/>
      <c r="O30" s="25"/>
    </row>
    <row r="31" spans="1:22" x14ac:dyDescent="0.25">
      <c r="J31" s="46"/>
      <c r="M31" s="47"/>
      <c r="O31" s="25"/>
    </row>
    <row r="32" spans="1:22" x14ac:dyDescent="0.25">
      <c r="J32" s="46"/>
      <c r="M32" s="47"/>
      <c r="O32" s="25"/>
    </row>
    <row r="33" spans="1:17" x14ac:dyDescent="0.25">
      <c r="J33" s="46"/>
      <c r="M33" s="47"/>
      <c r="O33" s="25"/>
    </row>
    <row r="34" spans="1:17" x14ac:dyDescent="0.25">
      <c r="A34" s="81"/>
      <c r="J34" s="46"/>
      <c r="M34" s="47"/>
      <c r="O34" s="25"/>
    </row>
    <row r="35" spans="1:17" x14ac:dyDescent="0.25">
      <c r="A35" s="82"/>
      <c r="J35" s="46"/>
      <c r="M35" s="85"/>
      <c r="O35" s="25"/>
      <c r="P35" s="2" t="s">
        <v>1909</v>
      </c>
      <c r="Q35" s="2">
        <f>SUMIF($J$35:$J$64,"金币",$M$35:$M$64)</f>
        <v>0</v>
      </c>
    </row>
    <row r="36" spans="1:17" x14ac:dyDescent="0.25">
      <c r="A36" s="82"/>
      <c r="J36" s="48"/>
      <c r="M36" s="85"/>
      <c r="O36" s="25"/>
      <c r="P36" s="2" t="s">
        <v>1911</v>
      </c>
      <c r="Q36" s="2">
        <f>SUMIF($J$35:$J$64,"钻石",$M$35:$M$64)</f>
        <v>0</v>
      </c>
    </row>
    <row r="37" spans="1:17" x14ac:dyDescent="0.25">
      <c r="A37" s="82"/>
      <c r="J37" s="46"/>
      <c r="M37" s="85"/>
      <c r="O37" s="25"/>
      <c r="P37" s="2" t="s">
        <v>1912</v>
      </c>
      <c r="Q37" s="2">
        <f>SUMIF($J$35:$J$64,"锁定",$M$35:$M$64)</f>
        <v>0</v>
      </c>
    </row>
    <row r="38" spans="1:17" x14ac:dyDescent="0.25">
      <c r="A38" s="82"/>
      <c r="J38" s="46"/>
      <c r="M38" s="85"/>
      <c r="O38" s="25"/>
      <c r="P38" s="2" t="s">
        <v>1914</v>
      </c>
      <c r="Q38" s="2">
        <f>SUMIF($J$35:$J$64,"狂暴",$M$35:$M$64)</f>
        <v>0</v>
      </c>
    </row>
    <row r="39" spans="1:17" x14ac:dyDescent="0.25">
      <c r="A39" s="82"/>
      <c r="J39" s="46"/>
      <c r="M39" s="85"/>
      <c r="O39" s="25"/>
    </row>
    <row r="40" spans="1:17" x14ac:dyDescent="0.25">
      <c r="A40" s="82"/>
      <c r="J40" s="48"/>
      <c r="M40" s="85"/>
      <c r="O40" s="25"/>
    </row>
    <row r="41" spans="1:17" x14ac:dyDescent="0.25">
      <c r="A41" s="82"/>
      <c r="J41" s="46"/>
      <c r="M41" s="85"/>
      <c r="O41" s="25"/>
    </row>
    <row r="42" spans="1:17" x14ac:dyDescent="0.25">
      <c r="A42" s="82"/>
      <c r="J42" s="46"/>
      <c r="M42" s="85"/>
      <c r="O42" s="25"/>
    </row>
    <row r="43" spans="1:17" x14ac:dyDescent="0.25">
      <c r="A43" s="82"/>
      <c r="J43" s="46"/>
      <c r="M43" s="85"/>
      <c r="O43" s="25"/>
    </row>
    <row r="44" spans="1:17" x14ac:dyDescent="0.25">
      <c r="A44" s="82"/>
      <c r="J44" s="46"/>
      <c r="M44" s="85"/>
      <c r="O44" s="25"/>
    </row>
    <row r="45" spans="1:17" x14ac:dyDescent="0.25">
      <c r="A45" s="82"/>
      <c r="J45" s="46"/>
      <c r="M45" s="85"/>
      <c r="O45" s="25"/>
    </row>
    <row r="46" spans="1:17" x14ac:dyDescent="0.25">
      <c r="A46" s="82"/>
      <c r="J46" s="48"/>
      <c r="M46" s="85"/>
      <c r="O46" s="25"/>
    </row>
    <row r="47" spans="1:17" x14ac:dyDescent="0.25">
      <c r="A47" s="82"/>
      <c r="J47" s="46"/>
      <c r="M47" s="85"/>
      <c r="O47" s="25"/>
    </row>
    <row r="48" spans="1:17" x14ac:dyDescent="0.25">
      <c r="A48" s="82"/>
      <c r="J48" s="46"/>
      <c r="M48" s="85"/>
      <c r="O48" s="25"/>
    </row>
    <row r="49" spans="1:15" x14ac:dyDescent="0.25">
      <c r="A49" s="82"/>
      <c r="J49" s="48"/>
      <c r="M49" s="85"/>
      <c r="O49" s="25"/>
    </row>
    <row r="50" spans="1:15" x14ac:dyDescent="0.25">
      <c r="A50" s="82"/>
      <c r="J50" s="46"/>
      <c r="M50" s="85"/>
      <c r="O50" s="25"/>
    </row>
    <row r="51" spans="1:15" x14ac:dyDescent="0.25">
      <c r="A51" s="82"/>
      <c r="J51" s="46"/>
      <c r="M51" s="85"/>
      <c r="O51" s="25"/>
    </row>
    <row r="52" spans="1:15" x14ac:dyDescent="0.25">
      <c r="A52" s="82"/>
      <c r="J52" s="48"/>
      <c r="M52" s="85"/>
      <c r="O52" s="25"/>
    </row>
    <row r="53" spans="1:15" x14ac:dyDescent="0.25">
      <c r="A53" s="82"/>
      <c r="J53" s="46"/>
      <c r="M53" s="85"/>
      <c r="O53" s="25"/>
    </row>
    <row r="54" spans="1:15" x14ac:dyDescent="0.25">
      <c r="A54" s="82"/>
      <c r="J54" s="46"/>
      <c r="M54" s="85"/>
      <c r="O54" s="25"/>
    </row>
    <row r="55" spans="1:15" x14ac:dyDescent="0.25">
      <c r="A55" s="82"/>
      <c r="J55" s="48"/>
      <c r="M55" s="85"/>
      <c r="O55" s="25"/>
    </row>
    <row r="56" spans="1:15" x14ac:dyDescent="0.25">
      <c r="A56" s="82"/>
      <c r="J56" s="46"/>
      <c r="M56" s="85"/>
      <c r="O56" s="25"/>
    </row>
    <row r="57" spans="1:15" x14ac:dyDescent="0.25">
      <c r="A57" s="82"/>
      <c r="J57" s="46"/>
      <c r="M57" s="85"/>
      <c r="O57" s="25"/>
    </row>
    <row r="58" spans="1:15" x14ac:dyDescent="0.25">
      <c r="A58" s="82"/>
      <c r="J58" s="48"/>
      <c r="M58" s="85"/>
      <c r="O58" s="25"/>
    </row>
    <row r="59" spans="1:15" x14ac:dyDescent="0.25">
      <c r="A59" s="82"/>
      <c r="J59" s="46"/>
      <c r="M59" s="85"/>
      <c r="O59" s="25"/>
    </row>
    <row r="60" spans="1:15" x14ac:dyDescent="0.25">
      <c r="A60" s="82"/>
      <c r="J60" s="46"/>
      <c r="M60" s="85"/>
      <c r="O60" s="25"/>
    </row>
    <row r="61" spans="1:15" x14ac:dyDescent="0.25">
      <c r="A61" s="82"/>
      <c r="J61" s="46"/>
      <c r="M61" s="85"/>
      <c r="O61" s="25"/>
    </row>
    <row r="62" spans="1:15" x14ac:dyDescent="0.25">
      <c r="A62" s="82"/>
      <c r="J62" s="46"/>
      <c r="M62" s="85"/>
      <c r="O62" s="25"/>
    </row>
    <row r="63" spans="1:15" x14ac:dyDescent="0.25">
      <c r="A63" s="82"/>
      <c r="J63" s="46"/>
      <c r="M63" s="85"/>
      <c r="O63" s="25"/>
    </row>
    <row r="64" spans="1:15" x14ac:dyDescent="0.25">
      <c r="A64" s="82"/>
      <c r="J64" s="46"/>
      <c r="K64" s="19"/>
      <c r="L64" s="19"/>
      <c r="M64" s="85"/>
      <c r="O64" s="27"/>
    </row>
  </sheetData>
  <phoneticPr fontId="57" type="noConversion"/>
  <conditionalFormatting sqref="D2">
    <cfRule type="cellIs" dxfId="172" priority="9" operator="greaterThan">
      <formula>0</formula>
    </cfRule>
    <cfRule type="cellIs" dxfId="171" priority="10" operator="greaterThan">
      <formula>0</formula>
    </cfRule>
    <cfRule type="cellIs" dxfId="170" priority="11" operator="greaterThan">
      <formula>0</formula>
    </cfRule>
    <cfRule type="containsText" dxfId="169" priority="12" operator="containsText" text=" ">
      <formula>NOT(ISERROR(SEARCH(" ",D2)))</formula>
    </cfRule>
  </conditionalFormatting>
  <conditionalFormatting sqref="E2">
    <cfRule type="cellIs" dxfId="168" priority="1" operator="greaterThan">
      <formula>0</formula>
    </cfRule>
    <cfRule type="cellIs" dxfId="167" priority="2" operator="greaterThan">
      <formula>0</formula>
    </cfRule>
    <cfRule type="cellIs" dxfId="166" priority="3" operator="greaterThan">
      <formula>0</formula>
    </cfRule>
    <cfRule type="containsText" dxfId="165" priority="4" operator="containsText" text=" ">
      <formula>NOT(ISERROR(SEARCH(" ",E2)))</formula>
    </cfRule>
  </conditionalFormatting>
  <conditionalFormatting sqref="P6">
    <cfRule type="containsText" dxfId="164" priority="42" operator="containsText" text=" ">
      <formula>NOT(ISERROR(SEARCH(" ",P6)))</formula>
    </cfRule>
  </conditionalFormatting>
  <conditionalFormatting sqref="P7">
    <cfRule type="containsText" dxfId="163" priority="41" operator="containsText" text=" ">
      <formula>NOT(ISERROR(SEARCH(" ",P7)))</formula>
    </cfRule>
  </conditionalFormatting>
  <conditionalFormatting sqref="V12">
    <cfRule type="containsText" dxfId="162" priority="70" operator="containsText" text=" ">
      <formula>NOT(ISERROR(SEARCH(" ",V12)))</formula>
    </cfRule>
  </conditionalFormatting>
  <conditionalFormatting sqref="R17:S17">
    <cfRule type="containsText" dxfId="161" priority="67" operator="containsText" text=" ">
      <formula>NOT(ISERROR(SEARCH(" ",R17)))</formula>
    </cfRule>
  </conditionalFormatting>
  <conditionalFormatting sqref="R18:S18">
    <cfRule type="containsText" dxfId="160" priority="66" operator="containsText" text=" ">
      <formula>NOT(ISERROR(SEARCH(" ",R18)))</formula>
    </cfRule>
  </conditionalFormatting>
  <conditionalFormatting sqref="V19">
    <cfRule type="containsText" dxfId="159" priority="65" operator="containsText" text=" ">
      <formula>NOT(ISERROR(SEARCH(" ",V19)))</formula>
    </cfRule>
  </conditionalFormatting>
  <conditionalFormatting sqref="J36">
    <cfRule type="cellIs" dxfId="158" priority="13" operator="equal">
      <formula>"狂暴"</formula>
    </cfRule>
    <cfRule type="cellIs" dxfId="157" priority="14" operator="equal">
      <formula>"锁定"</formula>
    </cfRule>
    <cfRule type="cellIs" dxfId="156" priority="15" operator="equal">
      <formula>"钻石"</formula>
    </cfRule>
    <cfRule type="cellIs" dxfId="155" priority="16" operator="equal">
      <formula>"金币"</formula>
    </cfRule>
    <cfRule type="containsText" dxfId="154" priority="17" operator="containsText" text=" ">
      <formula>NOT(ISERROR(SEARCH(" ",J36)))</formula>
    </cfRule>
  </conditionalFormatting>
  <conditionalFormatting sqref="P36">
    <cfRule type="containsText" dxfId="153" priority="34" operator="containsText" text=" ">
      <formula>NOT(ISERROR(SEARCH(" ",P36)))</formula>
    </cfRule>
  </conditionalFormatting>
  <conditionalFormatting sqref="P37">
    <cfRule type="containsText" dxfId="152" priority="33" operator="containsText" text=" ">
      <formula>NOT(ISERROR(SEARCH(" ",P37)))</formula>
    </cfRule>
  </conditionalFormatting>
  <conditionalFormatting sqref="J64">
    <cfRule type="cellIs" dxfId="151" priority="23" operator="equal">
      <formula>"狂暴"</formula>
    </cfRule>
    <cfRule type="cellIs" dxfId="150" priority="24" operator="equal">
      <formula>"锁定"</formula>
    </cfRule>
    <cfRule type="cellIs" dxfId="149" priority="25" operator="equal">
      <formula>"钻石"</formula>
    </cfRule>
    <cfRule type="cellIs" dxfId="148" priority="26" operator="equal">
      <formula>"金币"</formula>
    </cfRule>
    <cfRule type="containsText" dxfId="147" priority="27" operator="containsText" text=" ">
      <formula>NOT(ISERROR(SEARCH(" ",J64)))</formula>
    </cfRule>
  </conditionalFormatting>
  <conditionalFormatting sqref="D65:E65">
    <cfRule type="containsText" dxfId="146" priority="82" operator="containsText" text=" ">
      <formula>NOT(ISERROR(SEARCH(" ",D65)))</formula>
    </cfRule>
  </conditionalFormatting>
  <conditionalFormatting sqref="D66:E66">
    <cfRule type="containsText" dxfId="145" priority="83" operator="containsText" text=" ">
      <formula>NOT(ISERROR(SEARCH(" ",D66)))</formula>
    </cfRule>
  </conditionalFormatting>
  <conditionalFormatting sqref="C5:C64">
    <cfRule type="containsText" dxfId="144" priority="54" operator="containsText" text=" ">
      <formula>NOT(ISERROR(SEARCH(" ",C5)))</formula>
    </cfRule>
  </conditionalFormatting>
  <conditionalFormatting sqref="G5:G34">
    <cfRule type="containsText" dxfId="143" priority="51" operator="containsText" text=" ">
      <formula>NOT(ISERROR(SEARCH(" ",G5)))</formula>
    </cfRule>
  </conditionalFormatting>
  <conditionalFormatting sqref="G5:G64">
    <cfRule type="cellIs" dxfId="142" priority="49" operator="equal">
      <formula>1</formula>
    </cfRule>
  </conditionalFormatting>
  <conditionalFormatting sqref="G35:G64">
    <cfRule type="containsText" dxfId="141" priority="50" operator="containsText" text=" ">
      <formula>NOT(ISERROR(SEARCH(" ",G35)))</formula>
    </cfRule>
  </conditionalFormatting>
  <conditionalFormatting sqref="J5:J34">
    <cfRule type="cellIs" dxfId="140" priority="43" operator="equal">
      <formula>"狂暴"</formula>
    </cfRule>
    <cfRule type="cellIs" dxfId="139" priority="44" operator="equal">
      <formula>"锁定"</formula>
    </cfRule>
    <cfRule type="cellIs" dxfId="138" priority="45" operator="equal">
      <formula>"钻石"</formula>
    </cfRule>
    <cfRule type="cellIs" dxfId="137" priority="46" operator="equal">
      <formula>"金币"</formula>
    </cfRule>
    <cfRule type="containsText" dxfId="136" priority="58" operator="containsText" text=" ">
      <formula>NOT(ISERROR(SEARCH(" ",J5)))</formula>
    </cfRule>
  </conditionalFormatting>
  <conditionalFormatting sqref="T8:T11">
    <cfRule type="containsText" dxfId="135" priority="71" operator="containsText" text=" ">
      <formula>NOT(ISERROR(SEARCH(" ",T8)))</formula>
    </cfRule>
  </conditionalFormatting>
  <conditionalFormatting sqref="T13:T16">
    <cfRule type="containsText" dxfId="134" priority="68" operator="containsText" text=" ">
      <formula>NOT(ISERROR(SEARCH(" ",T13)))</formula>
    </cfRule>
  </conditionalFormatting>
  <conditionalFormatting sqref="V8:V11">
    <cfRule type="containsText" dxfId="133" priority="72" operator="containsText" text=" ">
      <formula>NOT(ISERROR(SEARCH(" ",V8)))</formula>
    </cfRule>
  </conditionalFormatting>
  <conditionalFormatting sqref="V13:V16">
    <cfRule type="containsText" dxfId="132" priority="69" operator="containsText" text=" ">
      <formula>NOT(ISERROR(SEARCH(" ",V13)))</formula>
    </cfRule>
  </conditionalFormatting>
  <conditionalFormatting sqref="A1:B64 A65:C66 D1 A67:XFD1048576 D3:D4 F4:I4 R35:XFD38 P39:XFD64 Q6:Q8 P8 P4:Q5 P9:Q27 I35:I64 P28:XFD34 J65:XFD66 W4:XFD27 F1:XFD3 H5:I34 D5:F34">
    <cfRule type="containsText" dxfId="131" priority="87" operator="containsText" text=" ">
      <formula>NOT(ISERROR(SEARCH(" ",A1)))</formula>
    </cfRule>
  </conditionalFormatting>
  <conditionalFormatting sqref="D1 D3:D4 D5:E1048576">
    <cfRule type="cellIs" dxfId="130" priority="47" operator="greaterThan">
      <formula>0</formula>
    </cfRule>
    <cfRule type="cellIs" dxfId="129" priority="48" operator="greaterThan">
      <formula>0</formula>
    </cfRule>
    <cfRule type="cellIs" dxfId="128" priority="52" operator="greaterThan">
      <formula>0</formula>
    </cfRule>
  </conditionalFormatting>
  <conditionalFormatting sqref="E1 E3 E4">
    <cfRule type="containsText" dxfId="127" priority="8" operator="containsText" text=" ">
      <formula>NOT(ISERROR(SEARCH(" ",E1)))</formula>
    </cfRule>
  </conditionalFormatting>
  <conditionalFormatting sqref="E1 E3:E4">
    <cfRule type="cellIs" dxfId="126" priority="5" operator="greaterThan">
      <formula>0</formula>
    </cfRule>
    <cfRule type="cellIs" dxfId="125" priority="6" operator="greaterThan">
      <formula>0</formula>
    </cfRule>
    <cfRule type="cellIs" dxfId="124" priority="7" operator="greaterThan">
      <formula>0</formula>
    </cfRule>
  </conditionalFormatting>
  <conditionalFormatting sqref="U8:U11 R19:U19 T17:V18 U13:U16 R13:S16 R12:U12 R20:V27 R8:S11 R4:V7">
    <cfRule type="containsText" dxfId="123" priority="73" operator="containsText" text=" ">
      <formula>NOT(ISERROR(SEARCH(" ",R4)))</formula>
    </cfRule>
  </conditionalFormatting>
  <conditionalFormatting sqref="K5:L64 O5:O64">
    <cfRule type="containsText" dxfId="122" priority="64" operator="containsText" text=" ">
      <formula>NOT(ISERROR(SEARCH(" ",K5)))</formula>
    </cfRule>
  </conditionalFormatting>
  <conditionalFormatting sqref="M5:N34">
    <cfRule type="containsText" dxfId="121" priority="56" operator="containsText" text=" ">
      <formula>NOT(ISERROR(SEARCH(" ",M5)))</formula>
    </cfRule>
  </conditionalFormatting>
  <conditionalFormatting sqref="D35:F64 H35:H64">
    <cfRule type="containsText" dxfId="120" priority="81" operator="containsText" text=" ">
      <formula>NOT(ISERROR(SEARCH(" ",D35)))</formula>
    </cfRule>
  </conditionalFormatting>
  <conditionalFormatting sqref="J35 J37:J63">
    <cfRule type="cellIs" dxfId="119" priority="36" operator="equal">
      <formula>"狂暴"</formula>
    </cfRule>
    <cfRule type="cellIs" dxfId="118" priority="37" operator="equal">
      <formula>"锁定"</formula>
    </cfRule>
    <cfRule type="cellIs" dxfId="117" priority="38" operator="equal">
      <formula>"钻石"</formula>
    </cfRule>
    <cfRule type="cellIs" dxfId="116" priority="39" operator="equal">
      <formula>"金币"</formula>
    </cfRule>
    <cfRule type="containsText" dxfId="115" priority="40" operator="containsText" text=" ">
      <formula>NOT(ISERROR(SEARCH(" ",J35)))</formula>
    </cfRule>
  </conditionalFormatting>
  <conditionalFormatting sqref="M35:N64">
    <cfRule type="containsText" dxfId="114" priority="55" operator="containsText" text=" ">
      <formula>NOT(ISERROR(SEARCH(" ",M35)))</formula>
    </cfRule>
  </conditionalFormatting>
  <conditionalFormatting sqref="P35:Q35 Q36:Q38 P38">
    <cfRule type="containsText" dxfId="113" priority="35" operator="containsText" text=" ">
      <formula>NOT(ISERROR(SEARCH(" ",P35)))</formula>
    </cfRule>
  </conditionalFormatting>
  <conditionalFormatting sqref="F65:I66">
    <cfRule type="containsText" dxfId="112" priority="85" operator="containsText" text=" ">
      <formula>NOT(ISERROR(SEARCH(" ",F65)))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Q5"/>
  <sheetViews>
    <sheetView workbookViewId="0">
      <selection activeCell="J14" sqref="J14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26.453125" style="2" customWidth="1"/>
    <col min="5" max="5" width="17.453125" style="2" customWidth="1"/>
    <col min="6" max="6" width="20.453125" style="2" customWidth="1"/>
    <col min="7" max="7" width="11.90625" style="2" customWidth="1"/>
    <col min="8" max="8" width="13.453125" style="2" customWidth="1"/>
    <col min="9" max="9" width="10.453125" style="2" customWidth="1"/>
    <col min="10" max="10" width="14.6328125" style="2" customWidth="1"/>
    <col min="11" max="11" width="9" style="2"/>
    <col min="12" max="12" width="14" style="2" customWidth="1"/>
    <col min="13" max="13" width="19.90625" style="2" customWidth="1"/>
    <col min="14" max="14" width="14" style="2" customWidth="1"/>
    <col min="15" max="15" width="11.1796875" style="2" customWidth="1"/>
    <col min="16" max="16" width="12" style="2" customWidth="1"/>
    <col min="17" max="16384" width="9" style="2"/>
  </cols>
  <sheetData>
    <row r="1" spans="1:17" x14ac:dyDescent="0.4">
      <c r="A1" s="3" t="s">
        <v>0</v>
      </c>
      <c r="B1" s="3" t="s">
        <v>691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73" t="s">
        <v>0</v>
      </c>
      <c r="I1" s="73" t="s">
        <v>0</v>
      </c>
      <c r="J1" s="73" t="s">
        <v>0</v>
      </c>
      <c r="K1" s="75" t="s">
        <v>0</v>
      </c>
      <c r="L1" s="75" t="s">
        <v>0</v>
      </c>
      <c r="M1" s="77" t="s">
        <v>0</v>
      </c>
      <c r="N1" s="77" t="s">
        <v>0</v>
      </c>
      <c r="O1" s="3" t="s">
        <v>0</v>
      </c>
      <c r="P1" s="3" t="s">
        <v>0</v>
      </c>
    </row>
    <row r="2" spans="1:17" x14ac:dyDescent="0.4">
      <c r="A2" s="3" t="s">
        <v>2</v>
      </c>
      <c r="B2" s="3" t="s">
        <v>4</v>
      </c>
      <c r="C2" s="3" t="s">
        <v>5</v>
      </c>
      <c r="D2" s="3" t="s">
        <v>5</v>
      </c>
      <c r="E2" s="3" t="s">
        <v>2</v>
      </c>
      <c r="F2" s="3" t="s">
        <v>2</v>
      </c>
      <c r="G2" s="3" t="s">
        <v>5</v>
      </c>
      <c r="H2" s="73" t="s">
        <v>2</v>
      </c>
      <c r="I2" s="73" t="s">
        <v>2</v>
      </c>
      <c r="J2" s="73" t="s">
        <v>2</v>
      </c>
      <c r="K2" s="75" t="s">
        <v>2</v>
      </c>
      <c r="L2" s="75" t="s">
        <v>2</v>
      </c>
      <c r="M2" s="77" t="s">
        <v>5</v>
      </c>
      <c r="N2" s="77" t="s">
        <v>2</v>
      </c>
      <c r="O2" s="3" t="s">
        <v>2</v>
      </c>
      <c r="P2" s="3" t="s">
        <v>2</v>
      </c>
      <c r="Q2" s="2" t="s">
        <v>692</v>
      </c>
    </row>
    <row r="3" spans="1:17" x14ac:dyDescent="0.4">
      <c r="A3" s="3" t="s">
        <v>693</v>
      </c>
      <c r="B3" s="3" t="s">
        <v>694</v>
      </c>
      <c r="C3" s="3" t="s">
        <v>695</v>
      </c>
      <c r="D3" s="3" t="s">
        <v>698</v>
      </c>
      <c r="E3" s="3" t="s">
        <v>699</v>
      </c>
      <c r="F3" s="3" t="s">
        <v>702</v>
      </c>
      <c r="G3" s="3" t="s">
        <v>703</v>
      </c>
      <c r="H3" s="73" t="s">
        <v>704</v>
      </c>
      <c r="I3" s="73" t="s">
        <v>706</v>
      </c>
      <c r="J3" s="73" t="s">
        <v>707</v>
      </c>
      <c r="K3" s="75" t="s">
        <v>708</v>
      </c>
      <c r="L3" s="75" t="s">
        <v>709</v>
      </c>
      <c r="M3" s="77" t="s">
        <v>710</v>
      </c>
      <c r="N3" s="77" t="s">
        <v>711</v>
      </c>
      <c r="O3" s="3" t="s">
        <v>712</v>
      </c>
      <c r="P3" s="3" t="s">
        <v>713</v>
      </c>
    </row>
    <row r="4" spans="1:17" s="10" customFormat="1" ht="80.5" x14ac:dyDescent="0.25">
      <c r="A4" s="4" t="s">
        <v>714</v>
      </c>
      <c r="B4" s="72" t="s">
        <v>1916</v>
      </c>
      <c r="C4" s="4" t="s">
        <v>716</v>
      </c>
      <c r="D4" s="4" t="s">
        <v>719</v>
      </c>
      <c r="E4" s="4" t="s">
        <v>1917</v>
      </c>
      <c r="F4" s="4" t="s">
        <v>1918</v>
      </c>
      <c r="G4" s="72" t="s">
        <v>1919</v>
      </c>
      <c r="H4" s="74" t="s">
        <v>1920</v>
      </c>
      <c r="I4" s="74" t="s">
        <v>727</v>
      </c>
      <c r="J4" s="74" t="s">
        <v>728</v>
      </c>
      <c r="K4" s="76" t="s">
        <v>729</v>
      </c>
      <c r="L4" s="76" t="s">
        <v>730</v>
      </c>
      <c r="M4" s="78" t="s">
        <v>731</v>
      </c>
      <c r="N4" s="78" t="s">
        <v>732</v>
      </c>
      <c r="O4" s="4" t="s">
        <v>733</v>
      </c>
      <c r="P4" s="4" t="s">
        <v>734</v>
      </c>
      <c r="Q4" s="6" t="s">
        <v>735</v>
      </c>
    </row>
    <row r="5" spans="1:17" x14ac:dyDescent="0.25">
      <c r="A5" s="2">
        <v>1204</v>
      </c>
      <c r="B5" s="2" t="s">
        <v>1921</v>
      </c>
      <c r="C5" s="2" t="s">
        <v>1922</v>
      </c>
      <c r="D5" s="2" t="s">
        <v>1923</v>
      </c>
      <c r="E5" s="2">
        <f>'道具|Item'!G23</f>
        <v>0</v>
      </c>
      <c r="F5" s="2">
        <f>'道具|Item'!J23</f>
        <v>0</v>
      </c>
      <c r="G5" s="2">
        <f>'道具|Item'!K23</f>
        <v>6</v>
      </c>
      <c r="H5" s="2">
        <f>'道具|Item'!L23</f>
        <v>-1</v>
      </c>
      <c r="I5" s="2">
        <f>'道具|Item'!N23</f>
        <v>0</v>
      </c>
      <c r="J5" s="2">
        <f>'道具|Item'!O23</f>
        <v>-1</v>
      </c>
      <c r="K5" s="2">
        <f>'道具|Item'!P23</f>
        <v>0</v>
      </c>
      <c r="L5" s="2">
        <f>'道具|Item'!Q23</f>
        <v>-1</v>
      </c>
      <c r="M5" s="2">
        <f>'道具|Item'!R23</f>
        <v>0</v>
      </c>
      <c r="N5" s="2">
        <f>'道具|Item'!S23</f>
        <v>-1</v>
      </c>
      <c r="O5" s="2">
        <f>'道具|Item'!T23</f>
        <v>0</v>
      </c>
      <c r="P5" s="2">
        <f>'道具|Item'!U23</f>
        <v>-1</v>
      </c>
    </row>
  </sheetData>
  <phoneticPr fontId="57" type="noConversion"/>
  <conditionalFormatting sqref="M3">
    <cfRule type="containsText" dxfId="111" priority="6" operator="containsText" text=" ">
      <formula>NOT(ISERROR(SEARCH(" ",M3)))</formula>
    </cfRule>
  </conditionalFormatting>
  <conditionalFormatting sqref="A5:XFD5">
    <cfRule type="containsText" dxfId="110" priority="16" operator="containsText" text=" ">
      <formula>NOT(ISERROR(SEARCH(" ",A5)))</formula>
    </cfRule>
  </conditionalFormatting>
  <conditionalFormatting sqref="M1:M2">
    <cfRule type="containsText" dxfId="109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08" priority="23" operator="containsText" text=" ">
      <formula>NOT(ISERROR(SEARCH(" ",A1)))</formula>
    </cfRule>
  </conditionalFormatting>
  <conditionalFormatting sqref="F3 N1:N4 M6:N1048576">
    <cfRule type="containsText" dxfId="107" priority="22" operator="containsText" text=" ">
      <formula>NOT(ISERROR(SEARCH(" ",F1)))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30"/>
  <sheetViews>
    <sheetView workbookViewId="0">
      <selection activeCell="F30" sqref="F30"/>
    </sheetView>
  </sheetViews>
  <sheetFormatPr defaultColWidth="9" defaultRowHeight="16.5" x14ac:dyDescent="0.25"/>
  <cols>
    <col min="1" max="1" width="9.90625" style="2" customWidth="1"/>
    <col min="2" max="2" width="16.54296875" style="2" customWidth="1"/>
    <col min="3" max="3" width="17.90625" style="2" customWidth="1"/>
    <col min="4" max="4" width="16.54296875" style="2" customWidth="1"/>
    <col min="5" max="5" width="15.08984375" style="2" customWidth="1"/>
    <col min="6" max="6" width="32" style="2" customWidth="1"/>
    <col min="7" max="7" width="21.6328125" style="2" customWidth="1"/>
    <col min="8" max="8" width="19.81640625" style="2" customWidth="1"/>
    <col min="9" max="12" width="9" style="2"/>
    <col min="13" max="13" width="10.08984375" style="2" customWidth="1"/>
    <col min="14" max="14" width="10.6328125" style="2" customWidth="1"/>
    <col min="15" max="15" width="11.90625" style="2" customWidth="1"/>
    <col min="16" max="16" width="9" style="2"/>
    <col min="17" max="17" width="12.36328125" style="2" customWidth="1"/>
    <col min="18" max="16384" width="9" style="2"/>
  </cols>
  <sheetData>
    <row r="1" spans="1:10" x14ac:dyDescent="0.4">
      <c r="A1" s="3" t="s">
        <v>0</v>
      </c>
      <c r="B1" s="3" t="s">
        <v>0</v>
      </c>
      <c r="C1" s="3" t="s">
        <v>0</v>
      </c>
      <c r="D1" s="3" t="s">
        <v>0</v>
      </c>
      <c r="E1" s="55" t="s">
        <v>0</v>
      </c>
      <c r="F1" s="36" t="s">
        <v>0</v>
      </c>
      <c r="G1" s="67" t="s">
        <v>0</v>
      </c>
      <c r="H1" s="36" t="s">
        <v>0</v>
      </c>
    </row>
    <row r="2" spans="1:10" x14ac:dyDescent="0.4">
      <c r="A2" s="3" t="s">
        <v>2</v>
      </c>
      <c r="B2" s="3" t="s">
        <v>2</v>
      </c>
      <c r="C2" s="3" t="s">
        <v>2</v>
      </c>
      <c r="D2" s="3" t="s">
        <v>5</v>
      </c>
      <c r="E2" s="55" t="s">
        <v>2</v>
      </c>
      <c r="F2" s="36" t="s">
        <v>5</v>
      </c>
      <c r="G2" s="67" t="s">
        <v>2</v>
      </c>
      <c r="H2" s="36" t="s">
        <v>5</v>
      </c>
    </row>
    <row r="3" spans="1:10" x14ac:dyDescent="0.4">
      <c r="A3" s="3" t="s">
        <v>1579</v>
      </c>
      <c r="B3" s="3" t="s">
        <v>1924</v>
      </c>
      <c r="C3" s="3" t="s">
        <v>1925</v>
      </c>
      <c r="D3" s="3" t="s">
        <v>843</v>
      </c>
      <c r="E3" s="55" t="s">
        <v>1926</v>
      </c>
      <c r="F3" s="36" t="s">
        <v>16</v>
      </c>
      <c r="G3" s="68" t="s">
        <v>1927</v>
      </c>
      <c r="H3" s="36" t="s">
        <v>68</v>
      </c>
    </row>
    <row r="4" spans="1:10" s="10" customFormat="1" ht="69" x14ac:dyDescent="0.25">
      <c r="A4" s="39" t="s">
        <v>68</v>
      </c>
      <c r="B4" s="39" t="s">
        <v>1928</v>
      </c>
      <c r="C4" s="63" t="s">
        <v>1929</v>
      </c>
      <c r="D4" s="63" t="s">
        <v>879</v>
      </c>
      <c r="E4" s="69" t="s">
        <v>1930</v>
      </c>
      <c r="F4" s="12" t="s">
        <v>1931</v>
      </c>
      <c r="G4" s="68" t="s">
        <v>1932</v>
      </c>
      <c r="H4" s="12" t="s">
        <v>1933</v>
      </c>
      <c r="J4" s="17" t="s">
        <v>1934</v>
      </c>
    </row>
    <row r="5" spans="1:10" x14ac:dyDescent="0.45">
      <c r="A5" s="1">
        <v>1</v>
      </c>
      <c r="B5" s="1">
        <v>0</v>
      </c>
      <c r="C5" s="1">
        <v>0</v>
      </c>
      <c r="D5" s="64">
        <v>2</v>
      </c>
      <c r="E5" s="70">
        <v>1</v>
      </c>
      <c r="F5" s="1" t="s">
        <v>1935</v>
      </c>
      <c r="G5" s="1">
        <v>1</v>
      </c>
      <c r="H5" s="71"/>
    </row>
    <row r="6" spans="1:10" x14ac:dyDescent="0.45">
      <c r="A6" s="1">
        <v>2</v>
      </c>
      <c r="B6" s="1" t="s">
        <v>189</v>
      </c>
      <c r="C6" s="1" t="s">
        <v>189</v>
      </c>
      <c r="D6" s="64">
        <v>2</v>
      </c>
      <c r="E6" s="70">
        <v>1</v>
      </c>
      <c r="F6" s="1" t="s">
        <v>1936</v>
      </c>
      <c r="G6" s="1">
        <v>1</v>
      </c>
      <c r="H6" s="1" t="s">
        <v>1937</v>
      </c>
      <c r="I6" s="2" t="s">
        <v>1938</v>
      </c>
    </row>
    <row r="7" spans="1:10" x14ac:dyDescent="0.45">
      <c r="A7" s="1">
        <v>3</v>
      </c>
      <c r="B7" s="1" t="s">
        <v>333</v>
      </c>
      <c r="C7" s="1" t="s">
        <v>333</v>
      </c>
      <c r="D7" s="64">
        <v>2</v>
      </c>
      <c r="E7" s="70">
        <v>1</v>
      </c>
      <c r="F7" s="1" t="s">
        <v>1413</v>
      </c>
      <c r="G7" s="1">
        <v>0</v>
      </c>
      <c r="H7" s="1"/>
    </row>
    <row r="8" spans="1:10" x14ac:dyDescent="0.45">
      <c r="A8" s="1">
        <v>4</v>
      </c>
      <c r="B8" s="1" t="s">
        <v>179</v>
      </c>
      <c r="C8" s="1" t="s">
        <v>179</v>
      </c>
      <c r="D8" s="64">
        <v>2</v>
      </c>
      <c r="E8" s="70">
        <v>1</v>
      </c>
      <c r="F8" s="1" t="s">
        <v>1939</v>
      </c>
      <c r="G8" s="1">
        <v>0</v>
      </c>
      <c r="H8" s="71"/>
    </row>
    <row r="9" spans="1:10" x14ac:dyDescent="0.45">
      <c r="A9" s="1">
        <v>5</v>
      </c>
      <c r="B9" s="1" t="s">
        <v>454</v>
      </c>
      <c r="C9" s="1" t="s">
        <v>454</v>
      </c>
      <c r="D9" s="64">
        <v>2</v>
      </c>
      <c r="E9" s="70">
        <v>1</v>
      </c>
      <c r="F9" s="1" t="s">
        <v>1800</v>
      </c>
      <c r="G9" s="1">
        <v>0</v>
      </c>
      <c r="H9" s="71"/>
    </row>
    <row r="10" spans="1:10" x14ac:dyDescent="0.45">
      <c r="A10" s="1">
        <v>6</v>
      </c>
      <c r="B10" s="1" t="s">
        <v>275</v>
      </c>
      <c r="C10" s="1" t="s">
        <v>275</v>
      </c>
      <c r="D10" s="64">
        <v>2</v>
      </c>
      <c r="E10" s="70">
        <v>1</v>
      </c>
      <c r="F10" s="1" t="s">
        <v>1812</v>
      </c>
      <c r="G10" s="1">
        <v>0</v>
      </c>
      <c r="H10" s="71"/>
    </row>
    <row r="11" spans="1:10" x14ac:dyDescent="0.45">
      <c r="A11" s="1">
        <v>7</v>
      </c>
      <c r="B11" s="1" t="s">
        <v>449</v>
      </c>
      <c r="C11" s="1" t="s">
        <v>449</v>
      </c>
      <c r="D11" s="64">
        <v>2</v>
      </c>
      <c r="E11" s="70">
        <v>1</v>
      </c>
      <c r="F11" s="1" t="s">
        <v>1940</v>
      </c>
      <c r="G11" s="1">
        <v>0</v>
      </c>
      <c r="H11" s="71"/>
    </row>
    <row r="12" spans="1:10" x14ac:dyDescent="0.45">
      <c r="A12" s="1">
        <v>8</v>
      </c>
      <c r="B12" s="1">
        <v>-1</v>
      </c>
      <c r="C12" s="1">
        <f>B12</f>
        <v>-1</v>
      </c>
      <c r="D12" s="64">
        <v>2</v>
      </c>
      <c r="E12" s="70">
        <v>1</v>
      </c>
      <c r="F12" s="1" t="s">
        <v>1941</v>
      </c>
      <c r="G12" s="1">
        <v>0</v>
      </c>
      <c r="H12" s="71"/>
    </row>
    <row r="13" spans="1:10" x14ac:dyDescent="0.45">
      <c r="A13" s="1">
        <v>9</v>
      </c>
      <c r="B13" s="1">
        <v>0</v>
      </c>
      <c r="C13" s="1">
        <v>0</v>
      </c>
      <c r="D13" s="65">
        <v>3</v>
      </c>
      <c r="E13" s="70">
        <v>1</v>
      </c>
      <c r="F13" s="1" t="s">
        <v>1942</v>
      </c>
      <c r="G13" s="1">
        <v>1</v>
      </c>
    </row>
    <row r="14" spans="1:10" x14ac:dyDescent="0.45">
      <c r="A14" s="1">
        <v>10</v>
      </c>
      <c r="B14" s="1" t="s">
        <v>189</v>
      </c>
      <c r="C14" s="1" t="s">
        <v>189</v>
      </c>
      <c r="D14" s="65">
        <v>3</v>
      </c>
      <c r="E14" s="70">
        <v>1</v>
      </c>
      <c r="F14" s="1" t="s">
        <v>1943</v>
      </c>
      <c r="G14" s="1">
        <v>1</v>
      </c>
      <c r="H14" s="1" t="s">
        <v>1944</v>
      </c>
    </row>
    <row r="15" spans="1:10" x14ac:dyDescent="0.45">
      <c r="A15" s="1">
        <v>11</v>
      </c>
      <c r="B15" s="1" t="s">
        <v>333</v>
      </c>
      <c r="C15" s="1" t="s">
        <v>333</v>
      </c>
      <c r="D15" s="65">
        <v>3</v>
      </c>
      <c r="E15" s="70">
        <v>1</v>
      </c>
      <c r="F15" s="1" t="s">
        <v>1936</v>
      </c>
      <c r="G15" s="1">
        <v>1</v>
      </c>
      <c r="H15" s="71"/>
    </row>
    <row r="16" spans="1:10" x14ac:dyDescent="0.45">
      <c r="A16" s="1">
        <v>12</v>
      </c>
      <c r="B16" s="1" t="s">
        <v>179</v>
      </c>
      <c r="C16" s="1" t="s">
        <v>179</v>
      </c>
      <c r="D16" s="65">
        <v>3</v>
      </c>
      <c r="E16" s="70">
        <v>1</v>
      </c>
      <c r="F16" s="1" t="s">
        <v>817</v>
      </c>
      <c r="G16" s="1">
        <v>0</v>
      </c>
      <c r="H16" s="71"/>
    </row>
    <row r="17" spans="1:8" x14ac:dyDescent="0.45">
      <c r="A17" s="1">
        <v>13</v>
      </c>
      <c r="B17" s="1" t="s">
        <v>454</v>
      </c>
      <c r="C17" s="1" t="s">
        <v>454</v>
      </c>
      <c r="D17" s="65">
        <v>3</v>
      </c>
      <c r="E17" s="70">
        <v>1</v>
      </c>
      <c r="F17" s="1" t="s">
        <v>1413</v>
      </c>
      <c r="G17" s="1">
        <v>0</v>
      </c>
      <c r="H17" s="71"/>
    </row>
    <row r="18" spans="1:8" x14ac:dyDescent="0.45">
      <c r="A18" s="1">
        <v>14</v>
      </c>
      <c r="B18" s="1" t="s">
        <v>275</v>
      </c>
      <c r="C18" s="1" t="s">
        <v>275</v>
      </c>
      <c r="D18" s="65">
        <v>3</v>
      </c>
      <c r="E18" s="70">
        <v>1</v>
      </c>
      <c r="F18" s="1" t="s">
        <v>1415</v>
      </c>
      <c r="G18" s="1">
        <v>0</v>
      </c>
    </row>
    <row r="19" spans="1:8" x14ac:dyDescent="0.45">
      <c r="A19" s="1">
        <v>15</v>
      </c>
      <c r="B19" s="1" t="s">
        <v>449</v>
      </c>
      <c r="C19" s="1" t="s">
        <v>449</v>
      </c>
      <c r="D19" s="65">
        <v>3</v>
      </c>
      <c r="E19" s="70">
        <v>1</v>
      </c>
      <c r="F19" s="1" t="s">
        <v>1939</v>
      </c>
      <c r="G19" s="1">
        <v>0</v>
      </c>
    </row>
    <row r="20" spans="1:8" x14ac:dyDescent="0.45">
      <c r="A20" s="1">
        <v>16</v>
      </c>
      <c r="B20" s="1" t="s">
        <v>307</v>
      </c>
      <c r="C20" s="1" t="s">
        <v>320</v>
      </c>
      <c r="D20" s="65">
        <v>3</v>
      </c>
      <c r="E20" s="70">
        <v>1</v>
      </c>
      <c r="F20" s="1" t="s">
        <v>1812</v>
      </c>
      <c r="G20" s="1">
        <v>0</v>
      </c>
    </row>
    <row r="21" spans="1:8" x14ac:dyDescent="0.45">
      <c r="A21" s="1">
        <v>17</v>
      </c>
      <c r="B21" s="1">
        <v>-1</v>
      </c>
      <c r="C21" s="1">
        <f>B21</f>
        <v>-1</v>
      </c>
      <c r="D21" s="65">
        <v>3</v>
      </c>
      <c r="E21" s="70">
        <v>1</v>
      </c>
      <c r="F21" s="1" t="s">
        <v>1945</v>
      </c>
      <c r="G21" s="1">
        <v>0</v>
      </c>
    </row>
    <row r="22" spans="1:8" x14ac:dyDescent="0.45">
      <c r="A22" s="1">
        <v>18</v>
      </c>
      <c r="B22" s="1">
        <v>0</v>
      </c>
      <c r="C22" s="1">
        <v>0</v>
      </c>
      <c r="D22" s="66" t="s">
        <v>1946</v>
      </c>
      <c r="E22" s="70">
        <v>1</v>
      </c>
      <c r="F22" s="1" t="s">
        <v>1947</v>
      </c>
      <c r="G22" s="1">
        <v>1</v>
      </c>
    </row>
    <row r="23" spans="1:8" x14ac:dyDescent="0.45">
      <c r="A23" s="1">
        <v>19</v>
      </c>
      <c r="B23" s="1" t="s">
        <v>189</v>
      </c>
      <c r="C23" s="1" t="s">
        <v>189</v>
      </c>
      <c r="D23" s="66" t="s">
        <v>1946</v>
      </c>
      <c r="E23" s="70">
        <v>1</v>
      </c>
      <c r="F23" s="1" t="s">
        <v>1948</v>
      </c>
      <c r="G23" s="1">
        <v>1</v>
      </c>
      <c r="H23" s="1" t="s">
        <v>1944</v>
      </c>
    </row>
    <row r="24" spans="1:8" x14ac:dyDescent="0.45">
      <c r="A24" s="1">
        <v>20</v>
      </c>
      <c r="B24" s="1" t="s">
        <v>333</v>
      </c>
      <c r="C24" s="1" t="s">
        <v>333</v>
      </c>
      <c r="D24" s="66" t="s">
        <v>1946</v>
      </c>
      <c r="E24" s="70">
        <v>1</v>
      </c>
      <c r="F24" s="1" t="s">
        <v>1943</v>
      </c>
      <c r="G24" s="1">
        <v>1</v>
      </c>
      <c r="H24" s="71"/>
    </row>
    <row r="25" spans="1:8" x14ac:dyDescent="0.45">
      <c r="A25" s="1">
        <v>21</v>
      </c>
      <c r="B25" s="1" t="s">
        <v>179</v>
      </c>
      <c r="C25" s="1" t="s">
        <v>179</v>
      </c>
      <c r="D25" s="66" t="s">
        <v>1946</v>
      </c>
      <c r="E25" s="70">
        <v>1</v>
      </c>
      <c r="F25" s="1" t="s">
        <v>1424</v>
      </c>
      <c r="G25" s="1">
        <v>0</v>
      </c>
      <c r="H25" s="71"/>
    </row>
    <row r="26" spans="1:8" x14ac:dyDescent="0.45">
      <c r="A26" s="1">
        <v>22</v>
      </c>
      <c r="B26" s="1" t="s">
        <v>454</v>
      </c>
      <c r="C26" s="1" t="s">
        <v>454</v>
      </c>
      <c r="D26" s="66" t="s">
        <v>1946</v>
      </c>
      <c r="E26" s="70">
        <v>1</v>
      </c>
      <c r="F26" s="1" t="s">
        <v>777</v>
      </c>
      <c r="G26" s="1">
        <v>0</v>
      </c>
      <c r="H26" s="71"/>
    </row>
    <row r="27" spans="1:8" x14ac:dyDescent="0.45">
      <c r="A27" s="1">
        <v>23</v>
      </c>
      <c r="B27" s="1" t="s">
        <v>275</v>
      </c>
      <c r="C27" s="1" t="s">
        <v>275</v>
      </c>
      <c r="D27" s="66" t="s">
        <v>1946</v>
      </c>
      <c r="E27" s="70">
        <v>1</v>
      </c>
      <c r="F27" s="1" t="s">
        <v>1949</v>
      </c>
      <c r="G27" s="1">
        <v>0</v>
      </c>
    </row>
    <row r="28" spans="1:8" x14ac:dyDescent="0.45">
      <c r="A28" s="1">
        <v>24</v>
      </c>
      <c r="B28" s="1" t="s">
        <v>449</v>
      </c>
      <c r="C28" s="1" t="s">
        <v>449</v>
      </c>
      <c r="D28" s="66" t="s">
        <v>1946</v>
      </c>
      <c r="E28" s="70">
        <v>1</v>
      </c>
      <c r="F28" s="1" t="s">
        <v>1413</v>
      </c>
      <c r="G28" s="1">
        <v>0</v>
      </c>
    </row>
    <row r="29" spans="1:8" x14ac:dyDescent="0.45">
      <c r="A29" s="1">
        <v>25</v>
      </c>
      <c r="B29" s="1" t="s">
        <v>307</v>
      </c>
      <c r="C29" s="1" t="s">
        <v>320</v>
      </c>
      <c r="D29" s="66" t="s">
        <v>1946</v>
      </c>
      <c r="E29" s="70">
        <v>1</v>
      </c>
      <c r="F29" s="1" t="s">
        <v>1415</v>
      </c>
      <c r="G29" s="1">
        <v>0</v>
      </c>
    </row>
    <row r="30" spans="1:8" x14ac:dyDescent="0.45">
      <c r="A30" s="1">
        <v>26</v>
      </c>
      <c r="B30" s="1">
        <v>-1</v>
      </c>
      <c r="C30" s="1">
        <f>B30</f>
        <v>-1</v>
      </c>
      <c r="D30" s="66" t="s">
        <v>1946</v>
      </c>
      <c r="E30" s="70">
        <v>1</v>
      </c>
      <c r="F30" s="1" t="s">
        <v>1818</v>
      </c>
      <c r="G30" s="1">
        <v>0</v>
      </c>
    </row>
  </sheetData>
  <phoneticPr fontId="57" type="noConversion"/>
  <conditionalFormatting sqref="D2">
    <cfRule type="containsText" dxfId="106" priority="100" operator="containsText" text=" ">
      <formula>NOT(ISERROR(SEARCH(" ",D2)))</formula>
    </cfRule>
  </conditionalFormatting>
  <conditionalFormatting sqref="F6">
    <cfRule type="containsText" dxfId="105" priority="32" operator="containsText" text=" ">
      <formula>NOT(ISERROR(SEARCH(" ",F6)))</formula>
    </cfRule>
  </conditionalFormatting>
  <conditionalFormatting sqref="H6">
    <cfRule type="containsText" dxfId="104" priority="213" operator="containsText" text=" ">
      <formula>NOT(ISERROR(SEARCH(" ",H6)))</formula>
    </cfRule>
  </conditionalFormatting>
  <conditionalFormatting sqref="F7">
    <cfRule type="containsText" dxfId="103" priority="31" operator="containsText" text=" ">
      <formula>NOT(ISERROR(SEARCH(" ",F7)))</formula>
    </cfRule>
  </conditionalFormatting>
  <conditionalFormatting sqref="H7">
    <cfRule type="containsText" dxfId="102" priority="227" operator="containsText" text=" ">
      <formula>NOT(ISERROR(SEARCH(" ",H7)))</formula>
    </cfRule>
  </conditionalFormatting>
  <conditionalFormatting sqref="F8">
    <cfRule type="containsText" dxfId="101" priority="37" operator="containsText" text=" ">
      <formula>NOT(ISERROR(SEARCH(" ",F8)))</formula>
    </cfRule>
  </conditionalFormatting>
  <conditionalFormatting sqref="Q8">
    <cfRule type="containsText" dxfId="100" priority="38" operator="containsText" text=" ">
      <formula>NOT(ISERROR(SEARCH(" ",Q8)))</formula>
    </cfRule>
  </conditionalFormatting>
  <conditionalFormatting sqref="F9">
    <cfRule type="containsText" dxfId="99" priority="35" operator="containsText" text=" ">
      <formula>NOT(ISERROR(SEARCH(" ",F9)))</formula>
    </cfRule>
  </conditionalFormatting>
  <conditionalFormatting sqref="F10">
    <cfRule type="containsText" dxfId="98" priority="34" operator="containsText" text=" ">
      <formula>NOT(ISERROR(SEARCH(" ",F10)))</formula>
    </cfRule>
  </conditionalFormatting>
  <conditionalFormatting sqref="F11">
    <cfRule type="containsText" dxfId="97" priority="33" operator="containsText" text=" ">
      <formula>NOT(ISERROR(SEARCH(" ",F11)))</formula>
    </cfRule>
  </conditionalFormatting>
  <conditionalFormatting sqref="B12:C12">
    <cfRule type="containsText" dxfId="96" priority="21" operator="containsText" text=" ">
      <formula>NOT(ISERROR(SEARCH(" ",B12)))</formula>
    </cfRule>
  </conditionalFormatting>
  <conditionalFormatting sqref="F12">
    <cfRule type="containsText" dxfId="95" priority="17" operator="containsText" text=" ">
      <formula>NOT(ISERROR(SEARCH(" ",F12)))</formula>
    </cfRule>
  </conditionalFormatting>
  <conditionalFormatting sqref="F13:G13">
    <cfRule type="containsText" dxfId="94" priority="24" operator="containsText" text=" ">
      <formula>NOT(ISERROR(SEARCH(" ",F13)))</formula>
    </cfRule>
  </conditionalFormatting>
  <conditionalFormatting sqref="F14:G14">
    <cfRule type="containsText" dxfId="93" priority="23" operator="containsText" text=" ">
      <formula>NOT(ISERROR(SEARCH(" ",F14)))</formula>
    </cfRule>
  </conditionalFormatting>
  <conditionalFormatting sqref="H14">
    <cfRule type="containsText" dxfId="92" priority="214" operator="containsText" text=" ">
      <formula>NOT(ISERROR(SEARCH(" ",H14)))</formula>
    </cfRule>
  </conditionalFormatting>
  <conditionalFormatting sqref="F15:G15">
    <cfRule type="containsText" dxfId="91" priority="27" operator="containsText" text=" ">
      <formula>NOT(ISERROR(SEARCH(" ",F15)))</formula>
    </cfRule>
  </conditionalFormatting>
  <conditionalFormatting sqref="B21:C21">
    <cfRule type="containsText" dxfId="90" priority="2" operator="containsText" text=" ">
      <formula>NOT(ISERROR(SEARCH(" ",B21)))</formula>
    </cfRule>
  </conditionalFormatting>
  <conditionalFormatting sqref="F21">
    <cfRule type="containsText" dxfId="89" priority="11" operator="containsText" text=" ">
      <formula>NOT(ISERROR(SEARCH(" ",F21)))</formula>
    </cfRule>
  </conditionalFormatting>
  <conditionalFormatting sqref="H21">
    <cfRule type="containsText" dxfId="88" priority="15" operator="containsText" text=" ">
      <formula>NOT(ISERROR(SEARCH(" ",H21)))</formula>
    </cfRule>
  </conditionalFormatting>
  <conditionalFormatting sqref="F22:G22">
    <cfRule type="containsText" dxfId="87" priority="25" operator="containsText" text=" ">
      <formula>NOT(ISERROR(SEARCH(" ",F22)))</formula>
    </cfRule>
  </conditionalFormatting>
  <conditionalFormatting sqref="F23:G23">
    <cfRule type="containsText" dxfId="86" priority="29" operator="containsText" text=" ">
      <formula>NOT(ISERROR(SEARCH(" ",F23)))</formula>
    </cfRule>
  </conditionalFormatting>
  <conditionalFormatting sqref="H23">
    <cfRule type="containsText" dxfId="85" priority="106" operator="containsText" text=" ">
      <formula>NOT(ISERROR(SEARCH(" ",H23)))</formula>
    </cfRule>
  </conditionalFormatting>
  <conditionalFormatting sqref="F24:G24">
    <cfRule type="containsText" dxfId="84" priority="30" operator="containsText" text=" ">
      <formula>NOT(ISERROR(SEARCH(" ",F24)))</formula>
    </cfRule>
  </conditionalFormatting>
  <conditionalFormatting sqref="B30:C30">
    <cfRule type="containsText" dxfId="83" priority="1" operator="containsText" text=" ">
      <formula>NOT(ISERROR(SEARCH(" ",B30)))</formula>
    </cfRule>
  </conditionalFormatting>
  <conditionalFormatting sqref="F30">
    <cfRule type="containsText" dxfId="82" priority="5" operator="containsText" text=" ">
      <formula>NOT(ISERROR(SEARCH(" ",F30)))</formula>
    </cfRule>
  </conditionalFormatting>
  <conditionalFormatting sqref="A29:A30 A23:A24 A17:A18 B14:C20 A6:C6 A5 A11:A12 B7:C11 E2 A2:C2 A1:E1 H18:N20 I6:XFD6 I14:N17 K4:XFD4 I4 I21:N21 R8:XFD8 Q9:XFD12 Q14:XFD21 Q7:XFD7 H31:XFD1048576 I1:XFD3">
    <cfRule type="containsText" dxfId="81" priority="234" operator="containsText" text=" ">
      <formula>NOT(ISERROR(SEARCH(" ",A1)))</formula>
    </cfRule>
  </conditionalFormatting>
  <conditionalFormatting sqref="A25:A28 A3:E4 A31:G1048576 A19:A22 A13:A16 A7:A10 I22:N30 Q22:XFD30 O7:P30 J4 N8 I8:L8 I9:N12 I7:N7">
    <cfRule type="containsText" dxfId="80" priority="218" operator="containsText" text=" ">
      <formula>NOT(ISERROR(SEARCH(" ",A3)))</formula>
    </cfRule>
  </conditionalFormatting>
  <conditionalFormatting sqref="B5:C5 I5:XFD5">
    <cfRule type="containsText" dxfId="79" priority="222" operator="containsText" text=" ">
      <formula>NOT(ISERROR(SEARCH(" ",B5)))</formula>
    </cfRule>
  </conditionalFormatting>
  <conditionalFormatting sqref="F5:G5 G6:G12">
    <cfRule type="containsText" dxfId="78" priority="26" operator="containsText" text=" ">
      <formula>NOT(ISERROR(SEARCH(" ",F5)))</formula>
    </cfRule>
  </conditionalFormatting>
  <conditionalFormatting sqref="B13:C13 H13:N13 Q13:XFD13">
    <cfRule type="containsText" dxfId="77" priority="217" operator="containsText" text=" ">
      <formula>NOT(ISERROR(SEARCH(" ",B13)))</formula>
    </cfRule>
  </conditionalFormatting>
  <conditionalFormatting sqref="F16:G16 F17:F20 G17:G21">
    <cfRule type="containsText" dxfId="76" priority="36" operator="containsText" text=" ">
      <formula>NOT(ISERROR(SEARCH(" ",F16)))</formula>
    </cfRule>
  </conditionalFormatting>
  <conditionalFormatting sqref="B22:C22 H22">
    <cfRule type="containsText" dxfId="75" priority="109" operator="containsText" text=" ">
      <formula>NOT(ISERROR(SEARCH(" ",B22)))</formula>
    </cfRule>
  </conditionalFormatting>
  <conditionalFormatting sqref="B23:C29 H27:H30">
    <cfRule type="containsText" dxfId="74" priority="115" operator="containsText" text=" ">
      <formula>NOT(ISERROR(SEARCH(" ",B23)))</formula>
    </cfRule>
  </conditionalFormatting>
  <conditionalFormatting sqref="F25:G25 F26:F29 G26:G30">
    <cfRule type="containsText" dxfId="73" priority="28" operator="containsText" text=" ">
      <formula>NOT(ISERROR(SEARCH(" ",F25)))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7"/>
  <sheetViews>
    <sheetView topLeftCell="A142" workbookViewId="0">
      <selection activeCell="Q19" sqref="Q19"/>
    </sheetView>
  </sheetViews>
  <sheetFormatPr defaultColWidth="9" defaultRowHeight="16.5" x14ac:dyDescent="0.25"/>
  <cols>
    <col min="1" max="1" width="32.81640625" style="2" customWidth="1"/>
    <col min="2" max="2" width="50.90625" style="62" customWidth="1"/>
    <col min="3" max="3" width="9" style="2"/>
    <col min="4" max="4" width="51.81640625" style="2" customWidth="1"/>
    <col min="5" max="5" width="9.6328125" style="2" customWidth="1"/>
    <col min="6" max="9" width="9" style="2"/>
    <col min="10" max="10" width="10.81640625" style="2" customWidth="1"/>
    <col min="11" max="12" width="9" style="2"/>
    <col min="13" max="13" width="10.90625" style="2" customWidth="1"/>
    <col min="14" max="14" width="12.453125" style="2" customWidth="1"/>
    <col min="15" max="15" width="9" style="2"/>
    <col min="16" max="16" width="10.08984375" style="2" customWidth="1"/>
    <col min="17" max="17" width="18.36328125" style="2" customWidth="1"/>
    <col min="18" max="16384" width="9" style="2"/>
  </cols>
  <sheetData>
    <row r="1" spans="1:16" x14ac:dyDescent="0.4">
      <c r="A1" s="3" t="s">
        <v>67</v>
      </c>
      <c r="B1" s="450" t="s">
        <v>0</v>
      </c>
    </row>
    <row r="2" spans="1:16" x14ac:dyDescent="0.4">
      <c r="A2" s="3" t="s">
        <v>5</v>
      </c>
      <c r="B2" s="450" t="s">
        <v>5</v>
      </c>
    </row>
    <row r="3" spans="1:16" x14ac:dyDescent="0.4">
      <c r="A3" s="3" t="s">
        <v>68</v>
      </c>
      <c r="B3" s="450" t="s">
        <v>69</v>
      </c>
    </row>
    <row r="4" spans="1:16" ht="23" x14ac:dyDescent="0.45">
      <c r="A4" s="4" t="s">
        <v>70</v>
      </c>
      <c r="B4" s="451" t="s">
        <v>71</v>
      </c>
      <c r="D4" s="1" t="s">
        <v>72</v>
      </c>
    </row>
    <row r="5" spans="1:16" x14ac:dyDescent="0.45">
      <c r="A5" s="270" t="s">
        <v>73</v>
      </c>
      <c r="B5" s="270">
        <v>6</v>
      </c>
      <c r="D5" s="1" t="s">
        <v>74</v>
      </c>
      <c r="E5" s="2">
        <v>6</v>
      </c>
    </row>
    <row r="6" spans="1:16" x14ac:dyDescent="0.45">
      <c r="A6" s="270" t="s">
        <v>75</v>
      </c>
      <c r="B6" s="270">
        <f>1800/1280</f>
        <v>1.40625</v>
      </c>
      <c r="D6" s="1" t="s">
        <v>76</v>
      </c>
    </row>
    <row r="7" spans="1:16" x14ac:dyDescent="0.45">
      <c r="A7" s="270" t="s">
        <v>77</v>
      </c>
      <c r="B7" s="270">
        <v>0.7</v>
      </c>
      <c r="D7" s="1" t="s">
        <v>78</v>
      </c>
    </row>
    <row r="8" spans="1:16" x14ac:dyDescent="0.45">
      <c r="A8" s="270" t="s">
        <v>79</v>
      </c>
      <c r="B8" s="452">
        <v>5.0000000000000001E-3</v>
      </c>
      <c r="D8" s="1" t="s">
        <v>80</v>
      </c>
    </row>
    <row r="9" spans="1:16" x14ac:dyDescent="0.45">
      <c r="A9" s="270" t="s">
        <v>81</v>
      </c>
      <c r="B9" s="453" t="s">
        <v>82</v>
      </c>
      <c r="D9" s="1" t="s">
        <v>83</v>
      </c>
    </row>
    <row r="10" spans="1:16" x14ac:dyDescent="0.45">
      <c r="A10" s="270" t="s">
        <v>84</v>
      </c>
      <c r="B10" s="453" t="s">
        <v>85</v>
      </c>
      <c r="D10" s="1" t="s">
        <v>86</v>
      </c>
      <c r="E10"/>
    </row>
    <row r="11" spans="1:16" x14ac:dyDescent="0.45">
      <c r="A11" s="270" t="s">
        <v>87</v>
      </c>
      <c r="B11" s="453" t="s">
        <v>88</v>
      </c>
      <c r="D11" s="1" t="s">
        <v>89</v>
      </c>
    </row>
    <row r="12" spans="1:16" x14ac:dyDescent="0.45">
      <c r="A12" s="60" t="s">
        <v>90</v>
      </c>
      <c r="B12" s="454" t="s">
        <v>91</v>
      </c>
      <c r="D12" s="2" t="s">
        <v>92</v>
      </c>
      <c r="I12" s="1" t="s">
        <v>93</v>
      </c>
    </row>
    <row r="13" spans="1:16" x14ac:dyDescent="0.25">
      <c r="A13" s="60" t="s">
        <v>94</v>
      </c>
      <c r="B13" s="455">
        <f>N15</f>
        <v>4000</v>
      </c>
      <c r="D13" s="2" t="s">
        <v>95</v>
      </c>
      <c r="I13" s="2" t="s">
        <v>96</v>
      </c>
    </row>
    <row r="14" spans="1:16" x14ac:dyDescent="0.25">
      <c r="A14" s="60" t="s">
        <v>97</v>
      </c>
      <c r="B14" s="456" t="s">
        <v>98</v>
      </c>
      <c r="D14" s="2" t="s">
        <v>99</v>
      </c>
      <c r="K14" s="52" t="s">
        <v>100</v>
      </c>
      <c r="L14" s="45" t="s">
        <v>101</v>
      </c>
      <c r="M14" s="45" t="s">
        <v>102</v>
      </c>
      <c r="N14" s="54" t="s">
        <v>103</v>
      </c>
    </row>
    <row r="15" spans="1:16" x14ac:dyDescent="0.25">
      <c r="A15" s="60" t="s">
        <v>104</v>
      </c>
      <c r="B15" s="62" t="s">
        <v>105</v>
      </c>
      <c r="D15" s="2" t="s">
        <v>106</v>
      </c>
      <c r="K15" s="16">
        <v>0</v>
      </c>
      <c r="L15" s="2">
        <v>0</v>
      </c>
      <c r="M15" s="2">
        <v>1</v>
      </c>
      <c r="N15" s="25">
        <v>4000</v>
      </c>
      <c r="O15" s="2">
        <f>L15+N15</f>
        <v>4000</v>
      </c>
      <c r="P15" s="2">
        <f>O15*66</f>
        <v>264000</v>
      </c>
    </row>
    <row r="16" spans="1:16" x14ac:dyDescent="0.25">
      <c r="A16" s="2" t="s">
        <v>107</v>
      </c>
      <c r="B16" s="62" t="s">
        <v>108</v>
      </c>
      <c r="D16" s="2" t="s">
        <v>109</v>
      </c>
      <c r="K16" s="16">
        <v>1</v>
      </c>
      <c r="L16" s="2">
        <v>0</v>
      </c>
      <c r="M16" s="2">
        <v>30</v>
      </c>
      <c r="N16" s="25">
        <v>4000</v>
      </c>
      <c r="O16" s="2">
        <f t="shared" ref="O16:O25" si="0">L16+N16</f>
        <v>4000</v>
      </c>
      <c r="P16" s="2">
        <f t="shared" ref="P16:P25" si="1">O16*66</f>
        <v>264000</v>
      </c>
    </row>
    <row r="17" spans="1:16" x14ac:dyDescent="0.25">
      <c r="A17" s="2" t="s">
        <v>110</v>
      </c>
      <c r="B17" s="62" t="s">
        <v>111</v>
      </c>
      <c r="D17" s="2" t="s">
        <v>112</v>
      </c>
      <c r="K17" s="16">
        <v>2</v>
      </c>
      <c r="L17" s="2">
        <v>2000</v>
      </c>
      <c r="M17" s="2">
        <v>100</v>
      </c>
      <c r="N17" s="25">
        <v>4000</v>
      </c>
      <c r="O17" s="2">
        <f t="shared" si="0"/>
        <v>6000</v>
      </c>
      <c r="P17" s="2">
        <f t="shared" si="1"/>
        <v>396000</v>
      </c>
    </row>
    <row r="18" spans="1:16" x14ac:dyDescent="0.25">
      <c r="A18" s="2" t="s">
        <v>113</v>
      </c>
      <c r="B18" s="457">
        <f>'VIP升级|VIPUp'!AG5*10000</f>
        <v>9900</v>
      </c>
      <c r="D18" s="2" t="s">
        <v>114</v>
      </c>
      <c r="I18" s="62"/>
      <c r="K18" s="16">
        <v>3</v>
      </c>
      <c r="L18" s="2">
        <v>3000</v>
      </c>
      <c r="M18" s="2">
        <v>150</v>
      </c>
      <c r="N18" s="25">
        <v>4000</v>
      </c>
      <c r="O18" s="2">
        <f t="shared" si="0"/>
        <v>7000</v>
      </c>
      <c r="P18" s="2">
        <f t="shared" si="1"/>
        <v>462000</v>
      </c>
    </row>
    <row r="19" spans="1:16" x14ac:dyDescent="0.25">
      <c r="A19" s="2" t="s">
        <v>115</v>
      </c>
      <c r="B19" s="457">
        <v>9900</v>
      </c>
      <c r="C19" s="17"/>
      <c r="D19" s="2" t="s">
        <v>116</v>
      </c>
      <c r="I19" s="62"/>
      <c r="K19" s="16">
        <v>4</v>
      </c>
      <c r="L19" s="2">
        <v>4000</v>
      </c>
      <c r="M19" s="2">
        <v>200</v>
      </c>
      <c r="N19" s="25">
        <v>4000</v>
      </c>
      <c r="O19" s="2">
        <f t="shared" si="0"/>
        <v>8000</v>
      </c>
      <c r="P19" s="2">
        <f t="shared" si="1"/>
        <v>528000</v>
      </c>
    </row>
    <row r="20" spans="1:16" x14ac:dyDescent="0.25">
      <c r="A20" s="17" t="s">
        <v>117</v>
      </c>
      <c r="B20" s="62">
        <v>3</v>
      </c>
      <c r="D20" s="2" t="s">
        <v>118</v>
      </c>
      <c r="K20" s="16">
        <v>5</v>
      </c>
      <c r="L20" s="2">
        <v>5000</v>
      </c>
      <c r="M20" s="2">
        <v>250</v>
      </c>
      <c r="N20" s="25">
        <v>4000</v>
      </c>
      <c r="O20" s="2">
        <f t="shared" si="0"/>
        <v>9000</v>
      </c>
      <c r="P20" s="2">
        <f t="shared" si="1"/>
        <v>594000</v>
      </c>
    </row>
    <row r="21" spans="1:16" x14ac:dyDescent="0.25">
      <c r="A21" s="2" t="s">
        <v>119</v>
      </c>
      <c r="B21" s="453" t="s">
        <v>120</v>
      </c>
      <c r="D21" s="2" t="s">
        <v>121</v>
      </c>
      <c r="K21" s="16">
        <v>6</v>
      </c>
      <c r="L21" s="2">
        <v>6000</v>
      </c>
      <c r="M21" s="2">
        <v>400</v>
      </c>
      <c r="N21" s="25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122</v>
      </c>
      <c r="B22" s="62" t="s">
        <v>123</v>
      </c>
      <c r="D22" s="2" t="s">
        <v>124</v>
      </c>
      <c r="K22" s="16">
        <v>7</v>
      </c>
      <c r="L22" s="2">
        <v>7000</v>
      </c>
      <c r="M22" s="2">
        <v>500</v>
      </c>
      <c r="N22" s="25">
        <v>4000</v>
      </c>
      <c r="O22" s="2">
        <f t="shared" si="0"/>
        <v>11000</v>
      </c>
      <c r="P22" s="2">
        <f t="shared" si="1"/>
        <v>726000</v>
      </c>
    </row>
    <row r="23" spans="1:16" x14ac:dyDescent="0.25">
      <c r="A23" s="2" t="s">
        <v>125</v>
      </c>
      <c r="B23" s="62" t="s">
        <v>126</v>
      </c>
      <c r="D23" s="2" t="s">
        <v>127</v>
      </c>
      <c r="K23" s="16">
        <v>8</v>
      </c>
      <c r="L23" s="2">
        <v>8000</v>
      </c>
      <c r="N23" s="25">
        <v>4000</v>
      </c>
      <c r="O23" s="2">
        <f t="shared" si="0"/>
        <v>12000</v>
      </c>
      <c r="P23" s="2">
        <f t="shared" si="1"/>
        <v>792000</v>
      </c>
    </row>
    <row r="24" spans="1:16" x14ac:dyDescent="0.25">
      <c r="A24" s="2" t="s">
        <v>128</v>
      </c>
      <c r="B24" s="62" t="s">
        <v>129</v>
      </c>
      <c r="D24" s="2" t="s">
        <v>130</v>
      </c>
      <c r="K24" s="16">
        <v>9</v>
      </c>
      <c r="L24" s="2">
        <v>9000</v>
      </c>
      <c r="N24" s="25">
        <v>4000</v>
      </c>
      <c r="O24" s="2">
        <f t="shared" si="0"/>
        <v>13000</v>
      </c>
      <c r="P24" s="2">
        <f t="shared" si="1"/>
        <v>858000</v>
      </c>
    </row>
    <row r="25" spans="1:16" x14ac:dyDescent="0.25">
      <c r="A25" s="2" t="s">
        <v>131</v>
      </c>
      <c r="B25" s="458" t="s">
        <v>132</v>
      </c>
      <c r="D25" s="2" t="s">
        <v>133</v>
      </c>
      <c r="K25" s="18">
        <v>10</v>
      </c>
      <c r="L25" s="19">
        <v>11000</v>
      </c>
      <c r="M25" s="19"/>
      <c r="N25" s="27">
        <v>4000</v>
      </c>
      <c r="O25" s="2">
        <f t="shared" si="0"/>
        <v>15000</v>
      </c>
      <c r="P25" s="2">
        <f t="shared" si="1"/>
        <v>990000</v>
      </c>
    </row>
    <row r="26" spans="1:16" x14ac:dyDescent="0.25">
      <c r="A26" s="17" t="s">
        <v>134</v>
      </c>
      <c r="B26" s="62" t="s">
        <v>135</v>
      </c>
      <c r="C26" s="17"/>
      <c r="D26" s="17" t="s">
        <v>136</v>
      </c>
    </row>
    <row r="27" spans="1:16" x14ac:dyDescent="0.25">
      <c r="A27" s="270" t="s">
        <v>137</v>
      </c>
      <c r="B27" s="458" t="s">
        <v>138</v>
      </c>
      <c r="D27" s="2" t="s">
        <v>139</v>
      </c>
    </row>
    <row r="28" spans="1:16" x14ac:dyDescent="0.25">
      <c r="A28" s="270" t="s">
        <v>140</v>
      </c>
      <c r="B28" s="458" t="s">
        <v>141</v>
      </c>
      <c r="D28" s="2" t="s">
        <v>142</v>
      </c>
    </row>
    <row r="29" spans="1:16" x14ac:dyDescent="0.25">
      <c r="A29" s="270" t="s">
        <v>143</v>
      </c>
      <c r="B29" s="459">
        <f>'鱼属性|FishAttribute'!E46</f>
        <v>150</v>
      </c>
      <c r="D29" s="2" t="s">
        <v>144</v>
      </c>
    </row>
    <row r="30" spans="1:16" x14ac:dyDescent="0.25">
      <c r="A30" s="270" t="s">
        <v>145</v>
      </c>
      <c r="B30" s="458" t="s">
        <v>146</v>
      </c>
      <c r="D30" s="2" t="s">
        <v>147</v>
      </c>
    </row>
    <row r="31" spans="1:16" x14ac:dyDescent="0.25">
      <c r="A31" s="270" t="s">
        <v>148</v>
      </c>
      <c r="B31" s="453" t="s">
        <v>149</v>
      </c>
      <c r="D31" s="2" t="s">
        <v>150</v>
      </c>
    </row>
    <row r="32" spans="1:16" x14ac:dyDescent="0.25">
      <c r="A32" s="270" t="s">
        <v>151</v>
      </c>
      <c r="B32" s="458" t="s">
        <v>152</v>
      </c>
      <c r="D32" s="2" t="s">
        <v>153</v>
      </c>
    </row>
    <row r="33" spans="1:4" x14ac:dyDescent="0.25">
      <c r="A33" s="270" t="s">
        <v>154</v>
      </c>
      <c r="B33" s="270">
        <f>'鱼属性|FishAttribute'!E43</f>
        <v>100</v>
      </c>
      <c r="D33" s="2" t="s">
        <v>155</v>
      </c>
    </row>
    <row r="34" spans="1:4" x14ac:dyDescent="0.25">
      <c r="A34" s="270" t="s">
        <v>156</v>
      </c>
      <c r="B34" s="453" t="s">
        <v>157</v>
      </c>
      <c r="D34" s="2" t="s">
        <v>158</v>
      </c>
    </row>
    <row r="35" spans="1:4" x14ac:dyDescent="0.25">
      <c r="A35" s="460" t="s">
        <v>159</v>
      </c>
      <c r="B35" s="461" t="s">
        <v>160</v>
      </c>
      <c r="C35" s="17"/>
      <c r="D35" s="17" t="s">
        <v>161</v>
      </c>
    </row>
    <row r="36" spans="1:4" x14ac:dyDescent="0.25">
      <c r="A36" s="460" t="s">
        <v>162</v>
      </c>
      <c r="B36" s="461" t="s">
        <v>132</v>
      </c>
      <c r="C36" s="17"/>
      <c r="D36" s="17" t="s">
        <v>163</v>
      </c>
    </row>
    <row r="37" spans="1:4" x14ac:dyDescent="0.25">
      <c r="A37" s="270" t="s">
        <v>164</v>
      </c>
      <c r="B37" s="270" t="s">
        <v>165</v>
      </c>
      <c r="C37" s="270"/>
      <c r="D37" s="270" t="s">
        <v>166</v>
      </c>
    </row>
    <row r="38" spans="1:4" x14ac:dyDescent="0.25">
      <c r="A38" s="270" t="s">
        <v>167</v>
      </c>
      <c r="B38" s="453" t="s">
        <v>168</v>
      </c>
      <c r="C38" s="270"/>
      <c r="D38" s="270" t="s">
        <v>169</v>
      </c>
    </row>
    <row r="39" spans="1:4" x14ac:dyDescent="0.25">
      <c r="A39" s="270" t="s">
        <v>170</v>
      </c>
      <c r="B39" s="270">
        <v>280</v>
      </c>
      <c r="C39" s="270"/>
      <c r="D39" s="270" t="s">
        <v>171</v>
      </c>
    </row>
    <row r="40" spans="1:4" x14ac:dyDescent="0.25">
      <c r="A40" s="270" t="s">
        <v>172</v>
      </c>
      <c r="B40" s="270">
        <v>100</v>
      </c>
      <c r="C40" s="270"/>
      <c r="D40" s="270" t="s">
        <v>173</v>
      </c>
    </row>
    <row r="41" spans="1:4" x14ac:dyDescent="0.25">
      <c r="A41" s="270" t="s">
        <v>174</v>
      </c>
      <c r="B41" s="270">
        <v>0</v>
      </c>
      <c r="C41" s="270"/>
      <c r="D41" s="270" t="s">
        <v>175</v>
      </c>
    </row>
    <row r="42" spans="1:4" x14ac:dyDescent="0.25">
      <c r="A42" s="270" t="s">
        <v>176</v>
      </c>
      <c r="B42" s="270">
        <v>500</v>
      </c>
      <c r="C42" s="270"/>
      <c r="D42" s="270" t="s">
        <v>177</v>
      </c>
    </row>
    <row r="43" spans="1:4" x14ac:dyDescent="0.25">
      <c r="A43" s="2" t="s">
        <v>178</v>
      </c>
      <c r="B43" s="62" t="s">
        <v>179</v>
      </c>
      <c r="D43" s="2" t="s">
        <v>180</v>
      </c>
    </row>
    <row r="44" spans="1:4" x14ac:dyDescent="0.25">
      <c r="A44" s="2" t="s">
        <v>181</v>
      </c>
      <c r="B44" s="462">
        <v>2.5</v>
      </c>
      <c r="D44" s="2" t="s">
        <v>182</v>
      </c>
    </row>
    <row r="45" spans="1:4" x14ac:dyDescent="0.45">
      <c r="A45" s="2" t="s">
        <v>183</v>
      </c>
      <c r="B45" s="360" t="s">
        <v>184</v>
      </c>
      <c r="D45" s="2" t="s">
        <v>185</v>
      </c>
    </row>
    <row r="46" spans="1:4" x14ac:dyDescent="0.45">
      <c r="A46" s="41" t="s">
        <v>186</v>
      </c>
      <c r="B46" s="360" t="s">
        <v>184</v>
      </c>
      <c r="C46" s="41"/>
      <c r="D46" s="41" t="s">
        <v>187</v>
      </c>
    </row>
    <row r="47" spans="1:4" x14ac:dyDescent="0.45">
      <c r="A47" s="2" t="s">
        <v>188</v>
      </c>
      <c r="B47" s="360" t="s">
        <v>189</v>
      </c>
      <c r="D47" s="2" t="s">
        <v>190</v>
      </c>
    </row>
    <row r="48" spans="1:4" x14ac:dyDescent="0.45">
      <c r="A48" s="270" t="s">
        <v>191</v>
      </c>
      <c r="B48" s="90">
        <f>12*60</f>
        <v>720</v>
      </c>
      <c r="C48" s="270"/>
      <c r="D48" s="270" t="s">
        <v>192</v>
      </c>
    </row>
    <row r="49" spans="1:20" x14ac:dyDescent="0.45">
      <c r="A49" s="270" t="s">
        <v>193</v>
      </c>
      <c r="B49" s="90">
        <f>12*60</f>
        <v>720</v>
      </c>
      <c r="C49" s="270"/>
      <c r="D49" s="270" t="s">
        <v>194</v>
      </c>
    </row>
    <row r="50" spans="1:20" x14ac:dyDescent="0.25">
      <c r="A50" s="2" t="s">
        <v>195</v>
      </c>
      <c r="B50" s="62">
        <v>15</v>
      </c>
      <c r="D50" s="2" t="s">
        <v>196</v>
      </c>
    </row>
    <row r="51" spans="1:20" x14ac:dyDescent="0.25">
      <c r="A51" s="2" t="s">
        <v>197</v>
      </c>
      <c r="B51" s="62">
        <v>7</v>
      </c>
      <c r="D51" s="2" t="s">
        <v>198</v>
      </c>
    </row>
    <row r="52" spans="1:20" x14ac:dyDescent="0.25">
      <c r="A52" s="2" t="s">
        <v>199</v>
      </c>
      <c r="B52" s="62">
        <v>30</v>
      </c>
      <c r="D52" s="2" t="s">
        <v>200</v>
      </c>
      <c r="E52"/>
    </row>
    <row r="53" spans="1:20" x14ac:dyDescent="0.25">
      <c r="A53" s="2" t="s">
        <v>201</v>
      </c>
      <c r="B53" s="62">
        <v>15</v>
      </c>
      <c r="D53" s="2" t="s">
        <v>202</v>
      </c>
    </row>
    <row r="54" spans="1:20" x14ac:dyDescent="0.45">
      <c r="A54" s="2" t="s">
        <v>203</v>
      </c>
      <c r="B54" s="360" t="s">
        <v>204</v>
      </c>
      <c r="D54" s="2" t="s">
        <v>205</v>
      </c>
    </row>
    <row r="55" spans="1:20" x14ac:dyDescent="0.45">
      <c r="A55" s="2" t="s">
        <v>206</v>
      </c>
      <c r="B55" s="360" t="s">
        <v>204</v>
      </c>
      <c r="D55" s="2" t="s">
        <v>207</v>
      </c>
    </row>
    <row r="56" spans="1:20" x14ac:dyDescent="0.45">
      <c r="A56" s="2" t="s">
        <v>208</v>
      </c>
      <c r="B56" s="360" t="s">
        <v>204</v>
      </c>
      <c r="D56" s="2" t="s">
        <v>209</v>
      </c>
    </row>
    <row r="57" spans="1:20" x14ac:dyDescent="0.25">
      <c r="A57" s="2" t="s">
        <v>210</v>
      </c>
      <c r="B57" s="62" t="s">
        <v>211</v>
      </c>
      <c r="D57" s="2" t="s">
        <v>212</v>
      </c>
    </row>
    <row r="58" spans="1:20" x14ac:dyDescent="0.25">
      <c r="A58" s="60" t="s">
        <v>213</v>
      </c>
      <c r="B58" s="62" t="s">
        <v>214</v>
      </c>
      <c r="D58" s="2" t="s">
        <v>215</v>
      </c>
    </row>
    <row r="59" spans="1:20" x14ac:dyDescent="0.25">
      <c r="A59" s="2" t="s">
        <v>216</v>
      </c>
      <c r="B59" s="62" t="s">
        <v>217</v>
      </c>
      <c r="D59" s="2" t="s">
        <v>218</v>
      </c>
    </row>
    <row r="60" spans="1:20" x14ac:dyDescent="0.25">
      <c r="A60" s="2" t="s">
        <v>219</v>
      </c>
      <c r="B60" s="62" t="s">
        <v>220</v>
      </c>
      <c r="D60" s="2" t="s">
        <v>221</v>
      </c>
    </row>
    <row r="61" spans="1:20" x14ac:dyDescent="0.25">
      <c r="A61" s="2" t="s">
        <v>222</v>
      </c>
      <c r="B61" s="62" t="s">
        <v>223</v>
      </c>
      <c r="D61" s="2" t="s">
        <v>224</v>
      </c>
    </row>
    <row r="62" spans="1:20" x14ac:dyDescent="0.25">
      <c r="A62" s="2" t="s">
        <v>225</v>
      </c>
      <c r="B62" s="62" t="s">
        <v>226</v>
      </c>
      <c r="D62" s="2" t="s">
        <v>227</v>
      </c>
    </row>
    <row r="63" spans="1:20" ht="17.5" x14ac:dyDescent="0.25">
      <c r="A63" s="17" t="s">
        <v>228</v>
      </c>
      <c r="B63" s="461">
        <v>2</v>
      </c>
      <c r="C63" s="17"/>
      <c r="D63" s="17" t="s">
        <v>229</v>
      </c>
      <c r="E63" s="81" t="s">
        <v>230</v>
      </c>
      <c r="Q63" s="52" t="s">
        <v>231</v>
      </c>
      <c r="R63" s="45"/>
      <c r="S63" s="45"/>
      <c r="T63" s="54"/>
    </row>
    <row r="64" spans="1:20" x14ac:dyDescent="0.25">
      <c r="A64" s="17" t="s">
        <v>232</v>
      </c>
      <c r="B64" s="461">
        <v>-2</v>
      </c>
      <c r="C64" s="17"/>
      <c r="D64" s="17" t="s">
        <v>233</v>
      </c>
      <c r="I64" s="52"/>
      <c r="J64" s="45">
        <v>1400</v>
      </c>
      <c r="K64" s="54"/>
      <c r="Q64" s="16"/>
      <c r="S64" s="2">
        <v>1900</v>
      </c>
      <c r="T64" s="25"/>
    </row>
    <row r="65" spans="1:20" x14ac:dyDescent="0.25">
      <c r="A65" s="17" t="s">
        <v>234</v>
      </c>
      <c r="B65" s="461">
        <v>1000</v>
      </c>
      <c r="C65" s="17"/>
      <c r="D65" s="17" t="s">
        <v>235</v>
      </c>
      <c r="I65" s="16">
        <f>95+6.5</f>
        <v>101.5</v>
      </c>
      <c r="J65" s="2">
        <v>700</v>
      </c>
      <c r="K65" s="25">
        <f>J64-J65</f>
        <v>700</v>
      </c>
      <c r="Q65" s="16">
        <f>110/0.2</f>
        <v>550</v>
      </c>
      <c r="R65" s="2">
        <f>Q65+Q66+30</f>
        <v>630</v>
      </c>
      <c r="S65" s="2">
        <f>S64-R65</f>
        <v>1270</v>
      </c>
      <c r="T65" s="25">
        <f>S65-S64</f>
        <v>-630</v>
      </c>
    </row>
    <row r="66" spans="1:20" x14ac:dyDescent="0.25">
      <c r="A66" s="2" t="s">
        <v>236</v>
      </c>
      <c r="B66" s="453" t="s">
        <v>237</v>
      </c>
      <c r="D66" s="2" t="s">
        <v>238</v>
      </c>
      <c r="I66" s="18">
        <f>I65*6</f>
        <v>609</v>
      </c>
      <c r="J66" s="50">
        <v>0</v>
      </c>
      <c r="K66" s="27">
        <f>J65-J66</f>
        <v>700</v>
      </c>
      <c r="Q66" s="16">
        <f>10/0.2</f>
        <v>50</v>
      </c>
      <c r="S66" s="2">
        <f>S65-R65</f>
        <v>640</v>
      </c>
      <c r="T66" s="25">
        <f>S66-S65</f>
        <v>-630</v>
      </c>
    </row>
    <row r="67" spans="1:20" x14ac:dyDescent="0.25">
      <c r="A67" s="2" t="s">
        <v>239</v>
      </c>
      <c r="B67" s="62">
        <v>5</v>
      </c>
      <c r="D67" s="2" t="s">
        <v>240</v>
      </c>
      <c r="Q67" s="18"/>
      <c r="R67" s="19">
        <f>650*3</f>
        <v>1950</v>
      </c>
      <c r="S67" s="19"/>
      <c r="T67" s="27"/>
    </row>
    <row r="68" spans="1:20" x14ac:dyDescent="0.25">
      <c r="A68" s="2" t="s">
        <v>241</v>
      </c>
      <c r="B68" s="453" t="s">
        <v>242</v>
      </c>
      <c r="D68" s="2" t="s">
        <v>243</v>
      </c>
    </row>
    <row r="69" spans="1:20" x14ac:dyDescent="0.25">
      <c r="A69" s="2" t="s">
        <v>244</v>
      </c>
      <c r="B69" s="62" t="s">
        <v>245</v>
      </c>
      <c r="D69" s="2" t="s">
        <v>246</v>
      </c>
    </row>
    <row r="70" spans="1:20" x14ac:dyDescent="0.25">
      <c r="A70" s="2" t="s">
        <v>247</v>
      </c>
      <c r="B70" s="41">
        <v>1500</v>
      </c>
      <c r="D70" s="2" t="s">
        <v>248</v>
      </c>
    </row>
    <row r="71" spans="1:20" x14ac:dyDescent="0.25">
      <c r="A71" s="2" t="s">
        <v>249</v>
      </c>
      <c r="B71" s="41" t="s">
        <v>250</v>
      </c>
      <c r="D71" s="2" t="s">
        <v>251</v>
      </c>
    </row>
    <row r="72" spans="1:20" x14ac:dyDescent="0.25">
      <c r="A72" s="2" t="s">
        <v>252</v>
      </c>
      <c r="B72" s="62" t="s">
        <v>253</v>
      </c>
      <c r="D72" s="2" t="s">
        <v>254</v>
      </c>
    </row>
    <row r="73" spans="1:20" x14ac:dyDescent="0.25">
      <c r="A73" s="2" t="s">
        <v>255</v>
      </c>
      <c r="B73" s="453" t="s">
        <v>256</v>
      </c>
      <c r="D73" s="2" t="s">
        <v>257</v>
      </c>
    </row>
    <row r="74" spans="1:20" x14ac:dyDescent="0.25">
      <c r="A74" s="2" t="s">
        <v>258</v>
      </c>
      <c r="B74" s="62" t="s">
        <v>259</v>
      </c>
      <c r="D74" s="2" t="s">
        <v>260</v>
      </c>
    </row>
    <row r="75" spans="1:20" x14ac:dyDescent="0.25">
      <c r="A75" s="2" t="s">
        <v>261</v>
      </c>
      <c r="B75" s="62" t="s">
        <v>262</v>
      </c>
      <c r="D75" s="2" t="s">
        <v>263</v>
      </c>
    </row>
    <row r="76" spans="1:20" x14ac:dyDescent="0.25">
      <c r="A76" s="2" t="s">
        <v>264</v>
      </c>
      <c r="B76" s="62" t="s">
        <v>262</v>
      </c>
      <c r="D76" s="2" t="s">
        <v>265</v>
      </c>
    </row>
    <row r="77" spans="1:20" x14ac:dyDescent="0.25">
      <c r="A77" s="2" t="s">
        <v>266</v>
      </c>
      <c r="B77" s="62" t="s">
        <v>189</v>
      </c>
      <c r="D77" s="2" t="s">
        <v>267</v>
      </c>
    </row>
    <row r="78" spans="1:20" x14ac:dyDescent="0.25">
      <c r="A78" s="2" t="s">
        <v>268</v>
      </c>
      <c r="B78" s="62" t="s">
        <v>269</v>
      </c>
      <c r="D78" s="2" t="s">
        <v>270</v>
      </c>
    </row>
    <row r="79" spans="1:20" x14ac:dyDescent="0.25">
      <c r="A79" s="2" t="s">
        <v>271</v>
      </c>
      <c r="B79" s="62" t="s">
        <v>272</v>
      </c>
      <c r="D79" s="2" t="s">
        <v>273</v>
      </c>
    </row>
    <row r="80" spans="1:20" x14ac:dyDescent="0.25">
      <c r="A80" s="2" t="s">
        <v>274</v>
      </c>
      <c r="B80" s="62" t="s">
        <v>275</v>
      </c>
      <c r="D80" s="2" t="s">
        <v>276</v>
      </c>
    </row>
    <row r="81" spans="1:8" x14ac:dyDescent="0.25">
      <c r="A81" s="2" t="s">
        <v>277</v>
      </c>
      <c r="B81" s="62" t="s">
        <v>272</v>
      </c>
      <c r="D81" s="2" t="s">
        <v>278</v>
      </c>
    </row>
    <row r="82" spans="1:8" x14ac:dyDescent="0.25">
      <c r="A82" s="2" t="s">
        <v>279</v>
      </c>
      <c r="B82" s="62" t="s">
        <v>189</v>
      </c>
      <c r="D82" s="2" t="s">
        <v>280</v>
      </c>
    </row>
    <row r="83" spans="1:8" x14ac:dyDescent="0.25">
      <c r="A83" s="2" t="s">
        <v>281</v>
      </c>
      <c r="B83" s="62" t="s">
        <v>282</v>
      </c>
      <c r="D83" s="2" t="s">
        <v>283</v>
      </c>
      <c r="H83" s="493" t="s">
        <v>284</v>
      </c>
    </row>
    <row r="84" spans="1:8" x14ac:dyDescent="0.25">
      <c r="A84" s="2" t="s">
        <v>285</v>
      </c>
      <c r="B84" s="62" t="s">
        <v>286</v>
      </c>
      <c r="H84" s="494" t="s">
        <v>287</v>
      </c>
    </row>
    <row r="85" spans="1:8" x14ac:dyDescent="0.25">
      <c r="A85" s="2" t="s">
        <v>288</v>
      </c>
      <c r="B85" s="463" t="str">
        <f>RIGHT('道具|Item'!R17,LEN('道具|Item'!R17)-4)&amp;","&amp;RIGHT('道具|Item'!R18,LEN('道具|Item'!R18)-4)&amp;","&amp;RIGHT('道具|Item'!R19,LEN('道具|Item'!R19)-4)&amp;","&amp;RIGHT('道具|Item'!R20,LEN('道具|Item'!R20)-4)</f>
        <v>1000000,2000000,5000000,10000000</v>
      </c>
    </row>
    <row r="86" spans="1:8" x14ac:dyDescent="0.25">
      <c r="A86" s="2" t="s">
        <v>289</v>
      </c>
      <c r="B86" s="2" t="s">
        <v>290</v>
      </c>
      <c r="D86" s="2" t="s">
        <v>291</v>
      </c>
    </row>
    <row r="87" spans="1:8" x14ac:dyDescent="0.25">
      <c r="A87" s="2" t="s">
        <v>292</v>
      </c>
      <c r="B87" s="2" t="s">
        <v>293</v>
      </c>
      <c r="D87" s="2" t="s">
        <v>294</v>
      </c>
    </row>
    <row r="88" spans="1:8" x14ac:dyDescent="0.25">
      <c r="A88" s="2" t="s">
        <v>295</v>
      </c>
      <c r="B88" s="2">
        <v>20</v>
      </c>
      <c r="D88" s="2" t="s">
        <v>296</v>
      </c>
    </row>
    <row r="89" spans="1:8" x14ac:dyDescent="0.25">
      <c r="A89" s="2" t="s">
        <v>297</v>
      </c>
      <c r="B89" s="62" t="s">
        <v>298</v>
      </c>
      <c r="D89" s="2" t="s">
        <v>299</v>
      </c>
    </row>
    <row r="90" spans="1:8" x14ac:dyDescent="0.25">
      <c r="A90" s="2" t="s">
        <v>300</v>
      </c>
      <c r="B90" s="62" t="s">
        <v>301</v>
      </c>
      <c r="D90" s="2" t="s">
        <v>302</v>
      </c>
    </row>
    <row r="91" spans="1:8" x14ac:dyDescent="0.25">
      <c r="A91" s="464" t="s">
        <v>303</v>
      </c>
      <c r="B91" s="465">
        <v>0</v>
      </c>
      <c r="C91" s="17" t="s">
        <v>304</v>
      </c>
      <c r="D91" s="2" t="s">
        <v>305</v>
      </c>
    </row>
    <row r="92" spans="1:8" x14ac:dyDescent="0.25">
      <c r="A92" s="466" t="s">
        <v>306</v>
      </c>
      <c r="B92" s="467" t="s">
        <v>307</v>
      </c>
      <c r="C92" s="17" t="s">
        <v>304</v>
      </c>
      <c r="D92" s="2" t="s">
        <v>308</v>
      </c>
    </row>
    <row r="93" spans="1:8" x14ac:dyDescent="0.25">
      <c r="A93" s="466" t="s">
        <v>309</v>
      </c>
      <c r="B93" s="468">
        <v>20000</v>
      </c>
      <c r="C93" s="17" t="s">
        <v>304</v>
      </c>
      <c r="D93" s="2" t="s">
        <v>310</v>
      </c>
    </row>
    <row r="94" spans="1:8" x14ac:dyDescent="0.25">
      <c r="A94" s="466" t="s">
        <v>311</v>
      </c>
      <c r="B94" s="468">
        <v>12500</v>
      </c>
      <c r="C94" s="17" t="s">
        <v>304</v>
      </c>
      <c r="D94" s="2" t="s">
        <v>310</v>
      </c>
    </row>
    <row r="95" spans="1:8" x14ac:dyDescent="0.25">
      <c r="A95" s="469" t="s">
        <v>312</v>
      </c>
      <c r="B95" s="470">
        <v>2000</v>
      </c>
      <c r="C95" s="17" t="s">
        <v>304</v>
      </c>
      <c r="D95" s="2" t="s">
        <v>310</v>
      </c>
    </row>
    <row r="96" spans="1:8" x14ac:dyDescent="0.25">
      <c r="A96" s="471" t="s">
        <v>313</v>
      </c>
      <c r="B96" s="472">
        <v>2</v>
      </c>
      <c r="C96" s="17" t="s">
        <v>304</v>
      </c>
      <c r="D96" s="2" t="s">
        <v>314</v>
      </c>
    </row>
    <row r="97" spans="1:4" x14ac:dyDescent="0.25">
      <c r="A97" s="471" t="s">
        <v>315</v>
      </c>
      <c r="B97" s="472">
        <v>7500</v>
      </c>
      <c r="C97" s="17" t="s">
        <v>304</v>
      </c>
      <c r="D97" s="2" t="s">
        <v>316</v>
      </c>
    </row>
    <row r="98" spans="1:4" x14ac:dyDescent="0.25">
      <c r="A98" s="473" t="s">
        <v>317</v>
      </c>
      <c r="B98" s="474">
        <v>1500</v>
      </c>
      <c r="C98" s="17" t="s">
        <v>304</v>
      </c>
      <c r="D98" s="2" t="s">
        <v>318</v>
      </c>
    </row>
    <row r="99" spans="1:4" x14ac:dyDescent="0.25">
      <c r="A99" s="466" t="s">
        <v>319</v>
      </c>
      <c r="B99" s="475" t="s">
        <v>320</v>
      </c>
      <c r="C99" s="17" t="s">
        <v>304</v>
      </c>
      <c r="D99" s="2" t="s">
        <v>321</v>
      </c>
    </row>
    <row r="100" spans="1:4" x14ac:dyDescent="0.25">
      <c r="A100" s="466" t="s">
        <v>322</v>
      </c>
      <c r="B100" s="468">
        <v>8</v>
      </c>
      <c r="C100" s="17" t="s">
        <v>304</v>
      </c>
      <c r="D100" s="2" t="s">
        <v>323</v>
      </c>
    </row>
    <row r="101" spans="1:4" x14ac:dyDescent="0.25">
      <c r="A101" s="466" t="s">
        <v>324</v>
      </c>
      <c r="B101" s="468">
        <v>150</v>
      </c>
      <c r="C101" s="17" t="s">
        <v>304</v>
      </c>
      <c r="D101" s="2" t="s">
        <v>325</v>
      </c>
    </row>
    <row r="102" spans="1:4" ht="16.5" customHeight="1" x14ac:dyDescent="0.25">
      <c r="A102" s="466" t="s">
        <v>326</v>
      </c>
      <c r="B102" s="476" t="s">
        <v>320</v>
      </c>
      <c r="C102" s="17" t="s">
        <v>304</v>
      </c>
      <c r="D102" s="143" t="s">
        <v>327</v>
      </c>
    </row>
    <row r="103" spans="1:4" x14ac:dyDescent="0.25">
      <c r="A103" s="466" t="s">
        <v>328</v>
      </c>
      <c r="B103" s="476">
        <v>30</v>
      </c>
      <c r="C103" s="17" t="s">
        <v>304</v>
      </c>
      <c r="D103" s="143"/>
    </row>
    <row r="104" spans="1:4" x14ac:dyDescent="0.25">
      <c r="A104" s="477" t="s">
        <v>329</v>
      </c>
      <c r="B104" s="478" t="s">
        <v>330</v>
      </c>
      <c r="C104" s="17" t="s">
        <v>304</v>
      </c>
      <c r="D104" s="2" t="s">
        <v>331</v>
      </c>
    </row>
    <row r="105" spans="1:4" x14ac:dyDescent="0.25">
      <c r="A105" s="473" t="s">
        <v>332</v>
      </c>
      <c r="B105" s="479" t="s">
        <v>333</v>
      </c>
      <c r="C105" s="17" t="s">
        <v>304</v>
      </c>
      <c r="D105" s="2" t="s">
        <v>334</v>
      </c>
    </row>
    <row r="106" spans="1:4" x14ac:dyDescent="0.25">
      <c r="A106" s="464" t="s">
        <v>335</v>
      </c>
      <c r="B106" s="480" t="s">
        <v>336</v>
      </c>
      <c r="C106" s="17" t="s">
        <v>304</v>
      </c>
      <c r="D106" s="2" t="s">
        <v>337</v>
      </c>
    </row>
    <row r="107" spans="1:4" x14ac:dyDescent="0.25">
      <c r="A107" s="477" t="s">
        <v>338</v>
      </c>
      <c r="B107" s="481">
        <v>10</v>
      </c>
      <c r="C107" s="17" t="s">
        <v>304</v>
      </c>
      <c r="D107" s="2" t="s">
        <v>339</v>
      </c>
    </row>
    <row r="108" spans="1:4" x14ac:dyDescent="0.25">
      <c r="A108" s="471" t="s">
        <v>340</v>
      </c>
      <c r="B108" s="482">
        <v>500</v>
      </c>
      <c r="C108" s="17" t="s">
        <v>304</v>
      </c>
      <c r="D108" s="2" t="s">
        <v>341</v>
      </c>
    </row>
    <row r="109" spans="1:4" x14ac:dyDescent="0.25">
      <c r="A109" s="471" t="s">
        <v>342</v>
      </c>
      <c r="B109" s="483">
        <v>5000</v>
      </c>
      <c r="C109" s="17" t="s">
        <v>304</v>
      </c>
      <c r="D109" s="2" t="s">
        <v>343</v>
      </c>
    </row>
    <row r="110" spans="1:4" x14ac:dyDescent="0.25">
      <c r="A110" s="471" t="s">
        <v>344</v>
      </c>
      <c r="B110" s="483">
        <v>8000</v>
      </c>
      <c r="C110" s="17" t="s">
        <v>304</v>
      </c>
      <c r="D110" s="2" t="s">
        <v>345</v>
      </c>
    </row>
    <row r="111" spans="1:4" x14ac:dyDescent="0.25">
      <c r="A111" s="471" t="s">
        <v>346</v>
      </c>
      <c r="B111" s="483">
        <v>340</v>
      </c>
      <c r="C111" s="17" t="s">
        <v>304</v>
      </c>
      <c r="D111" s="2" t="s">
        <v>347</v>
      </c>
    </row>
    <row r="112" spans="1:4" x14ac:dyDescent="0.25">
      <c r="A112" s="473" t="s">
        <v>348</v>
      </c>
      <c r="B112" s="484">
        <v>10000</v>
      </c>
      <c r="C112" s="17" t="s">
        <v>304</v>
      </c>
      <c r="D112" s="2" t="s">
        <v>349</v>
      </c>
    </row>
    <row r="113" spans="1:4" x14ac:dyDescent="0.25">
      <c r="A113" s="471" t="s">
        <v>350</v>
      </c>
      <c r="B113" s="482">
        <v>12</v>
      </c>
      <c r="C113" s="17" t="s">
        <v>304</v>
      </c>
      <c r="D113" s="2" t="s">
        <v>351</v>
      </c>
    </row>
    <row r="114" spans="1:4" x14ac:dyDescent="0.25">
      <c r="A114" s="471" t="s">
        <v>352</v>
      </c>
      <c r="B114" s="482">
        <v>300</v>
      </c>
      <c r="C114" s="17" t="s">
        <v>304</v>
      </c>
      <c r="D114" s="485"/>
    </row>
    <row r="115" spans="1:4" x14ac:dyDescent="0.25">
      <c r="A115" s="473" t="s">
        <v>353</v>
      </c>
      <c r="B115" s="486">
        <v>5000</v>
      </c>
      <c r="C115" s="17" t="s">
        <v>304</v>
      </c>
      <c r="D115" s="2" t="s">
        <v>310</v>
      </c>
    </row>
    <row r="116" spans="1:4" x14ac:dyDescent="0.25">
      <c r="A116" s="487" t="s">
        <v>354</v>
      </c>
      <c r="B116" s="488">
        <v>5</v>
      </c>
      <c r="C116" s="17" t="s">
        <v>304</v>
      </c>
      <c r="D116" s="2" t="s">
        <v>355</v>
      </c>
    </row>
    <row r="117" spans="1:4" x14ac:dyDescent="0.25">
      <c r="A117" s="489" t="s">
        <v>356</v>
      </c>
      <c r="B117" s="470">
        <v>600</v>
      </c>
      <c r="C117" s="17" t="s">
        <v>304</v>
      </c>
      <c r="D117" s="2" t="s">
        <v>357</v>
      </c>
    </row>
    <row r="118" spans="1:4" x14ac:dyDescent="0.25">
      <c r="A118" s="2" t="s">
        <v>358</v>
      </c>
      <c r="B118" s="62" t="s">
        <v>359</v>
      </c>
      <c r="D118" s="17" t="s">
        <v>360</v>
      </c>
    </row>
    <row r="119" spans="1:4" x14ac:dyDescent="0.25">
      <c r="A119" s="2" t="s">
        <v>361</v>
      </c>
      <c r="B119" s="62" t="s">
        <v>362</v>
      </c>
      <c r="D119" s="17" t="s">
        <v>363</v>
      </c>
    </row>
    <row r="120" spans="1:4" x14ac:dyDescent="0.25">
      <c r="A120" s="2" t="s">
        <v>364</v>
      </c>
      <c r="B120" s="62" t="s">
        <v>98</v>
      </c>
      <c r="D120" s="17" t="s">
        <v>365</v>
      </c>
    </row>
    <row r="121" spans="1:4" x14ac:dyDescent="0.25">
      <c r="A121" s="2" t="s">
        <v>366</v>
      </c>
      <c r="B121" s="62" t="s">
        <v>98</v>
      </c>
      <c r="D121" s="17" t="s">
        <v>367</v>
      </c>
    </row>
    <row r="122" spans="1:4" x14ac:dyDescent="0.25">
      <c r="A122" s="2" t="s">
        <v>368</v>
      </c>
      <c r="B122" s="62" t="s">
        <v>105</v>
      </c>
      <c r="D122" s="17" t="s">
        <v>369</v>
      </c>
    </row>
    <row r="123" spans="1:4" x14ac:dyDescent="0.25">
      <c r="A123" s="2" t="s">
        <v>370</v>
      </c>
      <c r="B123" s="62" t="s">
        <v>320</v>
      </c>
      <c r="D123" s="17" t="s">
        <v>371</v>
      </c>
    </row>
    <row r="124" spans="1:4" x14ac:dyDescent="0.25">
      <c r="A124" s="270" t="s">
        <v>372</v>
      </c>
      <c r="B124" s="62" t="s">
        <v>373</v>
      </c>
      <c r="D124" s="2" t="s">
        <v>374</v>
      </c>
    </row>
    <row r="125" spans="1:4" x14ac:dyDescent="0.25">
      <c r="A125" s="270" t="s">
        <v>375</v>
      </c>
      <c r="B125" s="62" t="s">
        <v>376</v>
      </c>
      <c r="D125" s="2" t="s">
        <v>377</v>
      </c>
    </row>
    <row r="126" spans="1:4" x14ac:dyDescent="0.25">
      <c r="A126" s="270" t="s">
        <v>378</v>
      </c>
      <c r="B126" s="62" t="s">
        <v>259</v>
      </c>
      <c r="D126" s="2" t="s">
        <v>379</v>
      </c>
    </row>
    <row r="127" spans="1:4" x14ac:dyDescent="0.4">
      <c r="A127" s="490" t="s">
        <v>380</v>
      </c>
      <c r="B127" s="491" t="s">
        <v>189</v>
      </c>
      <c r="D127" s="492" t="s">
        <v>381</v>
      </c>
    </row>
    <row r="128" spans="1:4" x14ac:dyDescent="0.4">
      <c r="A128" s="490" t="s">
        <v>382</v>
      </c>
      <c r="B128" s="458" t="s">
        <v>179</v>
      </c>
      <c r="D128" s="492" t="s">
        <v>383</v>
      </c>
    </row>
    <row r="129" spans="1:6" x14ac:dyDescent="0.25">
      <c r="A129" s="490" t="s">
        <v>384</v>
      </c>
      <c r="B129" s="491" t="s">
        <v>98</v>
      </c>
      <c r="D129" s="2" t="s">
        <v>385</v>
      </c>
      <c r="E129" s="41"/>
    </row>
    <row r="130" spans="1:6" x14ac:dyDescent="0.25">
      <c r="A130" s="490" t="s">
        <v>386</v>
      </c>
      <c r="B130" s="62" t="s">
        <v>387</v>
      </c>
      <c r="D130" s="2" t="s">
        <v>388</v>
      </c>
    </row>
    <row r="131" spans="1:6" x14ac:dyDescent="0.25">
      <c r="A131" s="495" t="s">
        <v>389</v>
      </c>
      <c r="B131" s="491" t="s">
        <v>387</v>
      </c>
      <c r="C131" s="41"/>
      <c r="D131" s="41" t="s">
        <v>390</v>
      </c>
    </row>
    <row r="132" spans="1:6" x14ac:dyDescent="0.25">
      <c r="A132" s="490" t="s">
        <v>391</v>
      </c>
      <c r="B132" s="491" t="s">
        <v>392</v>
      </c>
      <c r="D132" s="2" t="s">
        <v>393</v>
      </c>
    </row>
    <row r="133" spans="1:6" x14ac:dyDescent="0.25">
      <c r="A133" s="490" t="s">
        <v>394</v>
      </c>
      <c r="B133" s="491" t="s">
        <v>320</v>
      </c>
      <c r="D133" s="2" t="s">
        <v>395</v>
      </c>
    </row>
    <row r="134" spans="1:6" x14ac:dyDescent="0.25">
      <c r="A134" s="490" t="s">
        <v>396</v>
      </c>
      <c r="B134" s="62" t="s">
        <v>146</v>
      </c>
      <c r="D134" s="2" t="s">
        <v>397</v>
      </c>
    </row>
    <row r="135" spans="1:6" x14ac:dyDescent="0.25">
      <c r="A135" s="490" t="s">
        <v>398</v>
      </c>
      <c r="B135" s="491" t="s">
        <v>146</v>
      </c>
      <c r="D135" s="2" t="s">
        <v>399</v>
      </c>
    </row>
    <row r="136" spans="1:6" x14ac:dyDescent="0.25">
      <c r="A136" s="490" t="s">
        <v>400</v>
      </c>
      <c r="B136" s="491" t="s">
        <v>392</v>
      </c>
      <c r="D136" s="2" t="s">
        <v>401</v>
      </c>
    </row>
    <row r="137" spans="1:6" x14ac:dyDescent="0.25">
      <c r="A137" s="490" t="s">
        <v>402</v>
      </c>
      <c r="B137" s="62" t="s">
        <v>403</v>
      </c>
      <c r="D137" s="2" t="s">
        <v>404</v>
      </c>
    </row>
    <row r="138" spans="1:6" x14ac:dyDescent="0.25">
      <c r="A138" s="490" t="s">
        <v>405</v>
      </c>
      <c r="B138" s="62" t="s">
        <v>406</v>
      </c>
      <c r="D138" s="2" t="s">
        <v>407</v>
      </c>
      <c r="F138" s="491"/>
    </row>
    <row r="139" spans="1:6" x14ac:dyDescent="0.25">
      <c r="A139" s="490" t="s">
        <v>408</v>
      </c>
      <c r="B139" s="62" t="s">
        <v>189</v>
      </c>
      <c r="D139" s="2" t="s">
        <v>409</v>
      </c>
    </row>
    <row r="140" spans="1:6" x14ac:dyDescent="0.25">
      <c r="A140" s="490" t="s">
        <v>410</v>
      </c>
      <c r="B140" s="491" t="s">
        <v>146</v>
      </c>
      <c r="D140" s="2" t="s">
        <v>411</v>
      </c>
    </row>
    <row r="141" spans="1:6" x14ac:dyDescent="0.25">
      <c r="A141" s="490" t="s">
        <v>412</v>
      </c>
      <c r="B141" s="491" t="s">
        <v>413</v>
      </c>
      <c r="D141" s="2" t="s">
        <v>414</v>
      </c>
    </row>
    <row r="142" spans="1:6" x14ac:dyDescent="0.25">
      <c r="A142" s="490" t="s">
        <v>415</v>
      </c>
      <c r="B142" s="62" t="s">
        <v>333</v>
      </c>
      <c r="D142" s="2" t="s">
        <v>416</v>
      </c>
    </row>
    <row r="143" spans="1:6" x14ac:dyDescent="0.25">
      <c r="A143" s="490" t="s">
        <v>417</v>
      </c>
      <c r="B143" s="491" t="s">
        <v>146</v>
      </c>
      <c r="D143" s="2" t="s">
        <v>418</v>
      </c>
    </row>
    <row r="144" spans="1:6" x14ac:dyDescent="0.25">
      <c r="A144" s="490" t="s">
        <v>419</v>
      </c>
      <c r="B144" s="62" t="s">
        <v>275</v>
      </c>
      <c r="D144" s="17" t="s">
        <v>420</v>
      </c>
      <c r="E144" s="17"/>
    </row>
    <row r="145" spans="1:5" x14ac:dyDescent="0.45">
      <c r="A145" s="490" t="s">
        <v>421</v>
      </c>
      <c r="B145" s="360" t="s">
        <v>422</v>
      </c>
      <c r="D145" s="2" t="s">
        <v>423</v>
      </c>
    </row>
    <row r="146" spans="1:5" x14ac:dyDescent="0.25">
      <c r="A146" s="490" t="s">
        <v>424</v>
      </c>
      <c r="B146" s="491" t="s">
        <v>359</v>
      </c>
      <c r="D146" s="2" t="s">
        <v>425</v>
      </c>
      <c r="E146" s="458" t="s">
        <v>426</v>
      </c>
    </row>
    <row r="147" spans="1:5" x14ac:dyDescent="0.25">
      <c r="A147" s="2" t="s">
        <v>427</v>
      </c>
      <c r="B147" s="62" t="s">
        <v>428</v>
      </c>
      <c r="D147" s="2" t="s">
        <v>429</v>
      </c>
    </row>
    <row r="148" spans="1:5" x14ac:dyDescent="0.25">
      <c r="A148" s="60" t="s">
        <v>430</v>
      </c>
      <c r="B148" s="491" t="s">
        <v>431</v>
      </c>
      <c r="D148" s="2" t="s">
        <v>432</v>
      </c>
    </row>
    <row r="149" spans="1:5" x14ac:dyDescent="0.25">
      <c r="A149" s="2" t="s">
        <v>433</v>
      </c>
      <c r="B149" s="62" t="s">
        <v>275</v>
      </c>
      <c r="D149" s="2" t="s">
        <v>434</v>
      </c>
    </row>
    <row r="150" spans="1:5" x14ac:dyDescent="0.25">
      <c r="A150" s="2" t="s">
        <v>435</v>
      </c>
      <c r="B150" s="491" t="s">
        <v>179</v>
      </c>
      <c r="D150" s="2" t="s">
        <v>436</v>
      </c>
    </row>
    <row r="151" spans="1:5" x14ac:dyDescent="0.25">
      <c r="A151" s="2" t="s">
        <v>437</v>
      </c>
      <c r="B151" s="62" t="s">
        <v>179</v>
      </c>
      <c r="D151" s="2" t="s">
        <v>438</v>
      </c>
    </row>
    <row r="152" spans="1:5" x14ac:dyDescent="0.25">
      <c r="A152" s="2" t="s">
        <v>439</v>
      </c>
      <c r="B152" s="62" t="s">
        <v>85</v>
      </c>
      <c r="D152" s="2" t="s">
        <v>440</v>
      </c>
    </row>
    <row r="153" spans="1:5" x14ac:dyDescent="0.25">
      <c r="A153" s="2" t="s">
        <v>441</v>
      </c>
      <c r="B153" s="62" t="s">
        <v>275</v>
      </c>
      <c r="D153" s="2" t="s">
        <v>442</v>
      </c>
    </row>
    <row r="154" spans="1:5" x14ac:dyDescent="0.25">
      <c r="A154" s="2" t="s">
        <v>443</v>
      </c>
      <c r="B154" s="62" t="s">
        <v>444</v>
      </c>
      <c r="D154" s="2" t="s">
        <v>445</v>
      </c>
    </row>
    <row r="155" spans="1:5" s="41" customFormat="1" x14ac:dyDescent="0.25">
      <c r="A155" s="41" t="s">
        <v>446</v>
      </c>
      <c r="B155" s="458" t="s">
        <v>307</v>
      </c>
      <c r="D155" s="41" t="s">
        <v>447</v>
      </c>
    </row>
    <row r="156" spans="1:5" x14ac:dyDescent="0.25">
      <c r="A156" s="2" t="s">
        <v>448</v>
      </c>
      <c r="B156" s="458" t="s">
        <v>449</v>
      </c>
      <c r="D156" s="2" t="s">
        <v>450</v>
      </c>
    </row>
    <row r="157" spans="1:5" x14ac:dyDescent="0.25">
      <c r="A157" s="2" t="s">
        <v>451</v>
      </c>
      <c r="B157" s="62" t="s">
        <v>275</v>
      </c>
      <c r="D157" s="2" t="s">
        <v>452</v>
      </c>
    </row>
    <row r="158" spans="1:5" x14ac:dyDescent="0.25">
      <c r="A158" s="2" t="s">
        <v>453</v>
      </c>
      <c r="B158" s="62" t="s">
        <v>454</v>
      </c>
      <c r="D158" s="2" t="s">
        <v>455</v>
      </c>
    </row>
    <row r="159" spans="1:5" x14ac:dyDescent="0.25">
      <c r="A159" s="2" t="s">
        <v>456</v>
      </c>
      <c r="B159" s="453" t="s">
        <v>85</v>
      </c>
      <c r="D159" s="2" t="s">
        <v>457</v>
      </c>
    </row>
    <row r="160" spans="1:5" x14ac:dyDescent="0.25">
      <c r="A160" s="2" t="s">
        <v>458</v>
      </c>
      <c r="B160" s="453" t="s">
        <v>320</v>
      </c>
      <c r="D160" s="2" t="s">
        <v>459</v>
      </c>
    </row>
    <row r="161" spans="1:4" x14ac:dyDescent="0.25">
      <c r="A161" s="2" t="s">
        <v>460</v>
      </c>
      <c r="B161" s="62" t="s">
        <v>98</v>
      </c>
      <c r="D161" s="2" t="s">
        <v>461</v>
      </c>
    </row>
    <row r="162" spans="1:4" x14ac:dyDescent="0.25">
      <c r="A162" s="2" t="s">
        <v>462</v>
      </c>
      <c r="B162" s="62" t="s">
        <v>98</v>
      </c>
      <c r="D162" s="2" t="s">
        <v>463</v>
      </c>
    </row>
    <row r="163" spans="1:4" x14ac:dyDescent="0.25">
      <c r="A163" s="2" t="s">
        <v>464</v>
      </c>
      <c r="B163" s="62" t="s">
        <v>189</v>
      </c>
      <c r="D163" s="2" t="s">
        <v>465</v>
      </c>
    </row>
    <row r="164" spans="1:4" x14ac:dyDescent="0.25">
      <c r="A164" s="2" t="s">
        <v>466</v>
      </c>
      <c r="B164" s="62" t="s">
        <v>179</v>
      </c>
      <c r="D164" s="81" t="s">
        <v>467</v>
      </c>
    </row>
    <row r="165" spans="1:4" x14ac:dyDescent="0.25">
      <c r="A165" s="270" t="s">
        <v>468</v>
      </c>
      <c r="B165" s="453" t="s">
        <v>333</v>
      </c>
      <c r="C165" s="279"/>
      <c r="D165" s="270" t="s">
        <v>469</v>
      </c>
    </row>
    <row r="166" spans="1:4" x14ac:dyDescent="0.25">
      <c r="A166" s="270" t="s">
        <v>470</v>
      </c>
      <c r="B166" s="453" t="s">
        <v>179</v>
      </c>
      <c r="D166" s="81" t="s">
        <v>471</v>
      </c>
    </row>
    <row r="167" spans="1:4" x14ac:dyDescent="0.25">
      <c r="A167" s="2" t="s">
        <v>472</v>
      </c>
      <c r="B167" s="62" t="s">
        <v>132</v>
      </c>
      <c r="D167" s="2" t="s">
        <v>473</v>
      </c>
    </row>
    <row r="168" spans="1:4" x14ac:dyDescent="0.25">
      <c r="A168" s="2" t="s">
        <v>474</v>
      </c>
      <c r="B168" s="62" t="s">
        <v>333</v>
      </c>
      <c r="D168" s="2" t="s">
        <v>475</v>
      </c>
    </row>
    <row r="169" spans="1:4" x14ac:dyDescent="0.25">
      <c r="A169" s="2" t="s">
        <v>476</v>
      </c>
      <c r="B169" s="62" t="s">
        <v>275</v>
      </c>
      <c r="D169" s="2" t="s">
        <v>477</v>
      </c>
    </row>
    <row r="170" spans="1:4" x14ac:dyDescent="0.25">
      <c r="A170" s="2" t="s">
        <v>478</v>
      </c>
      <c r="B170" s="62" t="s">
        <v>479</v>
      </c>
      <c r="D170" s="2" t="s">
        <v>480</v>
      </c>
    </row>
    <row r="171" spans="1:4" x14ac:dyDescent="0.25">
      <c r="A171" s="2" t="s">
        <v>481</v>
      </c>
      <c r="B171" s="62" t="s">
        <v>189</v>
      </c>
      <c r="D171" s="2" t="s">
        <v>482</v>
      </c>
    </row>
    <row r="172" spans="1:4" x14ac:dyDescent="0.25">
      <c r="A172" s="2" t="s">
        <v>483</v>
      </c>
      <c r="B172" s="62" t="s">
        <v>275</v>
      </c>
      <c r="D172" s="2" t="s">
        <v>484</v>
      </c>
    </row>
    <row r="173" spans="1:4" x14ac:dyDescent="0.25">
      <c r="A173" s="2" t="s">
        <v>485</v>
      </c>
      <c r="B173" s="62" t="s">
        <v>275</v>
      </c>
      <c r="D173" s="2" t="s">
        <v>486</v>
      </c>
    </row>
    <row r="174" spans="1:4" x14ac:dyDescent="0.25">
      <c r="A174" s="41" t="s">
        <v>487</v>
      </c>
      <c r="B174" s="458" t="s">
        <v>320</v>
      </c>
      <c r="C174" s="41"/>
      <c r="D174" s="41" t="s">
        <v>488</v>
      </c>
    </row>
    <row r="175" spans="1:4" x14ac:dyDescent="0.25">
      <c r="A175" s="17" t="s">
        <v>489</v>
      </c>
      <c r="B175" s="62" t="s">
        <v>272</v>
      </c>
      <c r="D175" s="2" t="s">
        <v>490</v>
      </c>
    </row>
    <row r="176" spans="1:4" x14ac:dyDescent="0.25">
      <c r="A176" s="17" t="s">
        <v>491</v>
      </c>
      <c r="B176" s="62" t="s">
        <v>492</v>
      </c>
      <c r="D176" s="2" t="s">
        <v>493</v>
      </c>
    </row>
    <row r="177" spans="1:4" x14ac:dyDescent="0.25">
      <c r="A177" s="17" t="s">
        <v>494</v>
      </c>
      <c r="B177" s="62" t="s">
        <v>495</v>
      </c>
      <c r="D177" s="2" t="s">
        <v>496</v>
      </c>
    </row>
    <row r="178" spans="1:4" x14ac:dyDescent="0.25">
      <c r="A178" s="17" t="s">
        <v>497</v>
      </c>
      <c r="B178" s="62" t="s">
        <v>275</v>
      </c>
      <c r="D178" s="2" t="s">
        <v>355</v>
      </c>
    </row>
    <row r="179" spans="1:4" x14ac:dyDescent="0.25">
      <c r="A179" s="17" t="s">
        <v>498</v>
      </c>
      <c r="B179" s="62" t="s">
        <v>499</v>
      </c>
      <c r="D179" s="2" t="s">
        <v>500</v>
      </c>
    </row>
    <row r="180" spans="1:4" x14ac:dyDescent="0.25">
      <c r="A180" s="2" t="s">
        <v>501</v>
      </c>
      <c r="B180" s="62" t="s">
        <v>502</v>
      </c>
      <c r="D180" s="2" t="s">
        <v>503</v>
      </c>
    </row>
    <row r="181" spans="1:4" x14ac:dyDescent="0.25">
      <c r="A181" s="2" t="s">
        <v>504</v>
      </c>
      <c r="B181" s="62" t="s">
        <v>505</v>
      </c>
      <c r="D181" s="2" t="s">
        <v>506</v>
      </c>
    </row>
    <row r="182" spans="1:4" x14ac:dyDescent="0.25">
      <c r="A182" s="2" t="s">
        <v>507</v>
      </c>
      <c r="B182" s="62" t="s">
        <v>333</v>
      </c>
      <c r="D182" s="2" t="s">
        <v>508</v>
      </c>
    </row>
    <row r="183" spans="1:4" x14ac:dyDescent="0.25">
      <c r="A183" s="2" t="s">
        <v>509</v>
      </c>
      <c r="B183" s="62" t="s">
        <v>510</v>
      </c>
      <c r="D183" s="2" t="s">
        <v>511</v>
      </c>
    </row>
    <row r="184" spans="1:4" x14ac:dyDescent="0.25">
      <c r="A184" s="2" t="s">
        <v>512</v>
      </c>
      <c r="B184" s="62" t="s">
        <v>406</v>
      </c>
      <c r="D184" s="2" t="s">
        <v>513</v>
      </c>
    </row>
    <row r="185" spans="1:4" x14ac:dyDescent="0.25">
      <c r="A185" s="2" t="s">
        <v>514</v>
      </c>
      <c r="B185" s="62" t="s">
        <v>515</v>
      </c>
      <c r="D185" s="2" t="s">
        <v>516</v>
      </c>
    </row>
    <row r="186" spans="1:4" x14ac:dyDescent="0.25">
      <c r="A186" s="2" t="s">
        <v>517</v>
      </c>
      <c r="B186" s="62" t="s">
        <v>518</v>
      </c>
      <c r="D186" s="2" t="s">
        <v>519</v>
      </c>
    </row>
    <row r="187" spans="1:4" x14ac:dyDescent="0.25">
      <c r="A187" s="2" t="s">
        <v>520</v>
      </c>
      <c r="B187" s="62" t="s">
        <v>521</v>
      </c>
      <c r="D187" s="2" t="s">
        <v>522</v>
      </c>
    </row>
    <row r="188" spans="1:4" x14ac:dyDescent="0.25">
      <c r="A188" s="2" t="s">
        <v>523</v>
      </c>
      <c r="B188" s="62" t="s">
        <v>132</v>
      </c>
      <c r="D188" s="2" t="s">
        <v>524</v>
      </c>
    </row>
    <row r="189" spans="1:4" x14ac:dyDescent="0.25">
      <c r="A189" s="2" t="s">
        <v>525</v>
      </c>
      <c r="B189" s="62" t="s">
        <v>146</v>
      </c>
      <c r="D189" s="2" t="s">
        <v>526</v>
      </c>
    </row>
    <row r="190" spans="1:4" x14ac:dyDescent="0.25">
      <c r="A190" s="2" t="s">
        <v>527</v>
      </c>
      <c r="B190" s="62" t="s">
        <v>146</v>
      </c>
      <c r="D190" s="2" t="s">
        <v>528</v>
      </c>
    </row>
    <row r="191" spans="1:4" x14ac:dyDescent="0.25">
      <c r="A191" s="2" t="s">
        <v>529</v>
      </c>
      <c r="B191" s="62" t="s">
        <v>179</v>
      </c>
      <c r="D191" s="2" t="s">
        <v>530</v>
      </c>
    </row>
    <row r="192" spans="1:4" x14ac:dyDescent="0.25">
      <c r="A192" s="2" t="s">
        <v>531</v>
      </c>
      <c r="B192" s="62" t="s">
        <v>428</v>
      </c>
      <c r="D192" s="2" t="s">
        <v>532</v>
      </c>
    </row>
    <row r="193" spans="1:14" x14ac:dyDescent="0.25">
      <c r="A193" s="2" t="s">
        <v>533</v>
      </c>
      <c r="B193" s="62" t="s">
        <v>189</v>
      </c>
      <c r="D193" s="2" t="s">
        <v>534</v>
      </c>
    </row>
    <row r="194" spans="1:14" x14ac:dyDescent="0.25">
      <c r="A194" s="2" t="s">
        <v>535</v>
      </c>
      <c r="B194" s="62" t="s">
        <v>259</v>
      </c>
      <c r="D194" s="2" t="s">
        <v>536</v>
      </c>
    </row>
    <row r="195" spans="1:14" x14ac:dyDescent="0.25">
      <c r="A195" s="2" t="s">
        <v>537</v>
      </c>
      <c r="B195" s="270">
        <f>INDEX('炮解锁|CannonUnlock'!A:A,MATCH(MAX('炮解锁|CannonUnlock'!A:A),'炮解锁|CannonUnlock'!A:A,),1)</f>
        <v>30000</v>
      </c>
      <c r="D195" s="2" t="s">
        <v>538</v>
      </c>
    </row>
    <row r="196" spans="1:14" x14ac:dyDescent="0.25">
      <c r="A196" s="2" t="s">
        <v>539</v>
      </c>
      <c r="B196" s="62" t="s">
        <v>540</v>
      </c>
      <c r="D196" s="2" t="s">
        <v>541</v>
      </c>
      <c r="K196" s="2" t="s">
        <v>542</v>
      </c>
      <c r="L196" s="2" t="s">
        <v>543</v>
      </c>
      <c r="M196" s="2" t="s">
        <v>544</v>
      </c>
      <c r="N196" s="2" t="s">
        <v>545</v>
      </c>
    </row>
    <row r="197" spans="1:14" x14ac:dyDescent="0.25">
      <c r="A197" s="2" t="s">
        <v>546</v>
      </c>
      <c r="B197" s="62" t="s">
        <v>547</v>
      </c>
      <c r="D197" s="2" t="s">
        <v>548</v>
      </c>
      <c r="K197" s="189">
        <v>0.1</v>
      </c>
      <c r="L197" s="189">
        <v>1</v>
      </c>
      <c r="M197" s="499">
        <f>K197*L197*2+K197*(1-L197)</f>
        <v>0.2</v>
      </c>
      <c r="N197" s="499">
        <f>K197*L197*3+K197*(1-L197)</f>
        <v>0.30000000000000004</v>
      </c>
    </row>
    <row r="198" spans="1:14" x14ac:dyDescent="0.25">
      <c r="A198" s="2" t="s">
        <v>549</v>
      </c>
      <c r="B198" s="62" t="s">
        <v>550</v>
      </c>
      <c r="D198" s="2" t="s">
        <v>551</v>
      </c>
      <c r="K198" s="189">
        <v>0.2</v>
      </c>
      <c r="L198" s="189">
        <v>0.9</v>
      </c>
      <c r="M198" s="499">
        <f t="shared" ref="M198:M206" si="2">K198*L198*2+K198*(1-L198)</f>
        <v>0.38000000000000006</v>
      </c>
      <c r="N198" s="499">
        <f t="shared" ref="N198:N206" si="3">K198*L198*3+K198*(1-L198)</f>
        <v>0.56000000000000005</v>
      </c>
    </row>
    <row r="199" spans="1:14" x14ac:dyDescent="0.25">
      <c r="A199" s="2" t="s">
        <v>552</v>
      </c>
      <c r="B199" s="62" t="s">
        <v>387</v>
      </c>
      <c r="D199" s="2" t="s">
        <v>553</v>
      </c>
      <c r="K199" s="189">
        <v>0.3</v>
      </c>
      <c r="L199" s="189">
        <v>0.8</v>
      </c>
      <c r="M199" s="499">
        <f t="shared" si="2"/>
        <v>0.53999999999999992</v>
      </c>
      <c r="N199" s="499">
        <f t="shared" si="3"/>
        <v>0.77999999999999992</v>
      </c>
    </row>
    <row r="200" spans="1:14" x14ac:dyDescent="0.25">
      <c r="A200" s="2" t="s">
        <v>554</v>
      </c>
      <c r="B200" s="62" t="s">
        <v>307</v>
      </c>
      <c r="D200" s="2" t="s">
        <v>555</v>
      </c>
      <c r="K200" s="189">
        <v>0.4</v>
      </c>
      <c r="L200" s="189">
        <v>0.7</v>
      </c>
      <c r="M200" s="499">
        <f t="shared" si="2"/>
        <v>0.67999999999999994</v>
      </c>
      <c r="N200" s="499">
        <f t="shared" si="3"/>
        <v>0.95999999999999985</v>
      </c>
    </row>
    <row r="201" spans="1:14" x14ac:dyDescent="0.25">
      <c r="A201" s="2" t="s">
        <v>556</v>
      </c>
      <c r="B201" s="62" t="s">
        <v>275</v>
      </c>
      <c r="D201" s="2" t="s">
        <v>557</v>
      </c>
      <c r="K201" s="189">
        <v>0.5</v>
      </c>
      <c r="L201" s="189">
        <v>0.6</v>
      </c>
      <c r="M201" s="499">
        <f t="shared" si="2"/>
        <v>0.8</v>
      </c>
      <c r="N201" s="499">
        <f t="shared" si="3"/>
        <v>1.0999999999999999</v>
      </c>
    </row>
    <row r="202" spans="1:14" x14ac:dyDescent="0.25">
      <c r="A202" s="2" t="s">
        <v>558</v>
      </c>
      <c r="B202" s="62" t="s">
        <v>392</v>
      </c>
      <c r="D202" s="2" t="s">
        <v>559</v>
      </c>
      <c r="K202" s="189">
        <v>0.6</v>
      </c>
      <c r="L202" s="189">
        <v>0.5</v>
      </c>
      <c r="M202" s="499">
        <f t="shared" si="2"/>
        <v>0.89999999999999991</v>
      </c>
      <c r="N202" s="499">
        <f t="shared" si="3"/>
        <v>1.2</v>
      </c>
    </row>
    <row r="203" spans="1:14" x14ac:dyDescent="0.25">
      <c r="A203" s="2" t="s">
        <v>560</v>
      </c>
      <c r="B203" s="62" t="s">
        <v>561</v>
      </c>
      <c r="D203" s="2" t="s">
        <v>562</v>
      </c>
      <c r="E203" s="2">
        <f>30*60</f>
        <v>1800</v>
      </c>
      <c r="K203" s="189">
        <v>0.7</v>
      </c>
      <c r="L203" s="189">
        <v>0.4</v>
      </c>
      <c r="M203" s="499">
        <f t="shared" si="2"/>
        <v>0.98</v>
      </c>
      <c r="N203" s="499">
        <f t="shared" si="3"/>
        <v>1.2599999999999998</v>
      </c>
    </row>
    <row r="204" spans="1:14" x14ac:dyDescent="0.25">
      <c r="A204" s="2" t="s">
        <v>563</v>
      </c>
      <c r="B204" s="62" t="s">
        <v>179</v>
      </c>
      <c r="D204" s="2" t="s">
        <v>564</v>
      </c>
      <c r="K204" s="189">
        <v>0.8</v>
      </c>
      <c r="L204" s="189">
        <v>0.3</v>
      </c>
      <c r="M204" s="499">
        <f t="shared" si="2"/>
        <v>1.04</v>
      </c>
      <c r="N204" s="499">
        <f t="shared" si="3"/>
        <v>1.2799999999999998</v>
      </c>
    </row>
    <row r="205" spans="1:14" x14ac:dyDescent="0.25">
      <c r="A205" s="2" t="s">
        <v>565</v>
      </c>
      <c r="B205" s="62" t="s">
        <v>272</v>
      </c>
      <c r="D205" s="2" t="s">
        <v>566</v>
      </c>
      <c r="K205" s="189">
        <v>0.9</v>
      </c>
      <c r="L205" s="189">
        <v>0.2</v>
      </c>
      <c r="M205" s="499">
        <f t="shared" si="2"/>
        <v>1.08</v>
      </c>
      <c r="N205" s="499">
        <f t="shared" si="3"/>
        <v>1.2600000000000002</v>
      </c>
    </row>
    <row r="206" spans="1:14" x14ac:dyDescent="0.25">
      <c r="A206" s="2" t="s">
        <v>567</v>
      </c>
      <c r="B206" s="62" t="s">
        <v>179</v>
      </c>
      <c r="D206" s="2" t="s">
        <v>568</v>
      </c>
      <c r="K206" s="189">
        <v>1</v>
      </c>
      <c r="L206" s="189">
        <v>0.1</v>
      </c>
      <c r="M206" s="499">
        <f t="shared" si="2"/>
        <v>1.1000000000000001</v>
      </c>
      <c r="N206" s="499">
        <f t="shared" si="3"/>
        <v>1.2000000000000002</v>
      </c>
    </row>
    <row r="207" spans="1:14" x14ac:dyDescent="0.45">
      <c r="A207" s="2" t="s">
        <v>569</v>
      </c>
      <c r="B207" s="1">
        <f>MAX('潜艇等级|AirBallLv'!A6:A100)</f>
        <v>10</v>
      </c>
      <c r="D207" s="2" t="s">
        <v>570</v>
      </c>
      <c r="K207" s="189">
        <v>1.1000000000000001</v>
      </c>
      <c r="L207" s="189">
        <v>0</v>
      </c>
      <c r="M207" s="499">
        <f t="shared" ref="M207:M209" si="4">K207*L207*2+K207*(1-L207)</f>
        <v>1.1000000000000001</v>
      </c>
      <c r="N207" s="499">
        <f t="shared" ref="N207:N209" si="5">K207*L207*3+K207*(1-L207)</f>
        <v>1.1000000000000001</v>
      </c>
    </row>
    <row r="208" spans="1:14" x14ac:dyDescent="0.25">
      <c r="A208" s="2" t="s">
        <v>571</v>
      </c>
      <c r="B208" s="62" t="s">
        <v>359</v>
      </c>
      <c r="D208" s="2" t="s">
        <v>572</v>
      </c>
      <c r="K208" s="189">
        <v>1.2</v>
      </c>
      <c r="L208" s="189">
        <v>0</v>
      </c>
      <c r="M208" s="499">
        <f t="shared" si="4"/>
        <v>1.2</v>
      </c>
      <c r="N208" s="499">
        <f t="shared" si="5"/>
        <v>1.2</v>
      </c>
    </row>
    <row r="209" spans="1:14" x14ac:dyDescent="0.25">
      <c r="A209" s="2" t="s">
        <v>573</v>
      </c>
      <c r="B209" s="62" t="s">
        <v>320</v>
      </c>
      <c r="D209" s="2" t="s">
        <v>574</v>
      </c>
      <c r="K209" s="189">
        <v>1.3</v>
      </c>
      <c r="L209" s="189">
        <v>0</v>
      </c>
      <c r="M209" s="499">
        <f t="shared" si="4"/>
        <v>1.3</v>
      </c>
      <c r="N209" s="499">
        <f t="shared" si="5"/>
        <v>1.3</v>
      </c>
    </row>
    <row r="210" spans="1:14" x14ac:dyDescent="0.25">
      <c r="A210" s="2" t="s">
        <v>575</v>
      </c>
      <c r="B210" s="2">
        <f>10*60</f>
        <v>600</v>
      </c>
      <c r="D210" s="2" t="s">
        <v>576</v>
      </c>
    </row>
    <row r="211" spans="1:14" x14ac:dyDescent="0.25">
      <c r="A211" s="2" t="s">
        <v>577</v>
      </c>
      <c r="B211" s="458" t="s">
        <v>561</v>
      </c>
      <c r="D211" s="2" t="s">
        <v>578</v>
      </c>
    </row>
    <row r="212" spans="1:14" x14ac:dyDescent="0.25">
      <c r="A212" s="2" t="s">
        <v>579</v>
      </c>
      <c r="B212" s="62" t="s">
        <v>449</v>
      </c>
      <c r="D212" s="2" t="s">
        <v>580</v>
      </c>
    </row>
    <row r="213" spans="1:14" x14ac:dyDescent="0.25">
      <c r="A213" s="2" t="s">
        <v>581</v>
      </c>
      <c r="B213" s="62" t="s">
        <v>333</v>
      </c>
      <c r="D213" s="2" t="s">
        <v>582</v>
      </c>
    </row>
    <row r="214" spans="1:14" x14ac:dyDescent="0.25">
      <c r="A214" s="2" t="s">
        <v>583</v>
      </c>
      <c r="B214" s="458" t="s">
        <v>149</v>
      </c>
      <c r="D214" s="2" t="s">
        <v>584</v>
      </c>
      <c r="E214" s="41">
        <v>15</v>
      </c>
    </row>
    <row r="215" spans="1:14" x14ac:dyDescent="0.25">
      <c r="A215" s="2" t="s">
        <v>585</v>
      </c>
      <c r="B215" s="62" t="s">
        <v>333</v>
      </c>
      <c r="D215" s="2" t="s">
        <v>586</v>
      </c>
    </row>
    <row r="216" spans="1:14" x14ac:dyDescent="0.25">
      <c r="A216" s="2" t="s">
        <v>587</v>
      </c>
      <c r="B216" s="62" t="s">
        <v>307</v>
      </c>
      <c r="D216" s="2" t="s">
        <v>588</v>
      </c>
    </row>
    <row r="217" spans="1:14" x14ac:dyDescent="0.25">
      <c r="A217" s="2" t="s">
        <v>589</v>
      </c>
      <c r="B217" s="496" t="s">
        <v>392</v>
      </c>
      <c r="D217" s="2" t="s">
        <v>590</v>
      </c>
    </row>
    <row r="218" spans="1:14" x14ac:dyDescent="0.25">
      <c r="A218" s="2" t="s">
        <v>591</v>
      </c>
      <c r="B218" s="496" t="s">
        <v>592</v>
      </c>
      <c r="D218" s="81" t="s">
        <v>593</v>
      </c>
    </row>
    <row r="219" spans="1:14" x14ac:dyDescent="0.25">
      <c r="A219" s="2" t="s">
        <v>594</v>
      </c>
      <c r="B219" s="496" t="s">
        <v>595</v>
      </c>
      <c r="D219" s="2" t="s">
        <v>596</v>
      </c>
    </row>
    <row r="220" spans="1:14" x14ac:dyDescent="0.25">
      <c r="A220" s="2" t="s">
        <v>597</v>
      </c>
      <c r="B220" s="497" t="s">
        <v>598</v>
      </c>
      <c r="D220" s="2" t="s">
        <v>599</v>
      </c>
    </row>
    <row r="221" spans="1:14" x14ac:dyDescent="0.25">
      <c r="A221" s="2" t="s">
        <v>600</v>
      </c>
      <c r="B221" s="496" t="s">
        <v>132</v>
      </c>
      <c r="D221" s="2" t="s">
        <v>601</v>
      </c>
    </row>
    <row r="222" spans="1:14" x14ac:dyDescent="0.25">
      <c r="A222" s="2" t="s">
        <v>602</v>
      </c>
      <c r="B222" s="496" t="s">
        <v>603</v>
      </c>
      <c r="D222" s="2" t="s">
        <v>604</v>
      </c>
    </row>
    <row r="223" spans="1:14" x14ac:dyDescent="0.25">
      <c r="A223" s="2" t="s">
        <v>605</v>
      </c>
      <c r="B223" s="496" t="s">
        <v>320</v>
      </c>
      <c r="D223" s="2" t="s">
        <v>606</v>
      </c>
    </row>
    <row r="224" spans="1:14" x14ac:dyDescent="0.25">
      <c r="A224" s="2" t="s">
        <v>607</v>
      </c>
      <c r="B224" s="496" t="s">
        <v>608</v>
      </c>
      <c r="D224" s="2" t="s">
        <v>609</v>
      </c>
    </row>
    <row r="225" spans="1:4" x14ac:dyDescent="0.25">
      <c r="A225" s="2" t="s">
        <v>610</v>
      </c>
      <c r="B225" s="496" t="s">
        <v>320</v>
      </c>
      <c r="D225" s="2" t="s">
        <v>611</v>
      </c>
    </row>
    <row r="226" spans="1:4" x14ac:dyDescent="0.25">
      <c r="A226" s="2" t="s">
        <v>612</v>
      </c>
      <c r="B226" s="496" t="s">
        <v>613</v>
      </c>
      <c r="D226" s="2" t="s">
        <v>614</v>
      </c>
    </row>
    <row r="227" spans="1:4" x14ac:dyDescent="0.25">
      <c r="A227" s="2" t="s">
        <v>615</v>
      </c>
      <c r="B227" s="496" t="s">
        <v>616</v>
      </c>
      <c r="D227" s="2" t="s">
        <v>617</v>
      </c>
    </row>
    <row r="228" spans="1:4" x14ac:dyDescent="0.25">
      <c r="A228" s="2" t="s">
        <v>618</v>
      </c>
      <c r="B228" s="496" t="s">
        <v>619</v>
      </c>
      <c r="D228" s="2" t="s">
        <v>620</v>
      </c>
    </row>
    <row r="229" spans="1:4" x14ac:dyDescent="0.25">
      <c r="A229" s="2" t="s">
        <v>621</v>
      </c>
      <c r="B229" s="62" t="s">
        <v>622</v>
      </c>
      <c r="D229" s="2" t="s">
        <v>623</v>
      </c>
    </row>
    <row r="230" spans="1:4" x14ac:dyDescent="0.25">
      <c r="A230" s="2" t="s">
        <v>624</v>
      </c>
      <c r="B230" s="62" t="s">
        <v>105</v>
      </c>
      <c r="D230" s="2" t="s">
        <v>625</v>
      </c>
    </row>
    <row r="231" spans="1:4" x14ac:dyDescent="0.25">
      <c r="A231" s="2" t="s">
        <v>626</v>
      </c>
      <c r="B231" s="62" t="s">
        <v>627</v>
      </c>
      <c r="D231" s="2" t="s">
        <v>628</v>
      </c>
    </row>
    <row r="232" spans="1:4" x14ac:dyDescent="0.25">
      <c r="A232" s="2" t="s">
        <v>629</v>
      </c>
      <c r="B232" s="62" t="s">
        <v>630</v>
      </c>
      <c r="D232" s="2" t="s">
        <v>631</v>
      </c>
    </row>
    <row r="233" spans="1:4" x14ac:dyDescent="0.25">
      <c r="A233" s="2" t="s">
        <v>632</v>
      </c>
      <c r="B233" s="62" t="s">
        <v>85</v>
      </c>
      <c r="D233" s="2" t="s">
        <v>633</v>
      </c>
    </row>
    <row r="234" spans="1:4" x14ac:dyDescent="0.25">
      <c r="A234" s="2" t="s">
        <v>634</v>
      </c>
      <c r="B234" s="62" t="s">
        <v>320</v>
      </c>
      <c r="D234" s="2" t="s">
        <v>635</v>
      </c>
    </row>
    <row r="235" spans="1:4" x14ac:dyDescent="0.25">
      <c r="A235" s="2" t="s">
        <v>636</v>
      </c>
      <c r="B235" s="62" t="s">
        <v>637</v>
      </c>
      <c r="D235" s="2" t="s">
        <v>638</v>
      </c>
    </row>
    <row r="236" spans="1:4" x14ac:dyDescent="0.25">
      <c r="A236" s="2" t="s">
        <v>639</v>
      </c>
      <c r="B236" s="62" t="s">
        <v>179</v>
      </c>
      <c r="D236" s="2" t="s">
        <v>640</v>
      </c>
    </row>
    <row r="237" spans="1:4" x14ac:dyDescent="0.25">
      <c r="A237" s="2" t="s">
        <v>641</v>
      </c>
      <c r="B237" s="498" t="s">
        <v>642</v>
      </c>
      <c r="D237" s="2" t="s">
        <v>643</v>
      </c>
    </row>
    <row r="238" spans="1:4" x14ac:dyDescent="0.25">
      <c r="A238" s="2" t="s">
        <v>644</v>
      </c>
      <c r="B238" s="62" t="s">
        <v>359</v>
      </c>
      <c r="D238" s="2" t="s">
        <v>645</v>
      </c>
    </row>
    <row r="239" spans="1:4" x14ac:dyDescent="0.25">
      <c r="A239" s="2" t="s">
        <v>646</v>
      </c>
      <c r="B239" s="62" t="s">
        <v>362</v>
      </c>
      <c r="D239" s="2" t="s">
        <v>647</v>
      </c>
    </row>
    <row r="240" spans="1:4" x14ac:dyDescent="0.25">
      <c r="A240" s="2" t="s">
        <v>648</v>
      </c>
      <c r="B240" s="62" t="s">
        <v>307</v>
      </c>
      <c r="D240" s="2" t="s">
        <v>649</v>
      </c>
    </row>
    <row r="241" spans="1:12" x14ac:dyDescent="0.25">
      <c r="A241" s="2" t="s">
        <v>650</v>
      </c>
      <c r="B241" s="62" t="s">
        <v>651</v>
      </c>
      <c r="D241" s="2" t="s">
        <v>652</v>
      </c>
    </row>
    <row r="242" spans="1:12" x14ac:dyDescent="0.25">
      <c r="A242" s="2" t="s">
        <v>653</v>
      </c>
      <c r="B242" s="62" t="s">
        <v>654</v>
      </c>
      <c r="D242" s="2" t="s">
        <v>655</v>
      </c>
    </row>
    <row r="243" spans="1:12" x14ac:dyDescent="0.25">
      <c r="A243" s="2" t="s">
        <v>656</v>
      </c>
      <c r="B243" s="62" t="s">
        <v>256</v>
      </c>
      <c r="D243" s="2" t="s">
        <v>657</v>
      </c>
    </row>
    <row r="244" spans="1:12" x14ac:dyDescent="0.25">
      <c r="A244" s="2" t="s">
        <v>658</v>
      </c>
      <c r="B244" s="62" t="s">
        <v>132</v>
      </c>
      <c r="D244" s="2" t="s">
        <v>659</v>
      </c>
    </row>
    <row r="245" spans="1:12" x14ac:dyDescent="0.25">
      <c r="A245" s="2" t="s">
        <v>660</v>
      </c>
      <c r="B245" s="62" t="s">
        <v>661</v>
      </c>
      <c r="D245" s="2" t="s">
        <v>659</v>
      </c>
    </row>
    <row r="246" spans="1:12" x14ac:dyDescent="0.25">
      <c r="A246" s="2" t="s">
        <v>662</v>
      </c>
      <c r="B246" s="62" t="s">
        <v>663</v>
      </c>
      <c r="D246" s="2" t="s">
        <v>664</v>
      </c>
      <c r="L246" s="2">
        <f>24*60</f>
        <v>1440</v>
      </c>
    </row>
    <row r="247" spans="1:12" x14ac:dyDescent="0.25">
      <c r="A247" s="2" t="s">
        <v>665</v>
      </c>
      <c r="B247" s="62" t="s">
        <v>666</v>
      </c>
      <c r="D247" s="2" t="s">
        <v>667</v>
      </c>
      <c r="L247" s="2">
        <f>24*60</f>
        <v>1440</v>
      </c>
    </row>
    <row r="248" spans="1:12" x14ac:dyDescent="0.25">
      <c r="A248" s="2" t="s">
        <v>668</v>
      </c>
      <c r="B248" s="2">
        <f>8*60*60*6*7</f>
        <v>1209600</v>
      </c>
      <c r="D248" s="2" t="s">
        <v>669</v>
      </c>
    </row>
    <row r="249" spans="1:12" x14ac:dyDescent="0.25">
      <c r="A249" s="2" t="s">
        <v>670</v>
      </c>
      <c r="B249" s="62" t="s">
        <v>256</v>
      </c>
      <c r="D249" s="2" t="s">
        <v>671</v>
      </c>
    </row>
    <row r="250" spans="1:12" x14ac:dyDescent="0.25">
      <c r="A250" s="2" t="s">
        <v>672</v>
      </c>
      <c r="B250" s="2">
        <f>5%*1000</f>
        <v>50</v>
      </c>
      <c r="D250" s="2" t="s">
        <v>673</v>
      </c>
    </row>
    <row r="251" spans="1:12" x14ac:dyDescent="0.25">
      <c r="A251" s="2" t="s">
        <v>674</v>
      </c>
      <c r="B251" s="62" t="s">
        <v>675</v>
      </c>
      <c r="D251" s="2" t="s">
        <v>676</v>
      </c>
    </row>
    <row r="252" spans="1:12" x14ac:dyDescent="0.25">
      <c r="A252" s="2" t="s">
        <v>677</v>
      </c>
      <c r="B252" s="62" t="s">
        <v>678</v>
      </c>
      <c r="D252" s="2" t="s">
        <v>679</v>
      </c>
    </row>
    <row r="253" spans="1:12" x14ac:dyDescent="0.25">
      <c r="A253" s="2" t="s">
        <v>680</v>
      </c>
      <c r="B253" s="62" t="s">
        <v>681</v>
      </c>
      <c r="D253" s="2" t="s">
        <v>682</v>
      </c>
    </row>
    <row r="254" spans="1:12" x14ac:dyDescent="0.25">
      <c r="A254" s="2" t="s">
        <v>683</v>
      </c>
      <c r="B254" s="62" t="s">
        <v>146</v>
      </c>
      <c r="D254" s="2" t="s">
        <v>684</v>
      </c>
    </row>
    <row r="255" spans="1:12" x14ac:dyDescent="0.25">
      <c r="A255" s="2" t="s">
        <v>685</v>
      </c>
      <c r="B255" s="2">
        <f>50%*10000</f>
        <v>5000</v>
      </c>
      <c r="D255" s="2" t="s">
        <v>686</v>
      </c>
    </row>
    <row r="256" spans="1:12" x14ac:dyDescent="0.25">
      <c r="A256" s="2" t="s">
        <v>687</v>
      </c>
      <c r="B256" s="2">
        <f>2%*10000</f>
        <v>200</v>
      </c>
      <c r="D256" s="2" t="s">
        <v>688</v>
      </c>
    </row>
    <row r="257" spans="1:4" x14ac:dyDescent="0.25">
      <c r="A257" s="2" t="s">
        <v>689</v>
      </c>
      <c r="B257" s="2">
        <f>648*10*100000</f>
        <v>648000000</v>
      </c>
      <c r="D257" s="2" t="s">
        <v>690</v>
      </c>
    </row>
  </sheetData>
  <phoneticPr fontId="57" type="noConversion"/>
  <conditionalFormatting sqref="B23">
    <cfRule type="containsText" dxfId="2036" priority="7" operator="containsText" text=".">
      <formula>NOT(ISERROR(SEARCH(".",B23)))</formula>
    </cfRule>
    <cfRule type="containsText" dxfId="2035" priority="8" operator="containsText" text=" ">
      <formula>NOT(ISERROR(SEARCH(" ",B23)))</formula>
    </cfRule>
  </conditionalFormatting>
  <conditionalFormatting sqref="B45">
    <cfRule type="containsText" dxfId="2034" priority="1" operator="containsText" text=".">
      <formula>NOT(ISERROR(SEARCH(".",B45)))</formula>
    </cfRule>
    <cfRule type="containsText" dxfId="2033" priority="2" operator="containsText" text=" ">
      <formula>NOT(ISERROR(SEARCH(" ",B45)))</formula>
    </cfRule>
  </conditionalFormatting>
  <conditionalFormatting sqref="B46">
    <cfRule type="containsText" dxfId="2032" priority="5" operator="containsText" text=".">
      <formula>NOT(ISERROR(SEARCH(".",B46)))</formula>
    </cfRule>
    <cfRule type="containsText" dxfId="2031" priority="6" operator="containsText" text=" ">
      <formula>NOT(ISERROR(SEARCH(" ",B46)))</formula>
    </cfRule>
  </conditionalFormatting>
  <conditionalFormatting sqref="B48">
    <cfRule type="containsText" dxfId="2030" priority="18" operator="containsText" text=".">
      <formula>NOT(ISERROR(SEARCH(".",B48)))</formula>
    </cfRule>
    <cfRule type="containsText" dxfId="2029" priority="19" operator="containsText" text=" ">
      <formula>NOT(ISERROR(SEARCH(" ",B48)))</formula>
    </cfRule>
  </conditionalFormatting>
  <conditionalFormatting sqref="B49">
    <cfRule type="containsText" dxfId="2028" priority="15" operator="containsText" text=".">
      <formula>NOT(ISERROR(SEARCH(".",B49)))</formula>
    </cfRule>
    <cfRule type="containsText" dxfId="2027" priority="16" operator="containsText" text=" ">
      <formula>NOT(ISERROR(SEARCH(" ",B49)))</formula>
    </cfRule>
  </conditionalFormatting>
  <conditionalFormatting sqref="B86">
    <cfRule type="containsText" dxfId="2026" priority="109" operator="containsText" text=" ">
      <formula>NOT(ISERROR(SEARCH(" ",B86)))</formula>
    </cfRule>
  </conditionalFormatting>
  <conditionalFormatting sqref="B88">
    <cfRule type="containsText" dxfId="2025" priority="107" operator="containsText" text=" ">
      <formula>NOT(ISERROR(SEARCH(" ",B88)))</formula>
    </cfRule>
  </conditionalFormatting>
  <conditionalFormatting sqref="D95">
    <cfRule type="containsText" dxfId="2024" priority="102" operator="containsText" text=" ">
      <formula>NOT(ISERROR(SEARCH(" ",D95)))</formula>
    </cfRule>
  </conditionalFormatting>
  <conditionalFormatting sqref="A116">
    <cfRule type="containsText" dxfId="2023" priority="81" operator="containsText" text=" ">
      <formula>NOT(ISERROR(SEARCH(" ",A116)))</formula>
    </cfRule>
  </conditionalFormatting>
  <conditionalFormatting sqref="A117">
    <cfRule type="containsText" dxfId="2022" priority="79" operator="containsText" text=" ">
      <formula>NOT(ISERROR(SEARCH(" ",A117)))</formula>
    </cfRule>
  </conditionalFormatting>
  <conditionalFormatting sqref="A118:B118">
    <cfRule type="containsText" dxfId="2021" priority="98" operator="containsText" text=" ">
      <formula>NOT(ISERROR(SEARCH(" ",A118)))</formula>
    </cfRule>
  </conditionalFormatting>
  <conditionalFormatting sqref="A122">
    <cfRule type="containsText" dxfId="2020" priority="94" operator="containsText" text=" ">
      <formula>NOT(ISERROR(SEARCH(" ",A122)))</formula>
    </cfRule>
  </conditionalFormatting>
  <conditionalFormatting sqref="A129">
    <cfRule type="containsText" dxfId="2019" priority="96" operator="containsText" text=" ">
      <formula>NOT(ISERROR(SEARCH(" ",A129)))</formula>
    </cfRule>
  </conditionalFormatting>
  <conditionalFormatting sqref="B131">
    <cfRule type="containsText" dxfId="2018" priority="57" operator="containsText" text=".">
      <formula>NOT(ISERROR(SEARCH(".",B131)))</formula>
    </cfRule>
    <cfRule type="containsText" dxfId="2017" priority="58" operator="containsText" text=" ">
      <formula>NOT(ISERROR(SEARCH(" ",B131)))</formula>
    </cfRule>
  </conditionalFormatting>
  <conditionalFormatting sqref="E131:H131">
    <cfRule type="containsText" dxfId="2016" priority="70" operator="containsText" text=" ">
      <formula>NOT(ISERROR(SEARCH(" ",E131)))</formula>
    </cfRule>
  </conditionalFormatting>
  <conditionalFormatting sqref="B132">
    <cfRule type="containsText" dxfId="2015" priority="63" operator="containsText" text=".">
      <formula>NOT(ISERROR(SEARCH(".",B132)))</formula>
    </cfRule>
    <cfRule type="containsText" dxfId="2014" priority="64" operator="containsText" text=" ">
      <formula>NOT(ISERROR(SEARCH(" ",B132)))</formula>
    </cfRule>
  </conditionalFormatting>
  <conditionalFormatting sqref="B133">
    <cfRule type="containsText" dxfId="2013" priority="55" operator="containsText" text=".">
      <formula>NOT(ISERROR(SEARCH(".",B133)))</formula>
    </cfRule>
    <cfRule type="containsText" dxfId="2012" priority="56" operator="containsText" text=" ">
      <formula>NOT(ISERROR(SEARCH(" ",B133)))</formula>
    </cfRule>
  </conditionalFormatting>
  <conditionalFormatting sqref="B145">
    <cfRule type="containsText" dxfId="2011" priority="66" operator="containsText" text=" ">
      <formula>NOT(ISERROR(SEARCH(" ",B145)))</formula>
    </cfRule>
  </conditionalFormatting>
  <conditionalFormatting sqref="B146">
    <cfRule type="containsText" dxfId="2010" priority="67" operator="containsText" text=" ">
      <formula>NOT(ISERROR(SEARCH(" ",B146)))</formula>
    </cfRule>
  </conditionalFormatting>
  <conditionalFormatting sqref="E146">
    <cfRule type="containsText" dxfId="2009" priority="90" operator="containsText" text=".">
      <formula>NOT(ISERROR(SEARCH(".",E146)))</formula>
    </cfRule>
  </conditionalFormatting>
  <conditionalFormatting sqref="A148:C148">
    <cfRule type="containsText" dxfId="2008" priority="88" operator="containsText" text=" ">
      <formula>NOT(ISERROR(SEARCH(" ",A148)))</formula>
    </cfRule>
  </conditionalFormatting>
  <conditionalFormatting sqref="D148">
    <cfRule type="containsText" dxfId="2007" priority="89" operator="containsText" text=" ">
      <formula>NOT(ISERROR(SEARCH(" ",D148)))</formula>
    </cfRule>
  </conditionalFormatting>
  <conditionalFormatting sqref="N196">
    <cfRule type="containsText" dxfId="2006" priority="48" operator="containsText" text=" ">
      <formula>NOT(ISERROR(SEARCH(" ",N196)))</formula>
    </cfRule>
  </conditionalFormatting>
  <conditionalFormatting sqref="D218">
    <cfRule type="containsText" dxfId="2005" priority="47" operator="containsText" text=" ">
      <formula>NOT(ISERROR(SEARCH(" ",D218)))</formula>
    </cfRule>
  </conditionalFormatting>
  <conditionalFormatting sqref="A221">
    <cfRule type="containsText" dxfId="2004" priority="44" operator="containsText" text=" ">
      <formula>NOT(ISERROR(SEARCH(" ",A221)))</formula>
    </cfRule>
  </conditionalFormatting>
  <conditionalFormatting sqref="A223">
    <cfRule type="containsText" dxfId="2003" priority="41" operator="containsText" text=" ">
      <formula>NOT(ISERROR(SEARCH(" ",A223)))</formula>
    </cfRule>
  </conditionalFormatting>
  <conditionalFormatting sqref="A224:B224">
    <cfRule type="containsText" dxfId="2002" priority="43" operator="containsText" text=" ">
      <formula>NOT(ISERROR(SEARCH(" ",A224)))</formula>
    </cfRule>
  </conditionalFormatting>
  <conditionalFormatting sqref="A225">
    <cfRule type="containsText" dxfId="2001" priority="37" operator="containsText" text=" ">
      <formula>NOT(ISERROR(SEARCH(" ",A225)))</formula>
    </cfRule>
  </conditionalFormatting>
  <conditionalFormatting sqref="A226">
    <cfRule type="containsText" dxfId="2000" priority="39" operator="containsText" text=" ">
      <formula>NOT(ISERROR(SEARCH(" ",A226)))</formula>
    </cfRule>
  </conditionalFormatting>
  <conditionalFormatting sqref="B226">
    <cfRule type="containsText" dxfId="1999" priority="32" operator="containsText" text=".">
      <formula>NOT(ISERROR(SEARCH(".",B226)))</formula>
    </cfRule>
    <cfRule type="containsText" dxfId="1998" priority="33" operator="containsText" text=" ">
      <formula>NOT(ISERROR(SEARCH(" ",B226)))</formula>
    </cfRule>
  </conditionalFormatting>
  <conditionalFormatting sqref="A227">
    <cfRule type="containsText" dxfId="1997" priority="25" operator="containsText" text=" ">
      <formula>NOT(ISERROR(SEARCH(" ",A227)))</formula>
    </cfRule>
  </conditionalFormatting>
  <conditionalFormatting sqref="A228">
    <cfRule type="containsText" dxfId="1996" priority="24" operator="containsText" text=" ">
      <formula>NOT(ISERROR(SEARCH(" ",A228)))</formula>
    </cfRule>
  </conditionalFormatting>
  <conditionalFormatting sqref="B228">
    <cfRule type="containsText" dxfId="1995" priority="22" operator="containsText" text=".">
      <formula>NOT(ISERROR(SEARCH(".",B228)))</formula>
    </cfRule>
    <cfRule type="containsText" dxfId="1994" priority="23" operator="containsText" text=" ">
      <formula>NOT(ISERROR(SEARCH(" ",B228)))</formula>
    </cfRule>
  </conditionalFormatting>
  <conditionalFormatting sqref="A229:XFD229">
    <cfRule type="containsText" dxfId="1993" priority="36" operator="containsText" text=" ">
      <formula>NOT(ISERROR(SEARCH(" ",A229)))</formula>
    </cfRule>
  </conditionalFormatting>
  <conditionalFormatting sqref="A230">
    <cfRule type="containsText" dxfId="1992" priority="34" operator="containsText" text=" ">
      <formula>NOT(ISERROR(SEARCH(" ",A230)))</formula>
    </cfRule>
  </conditionalFormatting>
  <conditionalFormatting sqref="A249:F249">
    <cfRule type="containsText" dxfId="1991" priority="9" operator="containsText" text=" ">
      <formula>NOT(ISERROR(SEARCH(" ",A249)))</formula>
    </cfRule>
  </conditionalFormatting>
  <conditionalFormatting sqref="A61:A62">
    <cfRule type="containsText" dxfId="1990" priority="111" operator="containsText" text=" ">
      <formula>NOT(ISERROR(SEARCH(" ",A61)))</formula>
    </cfRule>
  </conditionalFormatting>
  <conditionalFormatting sqref="A127:A128">
    <cfRule type="containsText" dxfId="1989" priority="97" operator="containsText" text=" ">
      <formula>NOT(ISERROR(SEARCH(" ",A127)))</formula>
    </cfRule>
  </conditionalFormatting>
  <conditionalFormatting sqref="B13:B14">
    <cfRule type="containsText" dxfId="1988" priority="104" operator="containsText" text=" ">
      <formula>NOT(ISERROR(SEARCH(" ",B13)))</formula>
    </cfRule>
  </conditionalFormatting>
  <conditionalFormatting sqref="B54:B56">
    <cfRule type="containsText" dxfId="1987" priority="113" operator="containsText" text=" ">
      <formula>NOT(ISERROR(SEARCH(" ",B54)))</formula>
    </cfRule>
  </conditionalFormatting>
  <conditionalFormatting sqref="B138:B141">
    <cfRule type="containsText" dxfId="1986" priority="59" operator="containsText" text=".">
      <formula>NOT(ISERROR(SEARCH(".",B138)))</formula>
    </cfRule>
    <cfRule type="containsText" dxfId="1985" priority="60" operator="containsText" text=" ">
      <formula>NOT(ISERROR(SEARCH(" ",B138)))</formula>
    </cfRule>
  </conditionalFormatting>
  <conditionalFormatting sqref="B143:B144">
    <cfRule type="containsText" dxfId="1984" priority="61" operator="containsText" text=".">
      <formula>NOT(ISERROR(SEARCH(".",B143)))</formula>
    </cfRule>
    <cfRule type="containsText" dxfId="1983" priority="62" operator="containsText" text=" ">
      <formula>NOT(ISERROR(SEARCH(" ",B143)))</formula>
    </cfRule>
  </conditionalFormatting>
  <conditionalFormatting sqref="B196:B197">
    <cfRule type="containsText" dxfId="1982" priority="53" operator="containsText" text=".">
      <formula>NOT(ISERROR(SEARCH(".",B196)))</formula>
    </cfRule>
    <cfRule type="containsText" dxfId="1981" priority="54" operator="containsText" text=" ">
      <formula>NOT(ISERROR(SEARCH(" ",B196)))</formula>
    </cfRule>
  </conditionalFormatting>
  <conditionalFormatting sqref="D116:D117">
    <cfRule type="containsText" dxfId="1980" priority="82" operator="containsText" text=" ">
      <formula>NOT(ISERROR(SEARCH(" ",D116)))</formula>
    </cfRule>
  </conditionalFormatting>
  <conditionalFormatting sqref="D49 A1:XFD9 A11:XFD12 A10:D10 F10:XFD10">
    <cfRule type="containsText" dxfId="1979" priority="14" operator="containsText" text=" ">
      <formula>NOT(ISERROR(SEARCH(" ",A1)))</formula>
    </cfRule>
  </conditionalFormatting>
  <conditionalFormatting sqref="B178:B179 B24:B35 B1:B22">
    <cfRule type="containsText" dxfId="1978" priority="75" operator="containsText" text=".">
      <formula>NOT(ISERROR(SEARCH(".",B1)))</formula>
    </cfRule>
  </conditionalFormatting>
  <conditionalFormatting sqref="A45 C45:XFD45 A50:XFD51 B60:XFD62 I83:XFD84 A83:G84 C85:XFD87 A85:A87 L14:XFD14 A13:A15 C13:XFD13 A43:XFD44 A35:C35 E35:XFD35 E114:XFD114 D97:D98 E95:XFD98 O26:XFD34 R15:XFD22 Q15:Q20 C14:J15 K15:P15 A54:A59 C54:XFD56 J57:XFD59 B57:H59 D115:I115 A130 A119:XFD121 A123:H126 I122:XFD130 C145:XFD145 E103:XFD103 A89:XFD91 C144 E116:I117 A132:A145 A106 A64:XFD82 E46:XFD46 A107:B112 I132:XFD144 C132:D143 C130:D130 A63:D63 K21:K24 M21:N24 K16:N18 Q23:XFD25 O16:P25 L19:L24 D92:XFD94 D99:XFD102 C106:C117 A53:XFD53 A52:D52 F52:XFD52 A24:J34 A23 C23:J23 A16:J22">
    <cfRule type="containsText" dxfId="1977" priority="115" operator="containsText" text=" ">
      <formula>NOT(ISERROR(SEARCH(" ",A13)))</formula>
    </cfRule>
  </conditionalFormatting>
  <conditionalFormatting sqref="B15 A147:XFD147 E148:XFD148 A146 C146:XFD146 A180:XFD194 A195:A197 K199 K201 K203 K205 K207 K209 N197:XFD197 O196:XFD196 M197:M209 N198:N209 A149:XFD163">
    <cfRule type="containsText" dxfId="1976" priority="100" operator="containsText" text=" ">
      <formula>NOT(ISERROR(SEARCH(" ",A15)))</formula>
    </cfRule>
  </conditionalFormatting>
  <conditionalFormatting sqref="D35 E127:H130 F143:H143 D144:H144 M115:XFD118 H114:L121 C118:I118 E132:H142 K19:K20 M19:N20">
    <cfRule type="containsText" dxfId="1975" priority="103" operator="containsText" text=" ">
      <formula>NOT(ISERROR(SEARCH(" ",C19)))</formula>
    </cfRule>
  </conditionalFormatting>
  <conditionalFormatting sqref="L25 A92:C105 D104:XFD113">
    <cfRule type="containsText" dxfId="1974" priority="11" operator="containsText" text=" ">
      <formula>NOT(ISERROR(SEARCH(" ",A25)))</formula>
    </cfRule>
  </conditionalFormatting>
  <conditionalFormatting sqref="K25 M25:N25 G249:XFD249 A250:XFD1048576 A231:XFD248">
    <cfRule type="containsText" dxfId="1973" priority="13" operator="containsText" text=" ">
      <formula>NOT(ISERROR(SEARCH(" ",A25)))</formula>
    </cfRule>
  </conditionalFormatting>
  <conditionalFormatting sqref="B47 A36:D36 A38:D42">
    <cfRule type="containsText" dxfId="1972" priority="105" operator="containsText" text=" ">
      <formula>NOT(ISERROR(SEARCH(" ",A36)))</formula>
    </cfRule>
  </conditionalFormatting>
  <conditionalFormatting sqref="B148 B36 B38:B42">
    <cfRule type="containsText" dxfId="1971" priority="87" operator="containsText" text=".">
      <formula>NOT(ISERROR(SEARCH(".",B36)))</formula>
    </cfRule>
  </conditionalFormatting>
  <conditionalFormatting sqref="E36:XFD42">
    <cfRule type="containsText" dxfId="1970" priority="52" operator="containsText" text=" ">
      <formula>NOT(ISERROR(SEARCH(" ",E36)))</formula>
    </cfRule>
  </conditionalFormatting>
  <conditionalFormatting sqref="A37 K63:XFD63 E63:I63">
    <cfRule type="containsText" dxfId="1969" priority="21" operator="containsText" text=" ">
      <formula>NOT(ISERROR(SEARCH(" ",A37)))</formula>
    </cfRule>
  </conditionalFormatting>
  <conditionalFormatting sqref="B147 B47 B107:B126 B180:B194 B43:B44 B149:B163">
    <cfRule type="containsText" dxfId="1968" priority="92" operator="containsText" text=".">
      <formula>NOT(ISERROR(SEARCH(".",B43)))</formula>
    </cfRule>
  </conditionalFormatting>
  <conditionalFormatting sqref="A46 C46:D46">
    <cfRule type="containsText" dxfId="1967" priority="74" operator="containsText" text=" ">
      <formula>NOT(ISERROR(SEARCH(" ",A46)))</formula>
    </cfRule>
  </conditionalFormatting>
  <conditionalFormatting sqref="A47 C47:XFD47">
    <cfRule type="containsText" dxfId="1966" priority="106" operator="containsText" text=" ">
      <formula>NOT(ISERROR(SEARCH(" ",A47)))</formula>
    </cfRule>
  </conditionalFormatting>
  <conditionalFormatting sqref="A48 C48:XFD48">
    <cfRule type="containsText" dxfId="1965" priority="20" operator="containsText" text=" ">
      <formula>NOT(ISERROR(SEARCH(" ",A48)))</formula>
    </cfRule>
  </conditionalFormatting>
  <conditionalFormatting sqref="A49 C49 E49:XFD49">
    <cfRule type="containsText" dxfId="1964" priority="17" operator="containsText" text=" ">
      <formula>NOT(ISERROR(SEARCH(" ",A49)))</formula>
    </cfRule>
  </conditionalFormatting>
  <conditionalFormatting sqref="B249 B50:B105">
    <cfRule type="containsText" dxfId="1963" priority="10" operator="containsText" text=".">
      <formula>NOT(ISERROR(SEARCH(".",B50)))</formula>
    </cfRule>
  </conditionalFormatting>
  <conditionalFormatting sqref="A60 A164:XFD177">
    <cfRule type="containsText" dxfId="1962" priority="112" operator="containsText" text=" ">
      <formula>NOT(ISERROR(SEARCH(" ",A60)))</formula>
    </cfRule>
  </conditionalFormatting>
  <conditionalFormatting sqref="B85 B87">
    <cfRule type="containsText" dxfId="1961" priority="110" operator="containsText" text=" ">
      <formula>NOT(ISERROR(SEARCH(" ",B85)))</formula>
    </cfRule>
  </conditionalFormatting>
  <conditionalFormatting sqref="C88:XFD88 A88">
    <cfRule type="containsText" dxfId="1960" priority="108" operator="containsText" text=" ">
      <formula>NOT(ISERROR(SEARCH(" ",A88)))</formula>
    </cfRule>
  </conditionalFormatting>
  <conditionalFormatting sqref="A113:B115 B116:B117">
    <cfRule type="containsText" dxfId="1959" priority="101" operator="containsText" text=" ">
      <formula>NOT(ISERROR(SEARCH(" ",A113)))</formula>
    </cfRule>
  </conditionalFormatting>
  <conditionalFormatting sqref="B134:B137 B145:B146 B142 B127:B130">
    <cfRule type="containsText" dxfId="1958" priority="65" operator="containsText" text=".">
      <formula>NOT(ISERROR(SEARCH(".",B127)))</formula>
    </cfRule>
  </conditionalFormatting>
  <conditionalFormatting sqref="B130 B134:B137 B142">
    <cfRule type="containsText" dxfId="1957" priority="68" operator="containsText" text=" ">
      <formula>NOT(ISERROR(SEARCH(" ",B130)))</formula>
    </cfRule>
  </conditionalFormatting>
  <conditionalFormatting sqref="A131 I131:XFD131 C131:D131">
    <cfRule type="containsText" dxfId="1956" priority="71" operator="containsText" text=" ">
      <formula>NOT(ISERROR(SEARCH(" ",A131)))</formula>
    </cfRule>
  </conditionalFormatting>
  <conditionalFormatting sqref="B224 B164:B177">
    <cfRule type="containsText" dxfId="1955" priority="42" operator="containsText" text=".">
      <formula>NOT(ISERROR(SEARCH(".",B164)))</formula>
    </cfRule>
  </conditionalFormatting>
  <conditionalFormatting sqref="A178:XFD179">
    <cfRule type="containsText" dxfId="1954" priority="76" operator="containsText" text=" ">
      <formula>NOT(ISERROR(SEARCH(" ",A178)))</formula>
    </cfRule>
  </conditionalFormatting>
  <conditionalFormatting sqref="F195:XFD195 B195:D195">
    <cfRule type="containsText" dxfId="1953" priority="114" operator="containsText" text=" ">
      <formula>NOT(ISERROR(SEARCH(" ",B195)))</formula>
    </cfRule>
  </conditionalFormatting>
  <conditionalFormatting sqref="L197:L209 L196:M196 C196:H197 K196:K197 O198:XFD209 A207 E210:XFD210 C207:D207 E207:H209 A198:H206 A211:XFD217 A218:C218 E218:XFD226 B230:XFD230 A219:D219 C224 C223:D223 A222:D222">
    <cfRule type="containsText" dxfId="1952" priority="51" operator="containsText" text=" ">
      <formula>NOT(ISERROR(SEARCH(" ",A196)))</formula>
    </cfRule>
  </conditionalFormatting>
  <conditionalFormatting sqref="B211:B219 B198:B206 B222">
    <cfRule type="containsText" dxfId="1951" priority="50" operator="containsText" text=".">
      <formula>NOT(ISERROR(SEARCH(".",B198)))</formula>
    </cfRule>
  </conditionalFormatting>
  <conditionalFormatting sqref="K198 K200 K202 K204 K206 K208">
    <cfRule type="containsText" dxfId="1950" priority="49" operator="containsText" text=" ">
      <formula>NOT(ISERROR(SEARCH(" ",K198)))</formula>
    </cfRule>
  </conditionalFormatting>
  <conditionalFormatting sqref="C226 C225:D225">
    <cfRule type="containsText" dxfId="1949" priority="40" operator="containsText" text=" ">
      <formula>NOT(ISERROR(SEARCH(" ",C225)))</formula>
    </cfRule>
  </conditionalFormatting>
  <conditionalFormatting sqref="C228 C227:D227">
    <cfRule type="containsText" dxfId="1948" priority="30" operator="containsText" text=" ">
      <formula>NOT(ISERROR(SEARCH(" ",C227)))</formula>
    </cfRule>
  </conditionalFormatting>
  <conditionalFormatting sqref="E227:XFD228">
    <cfRule type="containsText" dxfId="1947" priority="31" operator="containsText" text=" ">
      <formula>NOT(ISERROR(SEARCH(" ",E227)))</formula>
    </cfRule>
  </conditionalFormatting>
  <conditionalFormatting sqref="B250:B1048576 B229:B248">
    <cfRule type="containsText" dxfId="1946" priority="35" operator="containsText" text=".">
      <formula>NOT(ISERROR(SEARCH(".",B229)))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L12"/>
  <sheetViews>
    <sheetView workbookViewId="0">
      <selection activeCell="M29" sqref="M29"/>
    </sheetView>
  </sheetViews>
  <sheetFormatPr defaultColWidth="9" defaultRowHeight="16.5" x14ac:dyDescent="0.25"/>
  <cols>
    <col min="1" max="1" width="10.453125" style="2" customWidth="1"/>
    <col min="2" max="2" width="9.90625" style="2" customWidth="1"/>
    <col min="3" max="5" width="9" style="2"/>
    <col min="6" max="6" width="10.6328125" style="2" customWidth="1"/>
    <col min="7" max="7" width="13.453125" style="2" customWidth="1"/>
    <col min="8" max="8" width="9.81640625" style="2" customWidth="1"/>
    <col min="9" max="9" width="21.36328125" style="2" customWidth="1"/>
    <col min="10" max="10" width="9" style="2"/>
    <col min="11" max="11" width="21.90625" style="2" customWidth="1"/>
    <col min="12" max="13" width="9" style="2"/>
    <col min="14" max="14" width="10.6328125" style="2" customWidth="1"/>
    <col min="15" max="16384" width="9" style="2"/>
  </cols>
  <sheetData>
    <row r="1" spans="1:12" x14ac:dyDescent="0.4">
      <c r="A1" s="3" t="s">
        <v>0</v>
      </c>
      <c r="B1" s="3" t="s">
        <v>0</v>
      </c>
      <c r="C1" s="55" t="s">
        <v>0</v>
      </c>
      <c r="D1" s="55" t="s">
        <v>0</v>
      </c>
      <c r="E1" s="55" t="s">
        <v>0</v>
      </c>
      <c r="F1" s="55" t="s">
        <v>0</v>
      </c>
      <c r="G1" s="55" t="s">
        <v>0</v>
      </c>
      <c r="H1" s="55" t="s">
        <v>0</v>
      </c>
      <c r="I1" s="3" t="s">
        <v>0</v>
      </c>
      <c r="K1" s="17" t="s">
        <v>1950</v>
      </c>
      <c r="L1" s="2">
        <f>'鱼属性|FishAttribute'!$BD$53</f>
        <v>150</v>
      </c>
    </row>
    <row r="2" spans="1:12" x14ac:dyDescent="0.4">
      <c r="A2" s="3" t="s">
        <v>2</v>
      </c>
      <c r="B2" s="3" t="s">
        <v>2</v>
      </c>
      <c r="C2" s="55" t="s">
        <v>2</v>
      </c>
      <c r="D2" s="55" t="s">
        <v>2</v>
      </c>
      <c r="E2" s="55" t="s">
        <v>2</v>
      </c>
      <c r="F2" s="55" t="s">
        <v>2</v>
      </c>
      <c r="G2" s="55" t="s">
        <v>2</v>
      </c>
      <c r="H2" s="55" t="s">
        <v>2</v>
      </c>
      <c r="I2" s="3" t="s">
        <v>5</v>
      </c>
      <c r="K2" s="2" t="s">
        <v>1951</v>
      </c>
      <c r="L2" s="2">
        <f>1/(0.96/L1)/5*1000</f>
        <v>31250</v>
      </c>
    </row>
    <row r="3" spans="1:12" ht="29" x14ac:dyDescent="0.4">
      <c r="A3" s="3" t="s">
        <v>1579</v>
      </c>
      <c r="B3" s="3" t="s">
        <v>843</v>
      </c>
      <c r="C3" s="55" t="s">
        <v>1952</v>
      </c>
      <c r="D3" s="55" t="s">
        <v>1953</v>
      </c>
      <c r="E3" s="55" t="s">
        <v>1954</v>
      </c>
      <c r="F3" s="55" t="s">
        <v>1955</v>
      </c>
      <c r="G3" s="55" t="s">
        <v>1956</v>
      </c>
      <c r="H3" s="57" t="s">
        <v>1957</v>
      </c>
      <c r="I3" s="3" t="s">
        <v>1958</v>
      </c>
      <c r="K3" s="2" t="s">
        <v>1959</v>
      </c>
      <c r="L3" s="59" t="str">
        <f>'全局参数|GlobalPar'!B35</f>
        <v>80</v>
      </c>
    </row>
    <row r="4" spans="1:12" ht="57.5" x14ac:dyDescent="0.25">
      <c r="A4" s="12" t="s">
        <v>1960</v>
      </c>
      <c r="B4" s="12" t="s">
        <v>1961</v>
      </c>
      <c r="C4" s="56" t="s">
        <v>1962</v>
      </c>
      <c r="D4" s="56" t="s">
        <v>1963</v>
      </c>
      <c r="E4" s="56" t="s">
        <v>1964</v>
      </c>
      <c r="F4" s="56" t="s">
        <v>1965</v>
      </c>
      <c r="G4" s="56" t="s">
        <v>1966</v>
      </c>
      <c r="H4" s="56" t="s">
        <v>1967</v>
      </c>
      <c r="I4" s="12" t="s">
        <v>1968</v>
      </c>
      <c r="K4" s="60" t="s">
        <v>1969</v>
      </c>
      <c r="L4" s="61">
        <f>L2/F5*G5</f>
        <v>150</v>
      </c>
    </row>
    <row r="5" spans="1:12" x14ac:dyDescent="0.25">
      <c r="A5" s="2">
        <v>1</v>
      </c>
      <c r="B5" s="2">
        <v>2</v>
      </c>
      <c r="C5" s="17">
        <v>10</v>
      </c>
      <c r="D5" s="17">
        <f t="shared" ref="D5:D10" si="0">C5+100</f>
        <v>110</v>
      </c>
      <c r="E5" s="17">
        <v>200</v>
      </c>
      <c r="F5" s="58">
        <v>625</v>
      </c>
      <c r="G5" s="58">
        <v>3</v>
      </c>
      <c r="H5" s="17">
        <f>L5</f>
        <v>100</v>
      </c>
      <c r="I5" s="62" t="s">
        <v>1970</v>
      </c>
      <c r="K5" s="2" t="s">
        <v>1971</v>
      </c>
      <c r="L5" s="47">
        <v>100</v>
      </c>
    </row>
    <row r="6" spans="1:12" x14ac:dyDescent="0.25">
      <c r="A6" s="2">
        <v>2</v>
      </c>
      <c r="B6" s="2">
        <v>2</v>
      </c>
      <c r="C6" s="17">
        <f>D5+20</f>
        <v>130</v>
      </c>
      <c r="D6" s="17">
        <f t="shared" si="0"/>
        <v>230</v>
      </c>
      <c r="E6" s="17">
        <f>E5</f>
        <v>200</v>
      </c>
      <c r="F6" s="17">
        <f>F5</f>
        <v>625</v>
      </c>
      <c r="G6" s="17">
        <f>G5</f>
        <v>3</v>
      </c>
      <c r="H6" s="17">
        <f>H5</f>
        <v>100</v>
      </c>
      <c r="I6" s="62" t="s">
        <v>1972</v>
      </c>
    </row>
    <row r="7" spans="1:12" x14ac:dyDescent="0.25">
      <c r="A7" s="2">
        <v>4</v>
      </c>
      <c r="B7" s="2">
        <v>3</v>
      </c>
      <c r="C7" s="17">
        <v>10</v>
      </c>
      <c r="D7" s="17">
        <f t="shared" si="0"/>
        <v>110</v>
      </c>
      <c r="E7" s="17">
        <f t="shared" ref="E7:E8" si="1">E6</f>
        <v>200</v>
      </c>
      <c r="F7" s="17">
        <f t="shared" ref="F7:H8" si="2">F6</f>
        <v>625</v>
      </c>
      <c r="G7" s="17">
        <f t="shared" si="2"/>
        <v>3</v>
      </c>
      <c r="H7" s="17">
        <f t="shared" si="2"/>
        <v>100</v>
      </c>
      <c r="I7" s="62" t="s">
        <v>1970</v>
      </c>
    </row>
    <row r="8" spans="1:12" x14ac:dyDescent="0.25">
      <c r="A8" s="2">
        <v>5</v>
      </c>
      <c r="B8" s="2">
        <v>3</v>
      </c>
      <c r="C8" s="17">
        <f>D7+20</f>
        <v>130</v>
      </c>
      <c r="D8" s="17">
        <f t="shared" si="0"/>
        <v>230</v>
      </c>
      <c r="E8" s="17">
        <f t="shared" si="1"/>
        <v>200</v>
      </c>
      <c r="F8" s="17">
        <f t="shared" si="2"/>
        <v>625</v>
      </c>
      <c r="G8" s="17">
        <f t="shared" si="2"/>
        <v>3</v>
      </c>
      <c r="H8" s="17">
        <f t="shared" si="2"/>
        <v>100</v>
      </c>
      <c r="I8" s="62" t="s">
        <v>1972</v>
      </c>
    </row>
    <row r="9" spans="1:12" x14ac:dyDescent="0.25">
      <c r="A9" s="2">
        <v>6</v>
      </c>
      <c r="B9" s="2">
        <v>1</v>
      </c>
      <c r="C9" s="17">
        <v>10</v>
      </c>
      <c r="D9" s="17">
        <f t="shared" si="0"/>
        <v>110</v>
      </c>
      <c r="E9" s="17">
        <v>200</v>
      </c>
      <c r="F9" s="17">
        <v>625</v>
      </c>
      <c r="G9" s="17">
        <v>3</v>
      </c>
      <c r="H9" s="17">
        <v>100</v>
      </c>
      <c r="I9" s="2">
        <v>701</v>
      </c>
    </row>
    <row r="10" spans="1:12" x14ac:dyDescent="0.25">
      <c r="A10" s="2">
        <v>7</v>
      </c>
      <c r="B10" s="2">
        <v>1</v>
      </c>
      <c r="C10" s="17">
        <f>D9+20</f>
        <v>130</v>
      </c>
      <c r="D10" s="17">
        <f t="shared" si="0"/>
        <v>230</v>
      </c>
      <c r="E10" s="17">
        <v>200</v>
      </c>
      <c r="F10" s="17">
        <v>625</v>
      </c>
      <c r="G10" s="17">
        <v>3</v>
      </c>
      <c r="H10" s="17">
        <v>100</v>
      </c>
      <c r="I10" s="2">
        <v>702</v>
      </c>
    </row>
    <row r="11" spans="1:12" x14ac:dyDescent="0.25">
      <c r="A11" s="2">
        <v>8</v>
      </c>
      <c r="B11" s="2">
        <v>4</v>
      </c>
      <c r="C11" s="17">
        <v>10</v>
      </c>
      <c r="D11" s="17">
        <f t="shared" ref="D11:D12" si="3">C11+100</f>
        <v>110</v>
      </c>
      <c r="E11" s="17">
        <v>200</v>
      </c>
      <c r="F11" s="17">
        <v>625</v>
      </c>
      <c r="G11" s="17">
        <v>3</v>
      </c>
      <c r="H11" s="17">
        <v>100</v>
      </c>
      <c r="I11" s="2">
        <v>701</v>
      </c>
    </row>
    <row r="12" spans="1:12" x14ac:dyDescent="0.25">
      <c r="A12" s="2">
        <v>9</v>
      </c>
      <c r="B12" s="2">
        <v>4</v>
      </c>
      <c r="C12" s="17">
        <f>D11+20</f>
        <v>130</v>
      </c>
      <c r="D12" s="17">
        <f t="shared" si="3"/>
        <v>230</v>
      </c>
      <c r="E12" s="17">
        <v>200</v>
      </c>
      <c r="F12" s="17">
        <v>625</v>
      </c>
      <c r="G12" s="17">
        <v>3</v>
      </c>
      <c r="H12" s="17">
        <v>100</v>
      </c>
      <c r="I12" s="2">
        <v>702</v>
      </c>
    </row>
  </sheetData>
  <phoneticPr fontId="57" type="noConversion"/>
  <conditionalFormatting sqref="B11:B12">
    <cfRule type="containsText" dxfId="72" priority="4" operator="containsText" text=" ">
      <formula>NOT(ISERROR(SEARCH(" ",B11)))</formula>
    </cfRule>
  </conditionalFormatting>
  <conditionalFormatting sqref="E11:E12">
    <cfRule type="containsText" dxfId="71" priority="2" operator="containsText" text=" ">
      <formula>NOT(ISERROR(SEARCH(" ",E11)))</formula>
    </cfRule>
  </conditionalFormatting>
  <conditionalFormatting sqref="O5:O6">
    <cfRule type="containsText" dxfId="70" priority="13" operator="containsText" text=" ">
      <formula>NOT(ISERROR(SEARCH(" ",O5)))</formula>
    </cfRule>
  </conditionalFormatting>
  <conditionalFormatting sqref="F5:N5 B5:B10 G6:N6 G7:H8 F6:F8 P5:XFD6 A13:N1048576 P11:XFD39 P44:XFD1048576 J11:N12">
    <cfRule type="containsText" dxfId="69" priority="23" operator="containsText" text=" ">
      <formula>NOT(ISERROR(SEARCH(" ",A5)))</formula>
    </cfRule>
  </conditionalFormatting>
  <conditionalFormatting sqref="C5:E5 C6:D6 E6:E10">
    <cfRule type="containsText" dxfId="68" priority="15" operator="containsText" text=" ">
      <formula>NOT(ISERROR(SEARCH(" ",C5)))</formula>
    </cfRule>
  </conditionalFormatting>
  <conditionalFormatting sqref="C7:D8">
    <cfRule type="containsText" dxfId="67" priority="6" operator="containsText" text=" ">
      <formula>NOT(ISERROR(SEARCH(" ",C7)))</formula>
    </cfRule>
  </conditionalFormatting>
  <conditionalFormatting sqref="P7:XFD10 I7:N8 P40:XFD43 F9:N10 O20:O36 O38:O40 O53:O1048576">
    <cfRule type="containsText" dxfId="66" priority="21" operator="containsText" text=" ">
      <formula>NOT(ISERROR(SEARCH(" ",F7)))</formula>
    </cfRule>
  </conditionalFormatting>
  <conditionalFormatting sqref="O7:O8 O52 O17">
    <cfRule type="containsText" dxfId="65" priority="12" operator="containsText" text=" ">
      <formula>NOT(ISERROR(SEARCH(" ",O7)))</formula>
    </cfRule>
  </conditionalFormatting>
  <conditionalFormatting sqref="C9:D10">
    <cfRule type="containsText" dxfId="64" priority="5" operator="containsText" text=" ">
      <formula>NOT(ISERROR(SEARCH(" ",C9)))</formula>
    </cfRule>
  </conditionalFormatting>
  <conditionalFormatting sqref="C11:D12">
    <cfRule type="containsText" dxfId="63" priority="1" operator="containsText" text=" ">
      <formula>NOT(ISERROR(SEARCH(" ",C11)))</formula>
    </cfRule>
  </conditionalFormatting>
  <conditionalFormatting sqref="F11:I12">
    <cfRule type="containsText" dxfId="62" priority="3" operator="containsText" text=" ">
      <formula>NOT(ISERROR(SEARCH(" ",F11)))</formula>
    </cfRule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Q27"/>
  <sheetViews>
    <sheetView workbookViewId="0">
      <selection activeCell="E6" sqref="E6"/>
    </sheetView>
  </sheetViews>
  <sheetFormatPr defaultColWidth="9" defaultRowHeight="16.5" x14ac:dyDescent="0.25"/>
  <cols>
    <col min="2" max="4" width="23.36328125" customWidth="1"/>
    <col min="5" max="5" width="12" customWidth="1"/>
    <col min="12" max="13" width="10.36328125" style="2" customWidth="1"/>
    <col min="14" max="16" width="9" style="2"/>
  </cols>
  <sheetData>
    <row r="1" spans="1:17" x14ac:dyDescent="0.4">
      <c r="A1" s="3" t="s">
        <v>0</v>
      </c>
      <c r="B1" s="36" t="s">
        <v>0</v>
      </c>
      <c r="C1" s="37" t="s">
        <v>0</v>
      </c>
    </row>
    <row r="2" spans="1:17" x14ac:dyDescent="0.4">
      <c r="A2" s="3" t="s">
        <v>2</v>
      </c>
      <c r="B2" s="36" t="s">
        <v>5</v>
      </c>
      <c r="C2" s="37" t="s">
        <v>5</v>
      </c>
    </row>
    <row r="3" spans="1:17" x14ac:dyDescent="0.4">
      <c r="A3" s="3" t="s">
        <v>1579</v>
      </c>
      <c r="B3" s="36" t="s">
        <v>16</v>
      </c>
      <c r="C3" s="38" t="s">
        <v>1973</v>
      </c>
      <c r="E3" s="42" t="s">
        <v>1974</v>
      </c>
    </row>
    <row r="4" spans="1:17" ht="80.5" x14ac:dyDescent="0.25">
      <c r="A4" s="39" t="s">
        <v>1975</v>
      </c>
      <c r="B4" s="12" t="s">
        <v>1976</v>
      </c>
      <c r="C4" s="40" t="s">
        <v>1976</v>
      </c>
      <c r="E4" s="43" t="s">
        <v>1719</v>
      </c>
      <c r="F4" s="44" t="s">
        <v>1563</v>
      </c>
      <c r="G4" s="44" t="s">
        <v>1482</v>
      </c>
      <c r="H4" s="45" t="s">
        <v>1564</v>
      </c>
      <c r="I4" s="51" t="s">
        <v>1977</v>
      </c>
      <c r="L4" s="52">
        <f>'抽奖|MoonBless'!DN4</f>
        <v>0</v>
      </c>
      <c r="M4" s="45" t="str">
        <f>'抽奖|MoonBless'!DO4</f>
        <v>人民币价值</v>
      </c>
      <c r="N4" s="53" t="str">
        <f>'抽奖|MoonBless'!DP4</f>
        <v>价值
钻石价值</v>
      </c>
      <c r="O4" s="45" t="str">
        <f>'抽奖|MoonBless'!DQ4</f>
        <v>物品类型</v>
      </c>
      <c r="P4" s="54" t="str">
        <f>'抽奖|MoonBless'!DR4</f>
        <v>id</v>
      </c>
    </row>
    <row r="5" spans="1:17" x14ac:dyDescent="0.45">
      <c r="A5" s="1">
        <v>1</v>
      </c>
      <c r="B5" s="2" t="str">
        <f t="shared" ref="B5:B11" si="0">F5&amp;"|"&amp;G5&amp;"|"&amp;H5</f>
        <v>1|2|3000</v>
      </c>
      <c r="C5" s="2" t="str">
        <f>F5&amp;"|"&amp;G5&amp;"|"&amp;H5</f>
        <v>1|2|3000</v>
      </c>
      <c r="D5" s="2"/>
      <c r="E5" s="46" t="s">
        <v>103</v>
      </c>
      <c r="F5" s="2">
        <f t="shared" ref="F5:F11" si="1">VLOOKUP(E5,L:P,4,0)</f>
        <v>1</v>
      </c>
      <c r="G5" s="2">
        <f t="shared" ref="G5:G11" si="2">VLOOKUP(E5,L:P,5,0)</f>
        <v>2</v>
      </c>
      <c r="H5" s="47">
        <v>3000</v>
      </c>
      <c r="I5" s="25">
        <f t="shared" ref="I5:I11" si="3">VLOOKUP(E5,L:P,2,0)*H5</f>
        <v>1.5000000000000001E-2</v>
      </c>
      <c r="L5" s="16" t="str">
        <f>'抽奖|MoonBless'!DN5</f>
        <v>人民币</v>
      </c>
      <c r="M5" s="2">
        <f>'抽奖|MoonBless'!DO5</f>
        <v>1</v>
      </c>
      <c r="N5" s="2">
        <f>'抽奖|MoonBless'!DP5</f>
        <v>10</v>
      </c>
      <c r="O5" s="2">
        <f>'抽奖|MoonBless'!DQ5</f>
        <v>1</v>
      </c>
      <c r="P5" s="25">
        <f>'抽奖|MoonBless'!DR5</f>
        <v>0</v>
      </c>
    </row>
    <row r="6" spans="1:17" x14ac:dyDescent="0.45">
      <c r="A6" s="1">
        <v>2</v>
      </c>
      <c r="B6" s="2" t="str">
        <f t="shared" si="0"/>
        <v>2|1204|10</v>
      </c>
      <c r="C6" s="41" t="s">
        <v>1802</v>
      </c>
      <c r="D6" s="1"/>
      <c r="E6" s="46" t="s">
        <v>801</v>
      </c>
      <c r="F6" s="2">
        <f t="shared" si="1"/>
        <v>2</v>
      </c>
      <c r="G6" s="2">
        <f t="shared" si="2"/>
        <v>1204</v>
      </c>
      <c r="H6" s="47">
        <v>10</v>
      </c>
      <c r="I6" s="25">
        <f t="shared" si="3"/>
        <v>2.5000000000000001E-2</v>
      </c>
      <c r="L6" s="16" t="str">
        <f>'抽奖|MoonBless'!DN6</f>
        <v>钻石</v>
      </c>
      <c r="M6" s="2">
        <f>'抽奖|MoonBless'!DO6</f>
        <v>0.1</v>
      </c>
      <c r="N6" s="2">
        <f>'抽奖|MoonBless'!DP6</f>
        <v>1</v>
      </c>
      <c r="O6" s="2">
        <f>'抽奖|MoonBless'!DQ6</f>
        <v>1</v>
      </c>
      <c r="P6" s="25">
        <f>'抽奖|MoonBless'!DR6</f>
        <v>1</v>
      </c>
    </row>
    <row r="7" spans="1:17" x14ac:dyDescent="0.45">
      <c r="A7" s="1">
        <v>3</v>
      </c>
      <c r="B7" s="2" t="str">
        <f t="shared" si="0"/>
        <v>1|1|20</v>
      </c>
      <c r="C7" s="2" t="str">
        <f t="shared" ref="C7:C11" si="4">F7&amp;"|"&amp;G7&amp;"|"&amp;H7</f>
        <v>1|1|20</v>
      </c>
      <c r="D7" s="1"/>
      <c r="E7" s="48" t="s">
        <v>738</v>
      </c>
      <c r="F7" s="2">
        <f t="shared" si="1"/>
        <v>1</v>
      </c>
      <c r="G7" s="2">
        <f t="shared" si="2"/>
        <v>1</v>
      </c>
      <c r="H7" s="47">
        <v>20</v>
      </c>
      <c r="I7" s="25">
        <f t="shared" si="3"/>
        <v>2</v>
      </c>
      <c r="L7" s="16" t="str">
        <f>'抽奖|MoonBless'!DN7</f>
        <v>金币</v>
      </c>
      <c r="M7" s="2">
        <f>'抽奖|MoonBless'!DO7</f>
        <v>5.0000000000000004E-6</v>
      </c>
      <c r="N7" s="2">
        <f>'抽奖|MoonBless'!DP7</f>
        <v>5.0000000000000002E-5</v>
      </c>
      <c r="O7" s="2">
        <f>'抽奖|MoonBless'!DQ7</f>
        <v>1</v>
      </c>
      <c r="P7" s="25">
        <f>'抽奖|MoonBless'!DR7</f>
        <v>2</v>
      </c>
    </row>
    <row r="8" spans="1:17" x14ac:dyDescent="0.45">
      <c r="A8" s="1">
        <v>4</v>
      </c>
      <c r="B8" s="2" t="str">
        <f t="shared" si="0"/>
        <v>1|2|10000</v>
      </c>
      <c r="C8" s="2" t="str">
        <f t="shared" si="4"/>
        <v>1|2|10000</v>
      </c>
      <c r="D8" s="1"/>
      <c r="E8" s="48" t="s">
        <v>103</v>
      </c>
      <c r="F8" s="2">
        <f t="shared" si="1"/>
        <v>1</v>
      </c>
      <c r="G8" s="2">
        <f t="shared" si="2"/>
        <v>2</v>
      </c>
      <c r="H8" s="47">
        <v>10000</v>
      </c>
      <c r="I8" s="25">
        <f t="shared" si="3"/>
        <v>0.05</v>
      </c>
      <c r="L8" s="16" t="str">
        <f>'抽奖|MoonBless'!DN8</f>
        <v>锁定</v>
      </c>
      <c r="M8" s="2">
        <f>'抽奖|MoonBless'!DO8</f>
        <v>0.2</v>
      </c>
      <c r="N8" s="2">
        <f>'抽奖|MoonBless'!DP8</f>
        <v>2</v>
      </c>
      <c r="O8" s="2">
        <f>'抽奖|MoonBless'!DQ8</f>
        <v>2</v>
      </c>
      <c r="P8" s="25">
        <f>'抽奖|MoonBless'!DR8</f>
        <v>1001</v>
      </c>
    </row>
    <row r="9" spans="1:17" x14ac:dyDescent="0.45">
      <c r="A9" s="1">
        <v>5</v>
      </c>
      <c r="B9" s="2" t="str">
        <f t="shared" si="0"/>
        <v>1|1|50</v>
      </c>
      <c r="C9" s="2" t="str">
        <f t="shared" si="4"/>
        <v>1|1|50</v>
      </c>
      <c r="D9" s="1"/>
      <c r="E9" s="48" t="s">
        <v>738</v>
      </c>
      <c r="F9" s="2">
        <f t="shared" si="1"/>
        <v>1</v>
      </c>
      <c r="G9" s="2">
        <f t="shared" si="2"/>
        <v>1</v>
      </c>
      <c r="H9" s="47">
        <v>50</v>
      </c>
      <c r="I9" s="25">
        <f t="shared" si="3"/>
        <v>5</v>
      </c>
      <c r="L9" s="16" t="str">
        <f>'抽奖|MoonBless'!DN9</f>
        <v>冰冻</v>
      </c>
      <c r="M9" s="2">
        <f>'抽奖|MoonBless'!DO9</f>
        <v>0.5</v>
      </c>
      <c r="N9" s="2">
        <f>'抽奖|MoonBless'!DP9</f>
        <v>5</v>
      </c>
      <c r="O9" s="2">
        <f>'抽奖|MoonBless'!DQ9</f>
        <v>2</v>
      </c>
      <c r="P9" s="25">
        <f>'抽奖|MoonBless'!DR9</f>
        <v>1002</v>
      </c>
    </row>
    <row r="10" spans="1:17" x14ac:dyDescent="0.45">
      <c r="A10" s="1">
        <v>6</v>
      </c>
      <c r="B10" s="2" t="str">
        <f t="shared" si="0"/>
        <v>1|2|50000</v>
      </c>
      <c r="C10" s="2" t="str">
        <f t="shared" si="4"/>
        <v>1|2|50000</v>
      </c>
      <c r="D10" s="1"/>
      <c r="E10" s="46" t="s">
        <v>103</v>
      </c>
      <c r="F10" s="2">
        <f t="shared" si="1"/>
        <v>1</v>
      </c>
      <c r="G10" s="2">
        <f t="shared" si="2"/>
        <v>2</v>
      </c>
      <c r="H10" s="47">
        <v>50000</v>
      </c>
      <c r="I10" s="25">
        <f t="shared" si="3"/>
        <v>0.25</v>
      </c>
      <c r="L10" s="16" t="str">
        <f>'抽奖|MoonBless'!DN10</f>
        <v>狂暴</v>
      </c>
      <c r="M10" s="2">
        <f>'抽奖|MoonBless'!DO10</f>
        <v>2</v>
      </c>
      <c r="N10" s="2">
        <f>'抽奖|MoonBless'!DP10</f>
        <v>20</v>
      </c>
      <c r="O10" s="2">
        <f>'抽奖|MoonBless'!DQ10</f>
        <v>2</v>
      </c>
      <c r="P10" s="25">
        <f>'抽奖|MoonBless'!DR10</f>
        <v>1003</v>
      </c>
    </row>
    <row r="11" spans="1:17" x14ac:dyDescent="0.45">
      <c r="A11" s="1">
        <v>7</v>
      </c>
      <c r="B11" s="2" t="str">
        <f t="shared" si="0"/>
        <v>2|1005|1</v>
      </c>
      <c r="C11" s="2" t="str">
        <f t="shared" si="4"/>
        <v>2|1005|1</v>
      </c>
      <c r="D11" s="1"/>
      <c r="E11" s="49" t="s">
        <v>1493</v>
      </c>
      <c r="F11" s="19">
        <f t="shared" si="1"/>
        <v>2</v>
      </c>
      <c r="G11" s="19">
        <f t="shared" si="2"/>
        <v>1005</v>
      </c>
      <c r="H11" s="50">
        <v>1</v>
      </c>
      <c r="I11" s="27">
        <f t="shared" si="3"/>
        <v>5</v>
      </c>
      <c r="L11" s="16" t="str">
        <f>'抽奖|MoonBless'!DN11</f>
        <v>召唤</v>
      </c>
      <c r="M11" s="2">
        <f>'抽奖|MoonBless'!DO11</f>
        <v>0.2</v>
      </c>
      <c r="N11" s="2">
        <f>'抽奖|MoonBless'!DP11</f>
        <v>2</v>
      </c>
      <c r="O11" s="2">
        <f>'抽奖|MoonBless'!DQ11</f>
        <v>2</v>
      </c>
      <c r="P11" s="25">
        <f>'抽奖|MoonBless'!DR11</f>
        <v>1004</v>
      </c>
    </row>
    <row r="12" spans="1:17" x14ac:dyDescent="0.25">
      <c r="L12" s="16" t="str">
        <f>'抽奖|MoonBless'!DN12</f>
        <v>福卡</v>
      </c>
      <c r="M12" s="2">
        <f>'抽奖|MoonBless'!DO12</f>
        <v>2.5000000000000001E-3</v>
      </c>
      <c r="N12" s="2">
        <f>'抽奖|MoonBless'!DP12</f>
        <v>2.5000000000000001E-2</v>
      </c>
      <c r="O12" s="2">
        <f>'抽奖|MoonBless'!DQ12</f>
        <v>2</v>
      </c>
      <c r="P12" s="25">
        <f>'抽奖|MoonBless'!DR12</f>
        <v>1204</v>
      </c>
      <c r="Q12">
        <v>5</v>
      </c>
    </row>
    <row r="13" spans="1:17" x14ac:dyDescent="0.25">
      <c r="L13" s="16" t="str">
        <f>'抽奖|MoonBless'!DN13</f>
        <v>超级武器1</v>
      </c>
      <c r="M13" s="2">
        <f>'抽奖|MoonBless'!DO13</f>
        <v>5</v>
      </c>
      <c r="N13" s="2">
        <f>'抽奖|MoonBless'!DP13</f>
        <v>50</v>
      </c>
      <c r="O13" s="2">
        <f>'抽奖|MoonBless'!DQ13</f>
        <v>2</v>
      </c>
      <c r="P13" s="25">
        <f>'抽奖|MoonBless'!DR13</f>
        <v>1005</v>
      </c>
    </row>
    <row r="14" spans="1:17" x14ac:dyDescent="0.25">
      <c r="L14" s="16" t="str">
        <f>'抽奖|MoonBless'!DN14</f>
        <v>超级武器2</v>
      </c>
      <c r="M14" s="2">
        <f>'抽奖|MoonBless'!DO14</f>
        <v>10</v>
      </c>
      <c r="N14" s="2">
        <f>'抽奖|MoonBless'!DP14</f>
        <v>100</v>
      </c>
      <c r="O14" s="2">
        <f>'抽奖|MoonBless'!DQ14</f>
        <v>2</v>
      </c>
      <c r="P14" s="25">
        <f>'抽奖|MoonBless'!DR14</f>
        <v>1006</v>
      </c>
    </row>
    <row r="15" spans="1:17" x14ac:dyDescent="0.25">
      <c r="E15" s="46"/>
      <c r="F15" s="2"/>
      <c r="G15" s="2"/>
      <c r="H15" s="47"/>
      <c r="I15" s="25"/>
      <c r="L15" s="16" t="str">
        <f>'抽奖|MoonBless'!DN15</f>
        <v>超级武器3</v>
      </c>
      <c r="M15" s="2">
        <f>'抽奖|MoonBless'!DO15</f>
        <v>25</v>
      </c>
      <c r="N15" s="2">
        <f>'抽奖|MoonBless'!DP15</f>
        <v>250</v>
      </c>
      <c r="O15" s="2">
        <f>'抽奖|MoonBless'!DQ15</f>
        <v>2</v>
      </c>
      <c r="P15" s="25">
        <f>'抽奖|MoonBless'!DR15</f>
        <v>1007</v>
      </c>
    </row>
    <row r="16" spans="1:17" x14ac:dyDescent="0.25">
      <c r="E16" s="46"/>
      <c r="F16" s="2"/>
      <c r="G16" s="2"/>
      <c r="H16" s="47"/>
      <c r="I16" s="25"/>
      <c r="L16" s="16" t="str">
        <f>'抽奖|MoonBless'!DN16</f>
        <v>超级武器4</v>
      </c>
      <c r="M16" s="2">
        <f>'抽奖|MoonBless'!DO16</f>
        <v>50</v>
      </c>
      <c r="N16" s="2">
        <f>'抽奖|MoonBless'!DP16</f>
        <v>500</v>
      </c>
      <c r="O16" s="2">
        <f>'抽奖|MoonBless'!DQ16</f>
        <v>2</v>
      </c>
      <c r="P16" s="25">
        <f>'抽奖|MoonBless'!DR16</f>
        <v>1008</v>
      </c>
    </row>
    <row r="17" spans="12:16" x14ac:dyDescent="0.25">
      <c r="L17" s="16" t="str">
        <f>'抽奖|MoonBless'!DN17</f>
        <v>5元话费卡</v>
      </c>
      <c r="M17" s="2">
        <f>'抽奖|MoonBless'!DO17</f>
        <v>5</v>
      </c>
      <c r="N17" s="2">
        <f>'抽奖|MoonBless'!DP17</f>
        <v>50</v>
      </c>
      <c r="O17" s="2">
        <f>'抽奖|MoonBless'!DQ17</f>
        <v>2</v>
      </c>
      <c r="P17" s="25">
        <f>'抽奖|MoonBless'!DR17</f>
        <v>1206</v>
      </c>
    </row>
    <row r="18" spans="12:16" x14ac:dyDescent="0.25">
      <c r="L18" s="16" t="str">
        <f>'抽奖|MoonBless'!DN18</f>
        <v>2元话费卡</v>
      </c>
      <c r="M18" s="2">
        <f>'抽奖|MoonBless'!DO18</f>
        <v>2</v>
      </c>
      <c r="N18" s="2">
        <f>'抽奖|MoonBless'!DP18</f>
        <v>20</v>
      </c>
      <c r="O18" s="2">
        <f>'抽奖|MoonBless'!DQ18</f>
        <v>2</v>
      </c>
      <c r="P18" s="25">
        <f>'抽奖|MoonBless'!DR18</f>
        <v>1205</v>
      </c>
    </row>
    <row r="19" spans="12:16" x14ac:dyDescent="0.25">
      <c r="L19" s="18" t="str">
        <f>'抽奖|MoonBless'!DN19</f>
        <v>高压锅</v>
      </c>
      <c r="M19" s="19">
        <f>'抽奖|MoonBless'!DO19</f>
        <v>200</v>
      </c>
      <c r="N19" s="19">
        <f>'抽奖|MoonBless'!DP19</f>
        <v>2000</v>
      </c>
      <c r="O19" s="19">
        <f>'抽奖|MoonBless'!DQ19</f>
        <v>2</v>
      </c>
      <c r="P19" s="27">
        <f>'抽奖|MoonBless'!DR19</f>
        <v>1208</v>
      </c>
    </row>
    <row r="20" spans="12:16" x14ac:dyDescent="0.25">
      <c r="L20" s="2" t="str">
        <f>'抽奖|MoonBless'!DN20</f>
        <v>30元话费卡</v>
      </c>
      <c r="M20" s="2">
        <f>'抽奖|MoonBless'!DO20</f>
        <v>30</v>
      </c>
      <c r="N20" s="2">
        <f>'抽奖|MoonBless'!DP20</f>
        <v>300</v>
      </c>
      <c r="O20" s="2">
        <f>'抽奖|MoonBless'!DQ20</f>
        <v>2</v>
      </c>
      <c r="P20" s="2">
        <f>'抽奖|MoonBless'!DR20</f>
        <v>1209</v>
      </c>
    </row>
    <row r="21" spans="12:16" x14ac:dyDescent="0.25">
      <c r="L21" s="2" t="str">
        <f>'抽奖|MoonBless'!DN21</f>
        <v>50元话费卡</v>
      </c>
      <c r="M21" s="2">
        <f>'抽奖|MoonBless'!DO21</f>
        <v>50</v>
      </c>
      <c r="N21" s="2">
        <f>'抽奖|MoonBless'!DP21</f>
        <v>500</v>
      </c>
      <c r="O21" s="2">
        <f>'抽奖|MoonBless'!DQ21</f>
        <v>2</v>
      </c>
      <c r="P21" s="2">
        <f>'抽奖|MoonBless'!DR21</f>
        <v>1210</v>
      </c>
    </row>
    <row r="22" spans="12:16" x14ac:dyDescent="0.25">
      <c r="L22" s="2" t="str">
        <f>'抽奖|MoonBless'!DN22</f>
        <v>活跃度</v>
      </c>
      <c r="M22" s="2">
        <f>'抽奖|MoonBless'!DO22</f>
        <v>1</v>
      </c>
      <c r="N22" s="2">
        <f>'抽奖|MoonBless'!DP22</f>
        <v>10</v>
      </c>
      <c r="O22" s="2">
        <f>'抽奖|MoonBless'!DQ22</f>
        <v>1</v>
      </c>
      <c r="P22" s="2">
        <f>'抽奖|MoonBless'!DR22</f>
        <v>6</v>
      </c>
    </row>
    <row r="23" spans="12:16" x14ac:dyDescent="0.25">
      <c r="L23" s="2" t="str">
        <f>'抽奖|MoonBless'!DN23</f>
        <v>红包【恭】</v>
      </c>
      <c r="M23" s="2">
        <f>'抽奖|MoonBless'!DO23</f>
        <v>1</v>
      </c>
      <c r="N23" s="2">
        <f>'抽奖|MoonBless'!DP23</f>
        <v>10</v>
      </c>
      <c r="O23" s="2">
        <f>'抽奖|MoonBless'!DQ23</f>
        <v>2</v>
      </c>
      <c r="P23" s="2">
        <f>'抽奖|MoonBless'!DR23</f>
        <v>1301</v>
      </c>
    </row>
    <row r="24" spans="12:16" x14ac:dyDescent="0.25">
      <c r="L24" s="2" t="str">
        <f>'抽奖|MoonBless'!DN24</f>
        <v>红包【喜】</v>
      </c>
      <c r="M24" s="2">
        <f>'抽奖|MoonBless'!DO24</f>
        <v>1</v>
      </c>
      <c r="N24" s="2">
        <f>'抽奖|MoonBless'!DP24</f>
        <v>10</v>
      </c>
      <c r="O24" s="2">
        <f>'抽奖|MoonBless'!DQ24</f>
        <v>2</v>
      </c>
      <c r="P24" s="2">
        <f>'抽奖|MoonBless'!DR24</f>
        <v>1302</v>
      </c>
    </row>
    <row r="25" spans="12:16" x14ac:dyDescent="0.25">
      <c r="L25" s="2" t="str">
        <f>'抽奖|MoonBless'!DN25</f>
        <v>红包【发】</v>
      </c>
      <c r="M25" s="2">
        <f>'抽奖|MoonBless'!DO25</f>
        <v>1</v>
      </c>
      <c r="N25" s="2">
        <f>'抽奖|MoonBless'!DP25</f>
        <v>10</v>
      </c>
      <c r="O25" s="2">
        <f>'抽奖|MoonBless'!DQ25</f>
        <v>2</v>
      </c>
      <c r="P25" s="2">
        <f>'抽奖|MoonBless'!DR25</f>
        <v>1303</v>
      </c>
    </row>
    <row r="26" spans="12:16" x14ac:dyDescent="0.25">
      <c r="L26" s="2" t="str">
        <f>'抽奖|MoonBless'!DN26</f>
        <v>红包【财】</v>
      </c>
      <c r="M26" s="2">
        <f>'抽奖|MoonBless'!DO26</f>
        <v>1</v>
      </c>
      <c r="N26" s="2">
        <f>'抽奖|MoonBless'!DP26</f>
        <v>10</v>
      </c>
      <c r="O26" s="2">
        <f>'抽奖|MoonBless'!DQ26</f>
        <v>2</v>
      </c>
      <c r="P26" s="2">
        <f>'抽奖|MoonBless'!DR26</f>
        <v>1304</v>
      </c>
    </row>
    <row r="27" spans="12:16" x14ac:dyDescent="0.25">
      <c r="L27" s="2" t="str">
        <f>'抽奖|MoonBless'!DN27</f>
        <v>双轮</v>
      </c>
      <c r="M27" s="2">
        <f>'抽奖|MoonBless'!DO27</f>
        <v>100</v>
      </c>
      <c r="N27" s="2">
        <f>'抽奖|MoonBless'!DP27</f>
        <v>1000</v>
      </c>
      <c r="O27" s="2">
        <f>'抽奖|MoonBless'!DQ27</f>
        <v>2</v>
      </c>
      <c r="P27" s="2">
        <f>'抽奖|MoonBless'!DR27</f>
        <v>1500</v>
      </c>
    </row>
  </sheetData>
  <phoneticPr fontId="57" type="noConversion"/>
  <conditionalFormatting sqref="E6">
    <cfRule type="containsText" dxfId="61" priority="13" operator="containsText" text=" ">
      <formula>NOT(ISERROR(SEARCH(" ",E6)))</formula>
    </cfRule>
  </conditionalFormatting>
  <conditionalFormatting sqref="E7">
    <cfRule type="containsText" dxfId="60" priority="6" operator="containsText" text=" ">
      <formula>NOT(ISERROR(SEARCH(" ",E7)))</formula>
    </cfRule>
  </conditionalFormatting>
  <conditionalFormatting sqref="E8">
    <cfRule type="containsText" dxfId="59" priority="5" operator="containsText" text=" ">
      <formula>NOT(ISERROR(SEARCH(" ",E8)))</formula>
    </cfRule>
  </conditionalFormatting>
  <conditionalFormatting sqref="E9">
    <cfRule type="containsText" dxfId="58" priority="12" operator="containsText" text=" ">
      <formula>NOT(ISERROR(SEARCH(" ",E9)))</formula>
    </cfRule>
  </conditionalFormatting>
  <conditionalFormatting sqref="E11">
    <cfRule type="containsText" dxfId="57" priority="11" operator="containsText" text=" ">
      <formula>NOT(ISERROR(SEARCH(" ",E11)))</formula>
    </cfRule>
  </conditionalFormatting>
  <conditionalFormatting sqref="P12">
    <cfRule type="containsText" dxfId="56" priority="20" operator="containsText" text=" ">
      <formula>NOT(ISERROR(SEARCH(" ",P12)))</formula>
    </cfRule>
  </conditionalFormatting>
  <conditionalFormatting sqref="E16">
    <cfRule type="containsText" dxfId="55" priority="3" operator="containsText" text=" ">
      <formula>NOT(ISERROR(SEARCH(" ",E16)))</formula>
    </cfRule>
  </conditionalFormatting>
  <conditionalFormatting sqref="L17:M17">
    <cfRule type="containsText" dxfId="54" priority="17" operator="containsText" text=" ">
      <formula>NOT(ISERROR(SEARCH(" ",L17)))</formula>
    </cfRule>
  </conditionalFormatting>
  <conditionalFormatting sqref="L18:M18">
    <cfRule type="containsText" dxfId="53" priority="16" operator="containsText" text=" ">
      <formula>NOT(ISERROR(SEARCH(" ",L18)))</formula>
    </cfRule>
  </conditionalFormatting>
  <conditionalFormatting sqref="P19">
    <cfRule type="containsText" dxfId="52" priority="15" operator="containsText" text=" ">
      <formula>NOT(ISERROR(SEARCH(" ",P19)))</formula>
    </cfRule>
  </conditionalFormatting>
  <conditionalFormatting sqref="A1:A11">
    <cfRule type="containsText" dxfId="51" priority="24" operator="containsText" text=" ">
      <formula>NOT(ISERROR(SEARCH(" ",A1)))</formula>
    </cfRule>
  </conditionalFormatting>
  <conditionalFormatting sqref="B5:B11">
    <cfRule type="containsText" dxfId="50" priority="7" operator="containsText" text=" ">
      <formula>NOT(ISERROR(SEARCH(" ",B5)))</formula>
    </cfRule>
  </conditionalFormatting>
  <conditionalFormatting sqref="C5:C11">
    <cfRule type="containsText" dxfId="49" priority="1" operator="containsText" text="1204">
      <formula>NOT(ISERROR(SEARCH("1204",C5)))</formula>
    </cfRule>
    <cfRule type="containsText" dxfId="48" priority="2" operator="containsText" text=" ">
      <formula>NOT(ISERROR(SEARCH(" ",C5)))</formula>
    </cfRule>
  </conditionalFormatting>
  <conditionalFormatting sqref="D5:D11">
    <cfRule type="containsText" dxfId="47" priority="31" operator="containsText" text=" ">
      <formula>NOT(ISERROR(SEARCH(" ",D5)))</formula>
    </cfRule>
  </conditionalFormatting>
  <conditionalFormatting sqref="N8:N11">
    <cfRule type="containsText" dxfId="46" priority="21" operator="containsText" text=" ">
      <formula>NOT(ISERROR(SEARCH(" ",N8)))</formula>
    </cfRule>
  </conditionalFormatting>
  <conditionalFormatting sqref="N13:N16">
    <cfRule type="containsText" dxfId="45" priority="18" operator="containsText" text=" ">
      <formula>NOT(ISERROR(SEARCH(" ",N13)))</formula>
    </cfRule>
  </conditionalFormatting>
  <conditionalFormatting sqref="P8:P11">
    <cfRule type="containsText" dxfId="44" priority="22" operator="containsText" text=" ">
      <formula>NOT(ISERROR(SEARCH(" ",P8)))</formula>
    </cfRule>
  </conditionalFormatting>
  <conditionalFormatting sqref="P13:P16">
    <cfRule type="containsText" dxfId="43" priority="19" operator="containsText" text=" ">
      <formula>NOT(ISERROR(SEARCH(" ",P13)))</formula>
    </cfRule>
  </conditionalFormatting>
  <conditionalFormatting sqref="O8:O11 L1:P7 L8:M11 L20:P1048576 L12:O12 L13:M16 O13:O16 N17:P18 L19:O19">
    <cfRule type="containsText" dxfId="42" priority="23" operator="containsText" text=" ">
      <formula>NOT(ISERROR(SEARCH(" ",L1)))</formula>
    </cfRule>
  </conditionalFormatting>
  <conditionalFormatting sqref="E10:I10 F11:I11 F6:I9 E5:I5">
    <cfRule type="containsText" dxfId="41" priority="14" operator="containsText" text=" ">
      <formula>NOT(ISERROR(SEARCH(" ",E5)))</formula>
    </cfRule>
  </conditionalFormatting>
  <conditionalFormatting sqref="F16:I16 E15:I15">
    <cfRule type="containsText" dxfId="40" priority="4" operator="containsText" text=" ">
      <formula>NOT(ISERROR(SEARCH(" ",E15)))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V52"/>
  <sheetViews>
    <sheetView workbookViewId="0">
      <selection activeCell="X30" sqref="X30"/>
    </sheetView>
  </sheetViews>
  <sheetFormatPr defaultColWidth="9" defaultRowHeight="16.5" x14ac:dyDescent="0.25"/>
  <cols>
    <col min="1" max="2" width="7" customWidth="1"/>
    <col min="3" max="3" width="11.1796875" customWidth="1"/>
    <col min="4" max="4" width="11.6328125" customWidth="1"/>
    <col min="5" max="5" width="10.6328125" customWidth="1"/>
    <col min="6" max="6" width="13.453125" customWidth="1"/>
    <col min="7" max="7" width="10.08984375" customWidth="1"/>
    <col min="9" max="10" width="9" style="2"/>
    <col min="11" max="11" width="7.81640625" style="2" customWidth="1"/>
    <col min="12" max="12" width="8" style="2" customWidth="1"/>
    <col min="13" max="13" width="7" style="2" customWidth="1"/>
    <col min="14" max="14" width="9.6328125" style="2" customWidth="1"/>
    <col min="15" max="15" width="9" style="2"/>
    <col min="16" max="16" width="10.08984375" style="2" customWidth="1"/>
    <col min="17" max="17" width="9" style="2"/>
    <col min="18" max="18" width="9.1796875" style="2" customWidth="1"/>
    <col min="19" max="19" width="13.08984375" style="2" customWidth="1"/>
    <col min="20" max="20" width="9.6328125" style="2" customWidth="1"/>
    <col min="21" max="21" width="9" style="2"/>
    <col min="22" max="22" width="9.453125" customWidth="1"/>
  </cols>
  <sheetData>
    <row r="1" spans="1:21" ht="43.5" x14ac:dyDescent="0.4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0</v>
      </c>
      <c r="I1" s="9" t="s">
        <v>1978</v>
      </c>
      <c r="K1" s="14" t="s">
        <v>1979</v>
      </c>
      <c r="L1" s="15" t="s">
        <v>1950</v>
      </c>
      <c r="M1" s="22" t="s">
        <v>1980</v>
      </c>
      <c r="N1" s="22" t="s">
        <v>1981</v>
      </c>
      <c r="O1" s="22" t="s">
        <v>1982</v>
      </c>
      <c r="P1" s="22" t="s">
        <v>1983</v>
      </c>
      <c r="Q1" s="23" t="s">
        <v>1984</v>
      </c>
      <c r="R1" s="24" t="s">
        <v>1985</v>
      </c>
      <c r="S1" s="9" t="s">
        <v>1986</v>
      </c>
      <c r="T1" s="9" t="s">
        <v>1987</v>
      </c>
    </row>
    <row r="2" spans="1:2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I2" s="2">
        <f>100*1000</f>
        <v>100000</v>
      </c>
      <c r="K2" s="16">
        <v>0</v>
      </c>
      <c r="L2" s="2">
        <v>20</v>
      </c>
      <c r="M2" s="2">
        <f>L2</f>
        <v>20</v>
      </c>
      <c r="N2" s="2">
        <v>20</v>
      </c>
      <c r="O2" s="2">
        <v>0</v>
      </c>
      <c r="P2" s="2">
        <v>0</v>
      </c>
      <c r="Q2" s="25">
        <v>0</v>
      </c>
      <c r="R2" s="26">
        <v>0</v>
      </c>
      <c r="S2" s="26">
        <f t="shared" ref="S2:S8" si="0">R3</f>
        <v>3472.2222222222217</v>
      </c>
      <c r="T2" s="2">
        <v>0</v>
      </c>
      <c r="U2" s="26">
        <f>S2</f>
        <v>3472.2222222222217</v>
      </c>
    </row>
    <row r="3" spans="1:21" ht="29" x14ac:dyDescent="0.4">
      <c r="A3" s="3" t="s">
        <v>1541</v>
      </c>
      <c r="B3" s="11" t="s">
        <v>1005</v>
      </c>
      <c r="C3" s="3" t="s">
        <v>1313</v>
      </c>
      <c r="D3" s="11" t="s">
        <v>1988</v>
      </c>
      <c r="E3" s="3" t="s">
        <v>1955</v>
      </c>
      <c r="F3" s="3" t="s">
        <v>1956</v>
      </c>
      <c r="G3" s="11" t="s">
        <v>1957</v>
      </c>
      <c r="K3" s="16">
        <v>1</v>
      </c>
      <c r="L3" s="2">
        <v>30</v>
      </c>
      <c r="M3" s="2">
        <f t="shared" ref="M3:M12" si="1">L3</f>
        <v>30</v>
      </c>
      <c r="N3" s="2">
        <f>L3</f>
        <v>30</v>
      </c>
      <c r="O3" s="2">
        <v>660</v>
      </c>
      <c r="P3" s="2">
        <v>1</v>
      </c>
      <c r="Q3" s="25">
        <f t="shared" ref="Q3:Q11" si="2">L3</f>
        <v>30</v>
      </c>
      <c r="R3" s="26">
        <f t="shared" ref="R3:R12" si="3">1/(0.96/L2)/6*1000</f>
        <v>3472.2222222222217</v>
      </c>
      <c r="S3" s="26">
        <f t="shared" si="0"/>
        <v>5208.333333333333</v>
      </c>
      <c r="T3" s="26">
        <f t="shared" ref="T3:T9" si="4">S3/O3*P3</f>
        <v>7.891414141414141</v>
      </c>
      <c r="U3" s="26">
        <f>U2+S3</f>
        <v>8680.5555555555547</v>
      </c>
    </row>
    <row r="4" spans="1:21" ht="23" x14ac:dyDescent="0.25">
      <c r="A4" s="12" t="s">
        <v>1979</v>
      </c>
      <c r="B4" s="12" t="s">
        <v>1950</v>
      </c>
      <c r="C4" s="12" t="s">
        <v>1980</v>
      </c>
      <c r="D4" s="12" t="s">
        <v>1981</v>
      </c>
      <c r="E4" s="12" t="s">
        <v>1982</v>
      </c>
      <c r="F4" s="12" t="s">
        <v>1983</v>
      </c>
      <c r="G4" s="12" t="s">
        <v>1984</v>
      </c>
      <c r="H4" s="13">
        <f>10+100+20+100+10</f>
        <v>240</v>
      </c>
      <c r="I4"/>
      <c r="J4" s="17" t="s">
        <v>1989</v>
      </c>
      <c r="K4" s="16">
        <v>2</v>
      </c>
      <c r="L4" s="2">
        <v>50</v>
      </c>
      <c r="M4" s="2">
        <f t="shared" si="1"/>
        <v>50</v>
      </c>
      <c r="N4" s="2">
        <f t="shared" ref="N4:N12" si="5">L4</f>
        <v>50</v>
      </c>
      <c r="O4" s="2">
        <f>O3</f>
        <v>660</v>
      </c>
      <c r="P4" s="2">
        <v>2</v>
      </c>
      <c r="Q4" s="25">
        <f t="shared" si="2"/>
        <v>50</v>
      </c>
      <c r="R4" s="26">
        <f t="shared" si="3"/>
        <v>5208.333333333333</v>
      </c>
      <c r="S4" s="26">
        <f t="shared" si="0"/>
        <v>8680.5555555555547</v>
      </c>
      <c r="T4" s="26">
        <f t="shared" si="4"/>
        <v>26.304713804713803</v>
      </c>
      <c r="U4" s="26">
        <f t="shared" ref="U4:U11" si="6">U3+S4</f>
        <v>17361.111111111109</v>
      </c>
    </row>
    <row r="5" spans="1:21" x14ac:dyDescent="0.25">
      <c r="A5" s="2">
        <v>0</v>
      </c>
      <c r="B5" s="2">
        <v>20</v>
      </c>
      <c r="C5" s="2">
        <v>20</v>
      </c>
      <c r="D5" s="2">
        <v>20</v>
      </c>
      <c r="E5" s="2">
        <v>0</v>
      </c>
      <c r="F5" s="2">
        <v>0</v>
      </c>
      <c r="G5" s="2">
        <v>0</v>
      </c>
      <c r="K5" s="16">
        <v>3</v>
      </c>
      <c r="L5" s="2">
        <v>80</v>
      </c>
      <c r="M5" s="2">
        <f t="shared" si="1"/>
        <v>80</v>
      </c>
      <c r="N5" s="2">
        <f t="shared" si="5"/>
        <v>80</v>
      </c>
      <c r="O5" s="2">
        <f t="shared" ref="O5:O12" si="7">O4</f>
        <v>660</v>
      </c>
      <c r="P5" s="2">
        <v>3</v>
      </c>
      <c r="Q5" s="25">
        <f t="shared" si="2"/>
        <v>80</v>
      </c>
      <c r="R5" s="26">
        <f t="shared" si="3"/>
        <v>8680.5555555555547</v>
      </c>
      <c r="S5" s="26">
        <f t="shared" si="0"/>
        <v>13888.888888888887</v>
      </c>
      <c r="T5" s="26">
        <f t="shared" si="4"/>
        <v>63.131313131313121</v>
      </c>
      <c r="U5" s="26">
        <f t="shared" si="6"/>
        <v>31249.999999999996</v>
      </c>
    </row>
    <row r="6" spans="1:21" x14ac:dyDescent="0.25">
      <c r="A6" s="2">
        <v>1</v>
      </c>
      <c r="B6" s="2">
        <v>30</v>
      </c>
      <c r="C6" s="2">
        <v>30</v>
      </c>
      <c r="D6" s="2">
        <v>30</v>
      </c>
      <c r="E6" s="2">
        <v>660</v>
      </c>
      <c r="F6" s="2">
        <v>1</v>
      </c>
      <c r="G6" s="2">
        <v>30</v>
      </c>
      <c r="K6" s="16">
        <v>4</v>
      </c>
      <c r="L6" s="2">
        <v>100</v>
      </c>
      <c r="M6" s="2">
        <f t="shared" si="1"/>
        <v>100</v>
      </c>
      <c r="N6" s="2">
        <f t="shared" si="5"/>
        <v>100</v>
      </c>
      <c r="O6" s="2">
        <f t="shared" si="7"/>
        <v>660</v>
      </c>
      <c r="P6" s="2">
        <v>4</v>
      </c>
      <c r="Q6" s="25">
        <f t="shared" si="2"/>
        <v>100</v>
      </c>
      <c r="R6" s="26">
        <f t="shared" si="3"/>
        <v>13888.888888888887</v>
      </c>
      <c r="S6" s="26">
        <f t="shared" si="0"/>
        <v>17361.111111111109</v>
      </c>
      <c r="T6" s="26">
        <f t="shared" si="4"/>
        <v>105.21885521885521</v>
      </c>
      <c r="U6" s="26">
        <f t="shared" si="6"/>
        <v>48611.111111111109</v>
      </c>
    </row>
    <row r="7" spans="1:21" x14ac:dyDescent="0.25">
      <c r="A7" s="2">
        <v>2</v>
      </c>
      <c r="B7" s="2">
        <v>50</v>
      </c>
      <c r="C7" s="2">
        <v>50</v>
      </c>
      <c r="D7" s="2">
        <v>50</v>
      </c>
      <c r="E7" s="2">
        <v>660</v>
      </c>
      <c r="F7" s="2">
        <v>2</v>
      </c>
      <c r="G7" s="2">
        <v>50</v>
      </c>
      <c r="K7" s="16">
        <v>5</v>
      </c>
      <c r="L7" s="2">
        <v>120</v>
      </c>
      <c r="M7" s="2">
        <f t="shared" si="1"/>
        <v>120</v>
      </c>
      <c r="N7" s="2">
        <f t="shared" si="5"/>
        <v>120</v>
      </c>
      <c r="O7" s="2">
        <f t="shared" si="7"/>
        <v>660</v>
      </c>
      <c r="P7" s="2">
        <v>5</v>
      </c>
      <c r="Q7" s="25">
        <f t="shared" si="2"/>
        <v>120</v>
      </c>
      <c r="R7" s="26">
        <f t="shared" si="3"/>
        <v>17361.111111111109</v>
      </c>
      <c r="S7" s="26">
        <f t="shared" si="0"/>
        <v>20833.333333333332</v>
      </c>
      <c r="T7" s="26">
        <f t="shared" si="4"/>
        <v>157.82828282828282</v>
      </c>
      <c r="U7" s="26">
        <f t="shared" si="6"/>
        <v>69444.444444444438</v>
      </c>
    </row>
    <row r="8" spans="1:21" x14ac:dyDescent="0.25">
      <c r="A8" s="2">
        <v>3</v>
      </c>
      <c r="B8" s="2">
        <v>80</v>
      </c>
      <c r="C8" s="2">
        <v>80</v>
      </c>
      <c r="D8" s="2">
        <v>80</v>
      </c>
      <c r="E8" s="2">
        <v>660</v>
      </c>
      <c r="F8" s="2">
        <v>3</v>
      </c>
      <c r="G8" s="2">
        <v>80</v>
      </c>
      <c r="K8" s="16">
        <v>6</v>
      </c>
      <c r="L8" s="2">
        <v>150</v>
      </c>
      <c r="M8" s="2">
        <f t="shared" si="1"/>
        <v>150</v>
      </c>
      <c r="N8" s="2">
        <f t="shared" si="5"/>
        <v>150</v>
      </c>
      <c r="O8" s="2">
        <f t="shared" si="7"/>
        <v>660</v>
      </c>
      <c r="P8" s="2">
        <v>6</v>
      </c>
      <c r="Q8" s="25">
        <f t="shared" si="2"/>
        <v>150</v>
      </c>
      <c r="R8" s="26">
        <f t="shared" si="3"/>
        <v>20833.333333333332</v>
      </c>
      <c r="S8" s="26">
        <f t="shared" si="0"/>
        <v>26041.666666666668</v>
      </c>
      <c r="T8" s="26">
        <f t="shared" si="4"/>
        <v>236.74242424242425</v>
      </c>
      <c r="U8" s="26">
        <f t="shared" si="6"/>
        <v>95486.111111111109</v>
      </c>
    </row>
    <row r="9" spans="1:21" x14ac:dyDescent="0.25">
      <c r="A9" s="2">
        <v>4</v>
      </c>
      <c r="B9" s="2">
        <v>100</v>
      </c>
      <c r="C9" s="2">
        <v>100</v>
      </c>
      <c r="D9" s="2">
        <v>100</v>
      </c>
      <c r="E9" s="2">
        <v>660</v>
      </c>
      <c r="F9" s="2">
        <v>4</v>
      </c>
      <c r="G9" s="2">
        <v>100</v>
      </c>
      <c r="K9" s="16">
        <v>7</v>
      </c>
      <c r="L9" s="2">
        <v>150</v>
      </c>
      <c r="M9" s="2">
        <f t="shared" si="1"/>
        <v>150</v>
      </c>
      <c r="N9" s="2">
        <f t="shared" si="5"/>
        <v>150</v>
      </c>
      <c r="O9" s="2">
        <f t="shared" si="7"/>
        <v>660</v>
      </c>
      <c r="P9" s="2">
        <v>7</v>
      </c>
      <c r="Q9" s="25">
        <f t="shared" si="2"/>
        <v>150</v>
      </c>
      <c r="R9" s="26">
        <f t="shared" si="3"/>
        <v>26041.666666666668</v>
      </c>
      <c r="S9" s="26">
        <f>I2-SUM(S1:S8)</f>
        <v>4513.8888888888905</v>
      </c>
      <c r="T9" s="26">
        <f t="shared" si="4"/>
        <v>47.874579124579142</v>
      </c>
      <c r="U9" s="26">
        <f t="shared" si="6"/>
        <v>100000</v>
      </c>
    </row>
    <row r="10" spans="1:21" x14ac:dyDescent="0.25">
      <c r="A10" s="2">
        <v>5</v>
      </c>
      <c r="B10" s="2">
        <v>120</v>
      </c>
      <c r="C10" s="2">
        <v>120</v>
      </c>
      <c r="D10" s="2">
        <v>120</v>
      </c>
      <c r="E10" s="2">
        <v>660</v>
      </c>
      <c r="F10" s="2">
        <v>5</v>
      </c>
      <c r="G10" s="2">
        <v>120</v>
      </c>
      <c r="K10" s="16">
        <v>8</v>
      </c>
      <c r="L10" s="2">
        <v>200</v>
      </c>
      <c r="M10" s="2">
        <f t="shared" si="1"/>
        <v>200</v>
      </c>
      <c r="N10" s="2">
        <f t="shared" si="5"/>
        <v>200</v>
      </c>
      <c r="O10" s="2">
        <f t="shared" si="7"/>
        <v>660</v>
      </c>
      <c r="P10" s="2">
        <v>8</v>
      </c>
      <c r="Q10" s="25">
        <f t="shared" si="2"/>
        <v>200</v>
      </c>
      <c r="R10" s="26">
        <f t="shared" si="3"/>
        <v>26041.666666666668</v>
      </c>
      <c r="S10" s="26"/>
      <c r="T10" s="26"/>
      <c r="U10" s="26">
        <f t="shared" si="6"/>
        <v>100000</v>
      </c>
    </row>
    <row r="11" spans="1:21" x14ac:dyDescent="0.25">
      <c r="A11" s="2">
        <v>6</v>
      </c>
      <c r="B11" s="2">
        <v>150</v>
      </c>
      <c r="C11" s="2">
        <v>150</v>
      </c>
      <c r="D11" s="2">
        <v>150</v>
      </c>
      <c r="E11" s="2">
        <v>660</v>
      </c>
      <c r="F11" s="2">
        <v>6</v>
      </c>
      <c r="G11" s="2">
        <v>150</v>
      </c>
      <c r="K11" s="16">
        <v>9</v>
      </c>
      <c r="L11" s="2">
        <v>250</v>
      </c>
      <c r="M11" s="2">
        <f t="shared" si="1"/>
        <v>250</v>
      </c>
      <c r="N11" s="2">
        <f t="shared" si="5"/>
        <v>250</v>
      </c>
      <c r="O11" s="2">
        <f t="shared" si="7"/>
        <v>660</v>
      </c>
      <c r="P11" s="2">
        <v>9</v>
      </c>
      <c r="Q11" s="25">
        <f t="shared" si="2"/>
        <v>250</v>
      </c>
      <c r="R11" s="26">
        <f t="shared" si="3"/>
        <v>34722.222222222219</v>
      </c>
      <c r="S11" s="26"/>
      <c r="T11" s="26"/>
      <c r="U11" s="26">
        <f t="shared" si="6"/>
        <v>100000</v>
      </c>
    </row>
    <row r="12" spans="1:21" x14ac:dyDescent="0.25">
      <c r="A12" s="2">
        <v>7</v>
      </c>
      <c r="B12" s="2">
        <v>150</v>
      </c>
      <c r="C12" s="2">
        <v>150</v>
      </c>
      <c r="D12" s="2">
        <v>150</v>
      </c>
      <c r="E12" s="2">
        <v>660</v>
      </c>
      <c r="F12" s="2">
        <v>7</v>
      </c>
      <c r="G12" s="2">
        <v>150</v>
      </c>
      <c r="K12" s="18">
        <v>10</v>
      </c>
      <c r="L12" s="19">
        <v>300</v>
      </c>
      <c r="M12" s="19">
        <f t="shared" si="1"/>
        <v>300</v>
      </c>
      <c r="N12" s="19">
        <f t="shared" si="5"/>
        <v>300</v>
      </c>
      <c r="O12" s="19">
        <f t="shared" si="7"/>
        <v>660</v>
      </c>
      <c r="P12" s="19">
        <v>10</v>
      </c>
      <c r="Q12" s="27">
        <f t="shared" ref="Q12" si="8">L12</f>
        <v>300</v>
      </c>
      <c r="R12" s="26">
        <f t="shared" si="3"/>
        <v>43402.777777777781</v>
      </c>
      <c r="U12" s="26"/>
    </row>
    <row r="13" spans="1:21" x14ac:dyDescent="0.25">
      <c r="A13" s="2">
        <v>8</v>
      </c>
      <c r="B13" s="2">
        <v>200</v>
      </c>
      <c r="C13" s="2">
        <v>200</v>
      </c>
      <c r="D13" s="2">
        <v>200</v>
      </c>
      <c r="E13" s="2">
        <v>660</v>
      </c>
      <c r="F13" s="2">
        <v>8</v>
      </c>
      <c r="G13" s="2">
        <v>200</v>
      </c>
      <c r="S13" s="28" t="s">
        <v>1990</v>
      </c>
      <c r="T13" s="29">
        <f>SUM(T2:T9)</f>
        <v>644.99158249158245</v>
      </c>
      <c r="U13" s="26"/>
    </row>
    <row r="14" spans="1:21" x14ac:dyDescent="0.25">
      <c r="A14" s="2">
        <v>9</v>
      </c>
      <c r="B14" s="2">
        <v>250</v>
      </c>
      <c r="C14" s="2">
        <v>250</v>
      </c>
      <c r="D14" s="2">
        <v>250</v>
      </c>
      <c r="E14" s="2">
        <v>660</v>
      </c>
      <c r="F14" s="2">
        <v>9</v>
      </c>
      <c r="G14" s="2">
        <v>250</v>
      </c>
      <c r="S14" s="30" t="s">
        <v>1991</v>
      </c>
      <c r="T14" s="25">
        <f>SUM(N2:N8)</f>
        <v>550</v>
      </c>
      <c r="U14" s="26"/>
    </row>
    <row r="15" spans="1:21" x14ac:dyDescent="0.25">
      <c r="A15" s="2">
        <v>10</v>
      </c>
      <c r="B15" s="2">
        <v>300</v>
      </c>
      <c r="C15" s="2">
        <v>300</v>
      </c>
      <c r="D15" s="2">
        <v>300</v>
      </c>
      <c r="E15" s="2">
        <v>660</v>
      </c>
      <c r="F15" s="2">
        <v>10</v>
      </c>
      <c r="G15" s="2">
        <v>300</v>
      </c>
      <c r="S15" s="30" t="s">
        <v>1971</v>
      </c>
      <c r="T15" s="25">
        <f>Q9</f>
        <v>150</v>
      </c>
      <c r="U15" s="26"/>
    </row>
    <row r="16" spans="1:21" x14ac:dyDescent="0.25">
      <c r="S16" s="31" t="s">
        <v>1992</v>
      </c>
      <c r="T16" s="32">
        <f>SUM(T13:T15)</f>
        <v>1344.9915824915824</v>
      </c>
      <c r="U16" s="26"/>
    </row>
    <row r="20" spans="10:21" ht="43.5" x14ac:dyDescent="0.25">
      <c r="K20" s="20" t="s">
        <v>1979</v>
      </c>
      <c r="L20" s="21" t="s">
        <v>1950</v>
      </c>
      <c r="M20" s="21" t="s">
        <v>1980</v>
      </c>
      <c r="N20" s="21" t="s">
        <v>1981</v>
      </c>
      <c r="O20" s="21" t="s">
        <v>1982</v>
      </c>
      <c r="P20" s="21" t="s">
        <v>1983</v>
      </c>
      <c r="Q20" s="33" t="s">
        <v>1984</v>
      </c>
      <c r="R20" s="24" t="s">
        <v>1985</v>
      </c>
      <c r="S20" s="9" t="s">
        <v>1986</v>
      </c>
      <c r="T20" s="9" t="s">
        <v>1987</v>
      </c>
    </row>
    <row r="21" spans="10:21" x14ac:dyDescent="0.25">
      <c r="K21" s="2">
        <v>0</v>
      </c>
      <c r="L21" s="2">
        <f>L2</f>
        <v>20</v>
      </c>
      <c r="M21" s="2">
        <f>L21</f>
        <v>20</v>
      </c>
      <c r="N21" s="2">
        <f>N2</f>
        <v>20</v>
      </c>
      <c r="O21" s="2">
        <f>O2</f>
        <v>0</v>
      </c>
      <c r="P21" s="2">
        <f>P2</f>
        <v>0</v>
      </c>
      <c r="Q21" s="2">
        <f>Q2</f>
        <v>0</v>
      </c>
      <c r="R21" s="26">
        <f>R2</f>
        <v>0</v>
      </c>
      <c r="S21" s="26">
        <f t="shared" ref="S21:S32" si="9">R22</f>
        <v>868.05555555555543</v>
      </c>
      <c r="T21" s="2">
        <v>0</v>
      </c>
      <c r="U21" s="26">
        <f>S21</f>
        <v>868.05555555555543</v>
      </c>
    </row>
    <row r="22" spans="10:21" x14ac:dyDescent="0.25">
      <c r="K22" s="2">
        <v>1</v>
      </c>
      <c r="L22" s="2">
        <f t="shared" ref="L22:Q31" si="10">L3</f>
        <v>30</v>
      </c>
      <c r="M22" s="2">
        <f t="shared" ref="M22:M36" si="11">L22</f>
        <v>30</v>
      </c>
      <c r="N22" s="2">
        <f t="shared" si="10"/>
        <v>30</v>
      </c>
      <c r="O22" s="2">
        <f t="shared" ref="O22:O30" si="12">O3</f>
        <v>660</v>
      </c>
      <c r="P22" s="2">
        <f t="shared" si="10"/>
        <v>1</v>
      </c>
      <c r="Q22" s="2">
        <f t="shared" si="10"/>
        <v>30</v>
      </c>
      <c r="R22" s="26">
        <f t="shared" ref="R22:R40" si="13">1/(0.96/L21)/6*1000/4</f>
        <v>868.05555555555543</v>
      </c>
      <c r="S22" s="26">
        <f t="shared" si="9"/>
        <v>1302.0833333333333</v>
      </c>
      <c r="T22" s="26">
        <f t="shared" ref="T22:T33" si="14">S22/O22*P22</f>
        <v>1.9728535353535352</v>
      </c>
      <c r="U22" s="26">
        <f>U21+S22</f>
        <v>2170.1388888888887</v>
      </c>
    </row>
    <row r="23" spans="10:21" x14ac:dyDescent="0.25">
      <c r="K23" s="2">
        <v>2</v>
      </c>
      <c r="L23" s="2">
        <f t="shared" si="10"/>
        <v>50</v>
      </c>
      <c r="M23" s="2">
        <f t="shared" si="11"/>
        <v>50</v>
      </c>
      <c r="N23" s="2">
        <f t="shared" si="10"/>
        <v>50</v>
      </c>
      <c r="O23" s="2">
        <f t="shared" si="12"/>
        <v>660</v>
      </c>
      <c r="P23" s="2">
        <f t="shared" si="10"/>
        <v>2</v>
      </c>
      <c r="Q23" s="2">
        <f t="shared" si="10"/>
        <v>50</v>
      </c>
      <c r="R23" s="26">
        <f t="shared" si="13"/>
        <v>1302.0833333333333</v>
      </c>
      <c r="S23" s="26">
        <f t="shared" si="9"/>
        <v>2170.1388888888887</v>
      </c>
      <c r="T23" s="26">
        <f t="shared" si="14"/>
        <v>6.5761784511784507</v>
      </c>
      <c r="U23" s="26">
        <f t="shared" ref="U23:U33" si="15">U22+S23</f>
        <v>4340.2777777777774</v>
      </c>
    </row>
    <row r="24" spans="10:21" x14ac:dyDescent="0.25">
      <c r="J24" s="17" t="s">
        <v>1993</v>
      </c>
      <c r="K24" s="2">
        <v>3</v>
      </c>
      <c r="L24" s="2">
        <f t="shared" si="10"/>
        <v>80</v>
      </c>
      <c r="M24" s="2">
        <f t="shared" si="11"/>
        <v>80</v>
      </c>
      <c r="N24" s="2">
        <f t="shared" si="10"/>
        <v>80</v>
      </c>
      <c r="O24" s="2">
        <f t="shared" si="12"/>
        <v>660</v>
      </c>
      <c r="P24" s="2">
        <f t="shared" si="10"/>
        <v>3</v>
      </c>
      <c r="Q24" s="2">
        <f t="shared" si="10"/>
        <v>80</v>
      </c>
      <c r="R24" s="26">
        <f t="shared" si="13"/>
        <v>2170.1388888888887</v>
      </c>
      <c r="S24" s="26">
        <f t="shared" si="9"/>
        <v>3472.2222222222217</v>
      </c>
      <c r="T24" s="26">
        <f t="shared" si="14"/>
        <v>15.78282828282828</v>
      </c>
      <c r="U24" s="26">
        <f t="shared" si="15"/>
        <v>7812.4999999999991</v>
      </c>
    </row>
    <row r="25" spans="10:21" x14ac:dyDescent="0.25">
      <c r="K25" s="2">
        <v>4</v>
      </c>
      <c r="L25" s="2">
        <f t="shared" si="10"/>
        <v>100</v>
      </c>
      <c r="M25" s="2">
        <f t="shared" si="11"/>
        <v>100</v>
      </c>
      <c r="N25" s="2">
        <f t="shared" si="10"/>
        <v>100</v>
      </c>
      <c r="O25" s="2">
        <f t="shared" si="12"/>
        <v>660</v>
      </c>
      <c r="P25" s="2">
        <f t="shared" si="10"/>
        <v>4</v>
      </c>
      <c r="Q25" s="2">
        <f t="shared" si="10"/>
        <v>100</v>
      </c>
      <c r="R25" s="26">
        <f t="shared" si="13"/>
        <v>3472.2222222222217</v>
      </c>
      <c r="S25" s="26">
        <f t="shared" si="9"/>
        <v>4340.2777777777774</v>
      </c>
      <c r="T25" s="26">
        <f t="shared" si="14"/>
        <v>26.304713804713803</v>
      </c>
      <c r="U25" s="26">
        <f t="shared" si="15"/>
        <v>12152.777777777777</v>
      </c>
    </row>
    <row r="26" spans="10:21" x14ac:dyDescent="0.25">
      <c r="K26" s="2">
        <v>5</v>
      </c>
      <c r="L26" s="2">
        <f t="shared" si="10"/>
        <v>120</v>
      </c>
      <c r="M26" s="2">
        <f t="shared" si="11"/>
        <v>120</v>
      </c>
      <c r="N26" s="2">
        <f t="shared" si="10"/>
        <v>120</v>
      </c>
      <c r="O26" s="2">
        <f t="shared" si="12"/>
        <v>660</v>
      </c>
      <c r="P26" s="2">
        <f t="shared" si="10"/>
        <v>5</v>
      </c>
      <c r="Q26" s="2">
        <f t="shared" si="10"/>
        <v>120</v>
      </c>
      <c r="R26" s="26">
        <f t="shared" si="13"/>
        <v>4340.2777777777774</v>
      </c>
      <c r="S26" s="26">
        <f t="shared" si="9"/>
        <v>5208.333333333333</v>
      </c>
      <c r="T26" s="26">
        <f t="shared" si="14"/>
        <v>39.457070707070706</v>
      </c>
      <c r="U26" s="26">
        <f t="shared" si="15"/>
        <v>17361.111111111109</v>
      </c>
    </row>
    <row r="27" spans="10:21" x14ac:dyDescent="0.25">
      <c r="K27" s="2">
        <v>6</v>
      </c>
      <c r="L27" s="2">
        <f t="shared" si="10"/>
        <v>150</v>
      </c>
      <c r="M27" s="2">
        <f t="shared" si="11"/>
        <v>150</v>
      </c>
      <c r="N27" s="2">
        <f t="shared" si="10"/>
        <v>150</v>
      </c>
      <c r="O27" s="2">
        <f t="shared" si="12"/>
        <v>660</v>
      </c>
      <c r="P27" s="2">
        <f t="shared" si="10"/>
        <v>6</v>
      </c>
      <c r="Q27" s="2">
        <f t="shared" si="10"/>
        <v>150</v>
      </c>
      <c r="R27" s="26">
        <f t="shared" si="13"/>
        <v>5208.333333333333</v>
      </c>
      <c r="S27" s="26">
        <f t="shared" si="9"/>
        <v>6510.416666666667</v>
      </c>
      <c r="T27" s="26">
        <f t="shared" si="14"/>
        <v>59.185606060606062</v>
      </c>
      <c r="U27" s="26">
        <f t="shared" si="15"/>
        <v>23871.527777777777</v>
      </c>
    </row>
    <row r="28" spans="10:21" x14ac:dyDescent="0.25">
      <c r="K28" s="2">
        <v>7</v>
      </c>
      <c r="L28" s="2">
        <f t="shared" si="10"/>
        <v>150</v>
      </c>
      <c r="M28" s="2">
        <f t="shared" si="11"/>
        <v>150</v>
      </c>
      <c r="N28" s="2">
        <f t="shared" si="10"/>
        <v>150</v>
      </c>
      <c r="O28" s="2">
        <f t="shared" si="12"/>
        <v>660</v>
      </c>
      <c r="P28" s="2">
        <f t="shared" si="10"/>
        <v>7</v>
      </c>
      <c r="Q28" s="2">
        <f t="shared" si="10"/>
        <v>150</v>
      </c>
      <c r="R28" s="26">
        <f t="shared" si="13"/>
        <v>6510.416666666667</v>
      </c>
      <c r="S28" s="26">
        <f t="shared" si="9"/>
        <v>6510.416666666667</v>
      </c>
      <c r="T28" s="26">
        <f t="shared" si="14"/>
        <v>69.04987373737373</v>
      </c>
      <c r="U28" s="26">
        <f t="shared" si="15"/>
        <v>30381.944444444445</v>
      </c>
    </row>
    <row r="29" spans="10:21" x14ac:dyDescent="0.25">
      <c r="K29" s="2">
        <v>8</v>
      </c>
      <c r="L29" s="2">
        <f t="shared" si="10"/>
        <v>200</v>
      </c>
      <c r="M29" s="2">
        <f t="shared" si="11"/>
        <v>200</v>
      </c>
      <c r="N29" s="2">
        <f t="shared" si="10"/>
        <v>200</v>
      </c>
      <c r="O29" s="2">
        <f t="shared" si="12"/>
        <v>660</v>
      </c>
      <c r="P29" s="2">
        <f t="shared" si="10"/>
        <v>8</v>
      </c>
      <c r="Q29" s="2">
        <f t="shared" si="10"/>
        <v>200</v>
      </c>
      <c r="R29" s="26">
        <f t="shared" si="13"/>
        <v>6510.416666666667</v>
      </c>
      <c r="S29" s="26">
        <f t="shared" si="9"/>
        <v>8680.5555555555547</v>
      </c>
      <c r="T29" s="26">
        <f t="shared" si="14"/>
        <v>105.21885521885521</v>
      </c>
      <c r="U29" s="26">
        <f t="shared" si="15"/>
        <v>39062.5</v>
      </c>
    </row>
    <row r="30" spans="10:21" x14ac:dyDescent="0.25">
      <c r="K30" s="2">
        <v>9</v>
      </c>
      <c r="L30" s="2">
        <f t="shared" si="10"/>
        <v>250</v>
      </c>
      <c r="M30" s="2">
        <f t="shared" si="11"/>
        <v>250</v>
      </c>
      <c r="N30" s="2">
        <f t="shared" si="10"/>
        <v>250</v>
      </c>
      <c r="O30" s="2">
        <f t="shared" si="12"/>
        <v>660</v>
      </c>
      <c r="P30" s="2">
        <f t="shared" si="10"/>
        <v>9</v>
      </c>
      <c r="Q30" s="2">
        <f t="shared" si="10"/>
        <v>250</v>
      </c>
      <c r="R30" s="26">
        <f t="shared" si="13"/>
        <v>8680.5555555555547</v>
      </c>
      <c r="S30" s="26">
        <f t="shared" si="9"/>
        <v>10850.694444444445</v>
      </c>
      <c r="T30" s="26">
        <f t="shared" si="14"/>
        <v>147.96401515151516</v>
      </c>
      <c r="U30" s="26">
        <f t="shared" si="15"/>
        <v>49913.194444444445</v>
      </c>
    </row>
    <row r="31" spans="10:21" x14ac:dyDescent="0.25">
      <c r="K31" s="2">
        <v>10</v>
      </c>
      <c r="L31" s="2">
        <f t="shared" si="10"/>
        <v>300</v>
      </c>
      <c r="M31" s="2">
        <f t="shared" si="11"/>
        <v>300</v>
      </c>
      <c r="N31" s="2">
        <f t="shared" si="10"/>
        <v>300</v>
      </c>
      <c r="O31" s="2">
        <f t="shared" ref="O31:O40" si="16">O30</f>
        <v>660</v>
      </c>
      <c r="P31" s="2">
        <f t="shared" si="10"/>
        <v>10</v>
      </c>
      <c r="Q31" s="2">
        <f t="shared" si="10"/>
        <v>300</v>
      </c>
      <c r="R31" s="26">
        <f t="shared" si="13"/>
        <v>10850.694444444445</v>
      </c>
      <c r="S31" s="26">
        <f t="shared" si="9"/>
        <v>13020.833333333334</v>
      </c>
      <c r="T31" s="26">
        <f t="shared" si="14"/>
        <v>197.28535353535352</v>
      </c>
      <c r="U31" s="26">
        <f t="shared" si="15"/>
        <v>62934.027777777781</v>
      </c>
    </row>
    <row r="32" spans="10:21" x14ac:dyDescent="0.25">
      <c r="K32" s="2">
        <f t="shared" ref="K32:Q36" si="17">K31</f>
        <v>10</v>
      </c>
      <c r="L32" s="2">
        <f t="shared" si="17"/>
        <v>300</v>
      </c>
      <c r="M32" s="2">
        <f t="shared" si="11"/>
        <v>300</v>
      </c>
      <c r="N32" s="2">
        <f t="shared" ref="N32:N40" si="18">N31</f>
        <v>300</v>
      </c>
      <c r="O32" s="2">
        <f t="shared" si="16"/>
        <v>660</v>
      </c>
      <c r="P32" s="2">
        <f t="shared" si="17"/>
        <v>10</v>
      </c>
      <c r="Q32" s="2">
        <f>Q31</f>
        <v>300</v>
      </c>
      <c r="R32" s="26">
        <f t="shared" si="13"/>
        <v>13020.833333333334</v>
      </c>
      <c r="S32" s="26">
        <f t="shared" si="9"/>
        <v>13020.833333333334</v>
      </c>
      <c r="T32" s="26">
        <f t="shared" si="14"/>
        <v>197.28535353535352</v>
      </c>
      <c r="U32" s="26">
        <f t="shared" si="15"/>
        <v>75954.861111111109</v>
      </c>
    </row>
    <row r="33" spans="11:22" x14ac:dyDescent="0.25">
      <c r="K33" s="2">
        <f t="shared" si="17"/>
        <v>10</v>
      </c>
      <c r="L33" s="2">
        <f t="shared" si="17"/>
        <v>300</v>
      </c>
      <c r="M33" s="2">
        <f t="shared" si="11"/>
        <v>300</v>
      </c>
      <c r="N33" s="2">
        <f t="shared" si="18"/>
        <v>300</v>
      </c>
      <c r="O33" s="2">
        <f t="shared" si="16"/>
        <v>660</v>
      </c>
      <c r="P33" s="2">
        <f t="shared" si="17"/>
        <v>10</v>
      </c>
      <c r="Q33" s="2">
        <f t="shared" si="17"/>
        <v>300</v>
      </c>
      <c r="R33" s="26">
        <f t="shared" si="13"/>
        <v>13020.833333333334</v>
      </c>
      <c r="S33" s="26">
        <f t="shared" ref="S33" si="19">R34</f>
        <v>13020.833333333334</v>
      </c>
      <c r="T33" s="26">
        <f t="shared" si="14"/>
        <v>197.28535353535352</v>
      </c>
      <c r="U33" s="26">
        <f t="shared" si="15"/>
        <v>88975.694444444438</v>
      </c>
    </row>
    <row r="34" spans="11:22" x14ac:dyDescent="0.25">
      <c r="K34" s="2">
        <f t="shared" si="17"/>
        <v>10</v>
      </c>
      <c r="L34" s="2">
        <f t="shared" si="17"/>
        <v>300</v>
      </c>
      <c r="M34" s="2">
        <f t="shared" si="11"/>
        <v>300</v>
      </c>
      <c r="N34" s="2">
        <f t="shared" si="18"/>
        <v>300</v>
      </c>
      <c r="O34" s="2">
        <f t="shared" si="16"/>
        <v>660</v>
      </c>
      <c r="P34" s="2">
        <f t="shared" si="17"/>
        <v>10</v>
      </c>
      <c r="Q34" s="2">
        <f t="shared" si="17"/>
        <v>300</v>
      </c>
      <c r="R34" s="26">
        <f t="shared" si="13"/>
        <v>13020.833333333334</v>
      </c>
      <c r="S34" s="26">
        <f>I2-SUM(S21:S33)</f>
        <v>11024.305555555562</v>
      </c>
      <c r="T34" s="26">
        <f t="shared" ref="T34" si="20">S34/O34*P34</f>
        <v>167.03493265993276</v>
      </c>
      <c r="U34" s="26">
        <f t="shared" ref="U34" si="21">U33+S34</f>
        <v>100000</v>
      </c>
    </row>
    <row r="35" spans="11:22" x14ac:dyDescent="0.25">
      <c r="K35" s="2">
        <f t="shared" si="17"/>
        <v>10</v>
      </c>
      <c r="L35" s="2">
        <f t="shared" si="17"/>
        <v>300</v>
      </c>
      <c r="M35" s="2">
        <f t="shared" si="11"/>
        <v>300</v>
      </c>
      <c r="N35" s="2">
        <f t="shared" si="18"/>
        <v>300</v>
      </c>
      <c r="O35" s="2">
        <f t="shared" si="16"/>
        <v>660</v>
      </c>
      <c r="P35" s="2">
        <f t="shared" si="17"/>
        <v>10</v>
      </c>
      <c r="Q35" s="2">
        <f t="shared" si="17"/>
        <v>300</v>
      </c>
      <c r="R35" s="26">
        <f t="shared" si="13"/>
        <v>13020.833333333334</v>
      </c>
      <c r="S35" s="26"/>
      <c r="T35" s="26"/>
      <c r="U35" s="26"/>
    </row>
    <row r="36" spans="11:22" x14ac:dyDescent="0.25">
      <c r="K36" s="2">
        <f t="shared" si="17"/>
        <v>10</v>
      </c>
      <c r="L36" s="2">
        <f t="shared" si="17"/>
        <v>300</v>
      </c>
      <c r="M36" s="2">
        <f t="shared" si="11"/>
        <v>300</v>
      </c>
      <c r="N36" s="2">
        <f t="shared" si="18"/>
        <v>300</v>
      </c>
      <c r="O36" s="2">
        <f t="shared" si="16"/>
        <v>660</v>
      </c>
      <c r="P36" s="2">
        <f t="shared" si="17"/>
        <v>10</v>
      </c>
      <c r="Q36" s="2">
        <f t="shared" si="17"/>
        <v>300</v>
      </c>
      <c r="R36" s="26">
        <f t="shared" si="13"/>
        <v>13020.833333333334</v>
      </c>
      <c r="S36" s="26"/>
      <c r="T36" s="26"/>
      <c r="U36" s="26"/>
    </row>
    <row r="37" spans="11:22" x14ac:dyDescent="0.25">
      <c r="K37" s="2">
        <f t="shared" ref="K37:L39" si="22">K36</f>
        <v>10</v>
      </c>
      <c r="L37" s="2">
        <f t="shared" si="22"/>
        <v>300</v>
      </c>
      <c r="M37" s="2">
        <f t="shared" ref="M37:M38" si="23">L37</f>
        <v>300</v>
      </c>
      <c r="N37" s="2">
        <f t="shared" si="18"/>
        <v>300</v>
      </c>
      <c r="O37" s="2">
        <f t="shared" si="16"/>
        <v>660</v>
      </c>
      <c r="P37" s="2">
        <f t="shared" ref="P37:Q39" si="24">P36</f>
        <v>10</v>
      </c>
      <c r="Q37" s="2">
        <f t="shared" si="24"/>
        <v>300</v>
      </c>
      <c r="R37" s="26">
        <f t="shared" si="13"/>
        <v>13020.833333333334</v>
      </c>
      <c r="S37" s="26"/>
      <c r="T37" s="26"/>
      <c r="U37" s="26"/>
    </row>
    <row r="38" spans="11:22" x14ac:dyDescent="0.25">
      <c r="K38" s="2">
        <f t="shared" ref="K38:L40" si="25">K37</f>
        <v>10</v>
      </c>
      <c r="L38" s="2">
        <f t="shared" si="25"/>
        <v>300</v>
      </c>
      <c r="M38" s="2">
        <f t="shared" si="23"/>
        <v>300</v>
      </c>
      <c r="N38" s="2">
        <f t="shared" si="18"/>
        <v>300</v>
      </c>
      <c r="O38" s="2">
        <f t="shared" si="16"/>
        <v>660</v>
      </c>
      <c r="P38" s="2">
        <f t="shared" ref="P38:Q40" si="26">P37</f>
        <v>10</v>
      </c>
      <c r="Q38" s="2">
        <f t="shared" si="26"/>
        <v>300</v>
      </c>
      <c r="R38" s="26">
        <f t="shared" si="13"/>
        <v>13020.833333333334</v>
      </c>
      <c r="S38" s="26"/>
      <c r="T38" s="26"/>
      <c r="U38" s="26"/>
    </row>
    <row r="39" spans="11:22" x14ac:dyDescent="0.25">
      <c r="K39" s="2">
        <f t="shared" si="22"/>
        <v>10</v>
      </c>
      <c r="L39" s="2">
        <f t="shared" si="22"/>
        <v>300</v>
      </c>
      <c r="M39" s="2">
        <f t="shared" ref="M39:M40" si="27">L39</f>
        <v>300</v>
      </c>
      <c r="N39" s="2">
        <f t="shared" si="18"/>
        <v>300</v>
      </c>
      <c r="O39" s="2">
        <f t="shared" si="16"/>
        <v>660</v>
      </c>
      <c r="P39" s="2">
        <f t="shared" si="24"/>
        <v>10</v>
      </c>
      <c r="Q39" s="2">
        <f t="shared" si="24"/>
        <v>300</v>
      </c>
      <c r="R39" s="26">
        <f t="shared" si="13"/>
        <v>13020.833333333334</v>
      </c>
      <c r="S39" s="26"/>
      <c r="T39" s="26"/>
      <c r="U39" s="26"/>
    </row>
    <row r="40" spans="11:22" x14ac:dyDescent="0.25">
      <c r="K40" s="2">
        <f t="shared" si="25"/>
        <v>10</v>
      </c>
      <c r="L40" s="2">
        <f t="shared" si="25"/>
        <v>300</v>
      </c>
      <c r="M40" s="2">
        <f t="shared" si="27"/>
        <v>300</v>
      </c>
      <c r="N40" s="2">
        <f t="shared" si="18"/>
        <v>300</v>
      </c>
      <c r="O40" s="2">
        <f t="shared" si="16"/>
        <v>660</v>
      </c>
      <c r="P40" s="2">
        <f t="shared" si="26"/>
        <v>10</v>
      </c>
      <c r="Q40" s="2">
        <f t="shared" si="26"/>
        <v>300</v>
      </c>
      <c r="R40" s="26">
        <f t="shared" si="13"/>
        <v>13020.833333333334</v>
      </c>
    </row>
    <row r="42" spans="11:22" x14ac:dyDescent="0.25">
      <c r="S42" s="28" t="s">
        <v>1990</v>
      </c>
      <c r="T42" s="29">
        <f>SUM(T21:T39)</f>
        <v>1230.4029882154884</v>
      </c>
      <c r="U42" s="2">
        <f t="shared" ref="U42" si="28">T42/4</f>
        <v>307.60074705387211</v>
      </c>
    </row>
    <row r="43" spans="11:22" x14ac:dyDescent="0.35">
      <c r="S43" s="30" t="s">
        <v>1994</v>
      </c>
      <c r="T43" s="25">
        <f>SUM(N21:N32)</f>
        <v>1750</v>
      </c>
      <c r="U43" s="2">
        <f>T43/4+N33</f>
        <v>737.5</v>
      </c>
      <c r="V43" s="34" t="s">
        <v>1995</v>
      </c>
    </row>
    <row r="44" spans="11:22" x14ac:dyDescent="0.25">
      <c r="S44" s="30" t="s">
        <v>1971</v>
      </c>
      <c r="T44" s="25">
        <f>Q37</f>
        <v>300</v>
      </c>
      <c r="U44" s="2">
        <f>T44</f>
        <v>300</v>
      </c>
    </row>
    <row r="45" spans="11:22" x14ac:dyDescent="0.45">
      <c r="S45" s="31" t="s">
        <v>1992</v>
      </c>
      <c r="T45" s="32">
        <f>SUM(T42:T44)</f>
        <v>3280.4029882154882</v>
      </c>
      <c r="U45" s="2">
        <f>SUM(U42:U44)</f>
        <v>1345.1007470538721</v>
      </c>
      <c r="V45" s="35">
        <f>U45/T16</f>
        <v>1.0000811637512907</v>
      </c>
    </row>
    <row r="52" spans="18:18" x14ac:dyDescent="0.25">
      <c r="R52" s="26"/>
    </row>
  </sheetData>
  <phoneticPr fontId="57" type="noConversion"/>
  <conditionalFormatting sqref="U2">
    <cfRule type="containsText" dxfId="39" priority="5" operator="containsText" text=" ">
      <formula>NOT(ISERROR(SEARCH(" ",U2)))</formula>
    </cfRule>
  </conditionalFormatting>
  <conditionalFormatting sqref="B5:G5">
    <cfRule type="containsText" dxfId="38" priority="1" operator="containsText" text=" ">
      <formula>NOT(ISERROR(SEARCH(" ",B5)))</formula>
    </cfRule>
  </conditionalFormatting>
  <conditionalFormatting sqref="M21:M40">
    <cfRule type="containsText" dxfId="37" priority="2" operator="containsText" text=" ">
      <formula>NOT(ISERROR(SEARCH(" ",M21)))</formula>
    </cfRule>
  </conditionalFormatting>
  <conditionalFormatting sqref="N21:N31">
    <cfRule type="containsText" dxfId="36" priority="3" operator="containsText" text=" ">
      <formula>NOT(ISERROR(SEARCH(" ",N21)))</formula>
    </cfRule>
  </conditionalFormatting>
  <conditionalFormatting sqref="U3:U16">
    <cfRule type="containsText" dxfId="35" priority="4" operator="containsText" text=" ">
      <formula>NOT(ISERROR(SEARCH(" ",U3)))</formula>
    </cfRule>
  </conditionalFormatting>
  <conditionalFormatting sqref="I5:J6 I37:I52">
    <cfRule type="containsText" dxfId="34" priority="8" operator="containsText" text=" ">
      <formula>NOT(ISERROR(SEARCH(" ",I5)))</formula>
    </cfRule>
  </conditionalFormatting>
  <conditionalFormatting sqref="B6:D15">
    <cfRule type="containsText" dxfId="33" priority="9" operator="containsText" text=" ">
      <formula>NOT(ISERROR(SEARCH(" ",B6)))</formula>
    </cfRule>
  </conditionalFormatting>
  <conditionalFormatting sqref="I7:J8 I9:I36 S13:T16 J20:J40 J52:N52 I53:N1048576 S42:U45 K24:K26 K29:K31 L32:L40 N32:N40 U20:U39">
    <cfRule type="containsText" dxfId="32" priority="7" operator="containsText" text=" ">
      <formula>NOT(ISERROR(SEARCH(" ",I7)))</formula>
    </cfRule>
  </conditionalFormatting>
  <conditionalFormatting sqref="A9:A15 O52:P1048576 Q52:R52 Q53:U1048576 O31 O32:P40">
    <cfRule type="containsText" dxfId="31" priority="10" operator="containsText" text=" ">
      <formula>NOT(ISERROR(SEARCH(" ",A9)))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AA26"/>
  <sheetViews>
    <sheetView workbookViewId="0">
      <selection activeCell="O27" sqref="O27"/>
    </sheetView>
  </sheetViews>
  <sheetFormatPr defaultColWidth="9" defaultRowHeight="16.5" x14ac:dyDescent="0.45"/>
  <cols>
    <col min="1" max="1" width="8.1796875" style="1" customWidth="1"/>
    <col min="2" max="2" width="9" style="1"/>
    <col min="3" max="3" width="29" style="1" customWidth="1"/>
    <col min="4" max="4" width="11.1796875" style="1" customWidth="1"/>
    <col min="5" max="5" width="9" style="1"/>
    <col min="6" max="6" width="9" style="2" customWidth="1"/>
    <col min="7" max="7" width="7.453125" style="2" customWidth="1"/>
    <col min="8" max="8" width="6.1796875" style="2" customWidth="1"/>
    <col min="9" max="9" width="6.453125" style="2" customWidth="1"/>
    <col min="10" max="10" width="9" style="2"/>
    <col min="11" max="12" width="7.453125" style="2" customWidth="1"/>
    <col min="13" max="13" width="5.90625" style="2" customWidth="1"/>
    <col min="14" max="14" width="4.453125" style="2" customWidth="1"/>
    <col min="15" max="15" width="9" style="2"/>
    <col min="16" max="16" width="9.36328125" style="2" customWidth="1"/>
    <col min="17" max="17" width="7.453125" style="2" customWidth="1"/>
    <col min="18" max="18" width="6.1796875" style="2" customWidth="1"/>
    <col min="19" max="19" width="4.453125" style="2" customWidth="1"/>
    <col min="20" max="22" width="9" style="2"/>
    <col min="23" max="23" width="11.6328125" style="2" customWidth="1"/>
    <col min="24" max="27" width="9" style="2"/>
    <col min="28" max="16384" width="9" style="1"/>
  </cols>
  <sheetData>
    <row r="1" spans="1:27" x14ac:dyDescent="0.45">
      <c r="A1" s="3" t="s">
        <v>0</v>
      </c>
      <c r="B1" s="3" t="s">
        <v>0</v>
      </c>
      <c r="C1" s="3" t="s">
        <v>0</v>
      </c>
    </row>
    <row r="2" spans="1:27" x14ac:dyDescent="0.45">
      <c r="A2" s="3" t="s">
        <v>2</v>
      </c>
      <c r="B2" s="3" t="s">
        <v>2</v>
      </c>
      <c r="C2" s="3" t="s">
        <v>5</v>
      </c>
      <c r="F2" s="5" t="s">
        <v>1996</v>
      </c>
      <c r="G2" s="6"/>
      <c r="H2" s="6"/>
      <c r="K2" s="6"/>
      <c r="L2" s="6"/>
      <c r="M2" s="6"/>
      <c r="P2" s="6"/>
      <c r="Q2" s="6"/>
      <c r="R2" s="6"/>
    </row>
    <row r="3" spans="1:27" x14ac:dyDescent="0.45">
      <c r="A3" s="3" t="s">
        <v>1579</v>
      </c>
      <c r="B3" s="3" t="s">
        <v>1997</v>
      </c>
      <c r="C3" s="3" t="s">
        <v>1998</v>
      </c>
      <c r="F3" s="559" t="s">
        <v>1999</v>
      </c>
      <c r="G3" s="559"/>
      <c r="H3" s="559"/>
      <c r="I3" s="559"/>
      <c r="J3" s="559"/>
      <c r="K3" s="560" t="s">
        <v>2000</v>
      </c>
      <c r="L3" s="560"/>
      <c r="M3" s="560"/>
      <c r="N3" s="560"/>
      <c r="O3" s="560"/>
      <c r="P3" s="561" t="s">
        <v>2001</v>
      </c>
      <c r="Q3" s="561"/>
      <c r="R3" s="561"/>
      <c r="S3" s="561"/>
      <c r="T3" s="561"/>
    </row>
    <row r="4" spans="1:27" x14ac:dyDescent="0.45">
      <c r="A4" s="4" t="s">
        <v>2002</v>
      </c>
      <c r="B4" s="4" t="s">
        <v>2003</v>
      </c>
      <c r="C4" s="4" t="s">
        <v>2004</v>
      </c>
      <c r="F4" s="7" t="s">
        <v>1562</v>
      </c>
      <c r="G4" s="7" t="s">
        <v>1563</v>
      </c>
      <c r="H4" s="7" t="s">
        <v>1482</v>
      </c>
      <c r="I4" s="7" t="s">
        <v>1564</v>
      </c>
      <c r="J4" s="7" t="s">
        <v>1727</v>
      </c>
      <c r="K4" s="7" t="s">
        <v>1562</v>
      </c>
      <c r="L4" s="7" t="s">
        <v>1563</v>
      </c>
      <c r="M4" s="7" t="s">
        <v>1482</v>
      </c>
      <c r="N4" s="7" t="s">
        <v>1564</v>
      </c>
      <c r="O4" s="7" t="s">
        <v>1727</v>
      </c>
      <c r="P4" s="7" t="s">
        <v>1562</v>
      </c>
      <c r="Q4" s="7" t="s">
        <v>1563</v>
      </c>
      <c r="R4" s="7" t="s">
        <v>1482</v>
      </c>
      <c r="S4" s="7" t="s">
        <v>1564</v>
      </c>
      <c r="T4" s="7" t="s">
        <v>1727</v>
      </c>
      <c r="U4" s="10"/>
      <c r="V4" s="10"/>
      <c r="W4" s="2">
        <f>'抽奖|MoonBless'!DN4</f>
        <v>0</v>
      </c>
      <c r="X4" s="9" t="str">
        <f>'抽奖|MoonBless'!DO4</f>
        <v>人民币价值</v>
      </c>
      <c r="Y4" s="9" t="str">
        <f>'抽奖|MoonBless'!DP4</f>
        <v>价值
钻石价值</v>
      </c>
      <c r="Z4" s="9" t="str">
        <f>'抽奖|MoonBless'!DQ4</f>
        <v>物品类型</v>
      </c>
      <c r="AA4" s="2" t="str">
        <f>'抽奖|MoonBless'!DR4</f>
        <v>id</v>
      </c>
    </row>
    <row r="5" spans="1:27" x14ac:dyDescent="0.45">
      <c r="A5" s="1">
        <v>1</v>
      </c>
      <c r="B5" s="1">
        <v>10</v>
      </c>
      <c r="C5" s="2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8" t="s">
        <v>103</v>
      </c>
      <c r="G5" s="9">
        <f>VLOOKUP(F5,W:AA,4,0)</f>
        <v>1</v>
      </c>
      <c r="H5" s="9">
        <f>VLOOKUP(F5,W:AA,5,0)</f>
        <v>2</v>
      </c>
      <c r="I5" s="8">
        <v>20000</v>
      </c>
      <c r="J5" s="9">
        <f>VLOOKUP(F5,W:AA,2,0)*I5</f>
        <v>0.1</v>
      </c>
      <c r="K5" s="8" t="s">
        <v>738</v>
      </c>
      <c r="L5" s="9">
        <f>VLOOKUP(K5,W:AA,4,0)</f>
        <v>1</v>
      </c>
      <c r="M5" s="9">
        <f>VLOOKUP(K5,W:AA,5,0)</f>
        <v>1</v>
      </c>
      <c r="N5" s="8">
        <v>20</v>
      </c>
      <c r="O5" s="9">
        <f>VLOOKUP(K5,W:AA,2,0)*N5</f>
        <v>2</v>
      </c>
      <c r="P5" s="8" t="s">
        <v>756</v>
      </c>
      <c r="Q5" s="9">
        <f>VLOOKUP(P5,W:AA,4,0)</f>
        <v>2</v>
      </c>
      <c r="R5" s="9">
        <f>VLOOKUP(P5,W:AA,5,0)</f>
        <v>1001</v>
      </c>
      <c r="S5" s="8">
        <v>10</v>
      </c>
      <c r="T5" s="9">
        <f>VLOOKUP(P5,W:AA,2,0)*S5</f>
        <v>2</v>
      </c>
      <c r="W5" s="2" t="str">
        <f>'抽奖|MoonBless'!DN5</f>
        <v>人民币</v>
      </c>
      <c r="X5" s="2">
        <f>'抽奖|MoonBless'!DO5</f>
        <v>1</v>
      </c>
      <c r="Y5" s="2">
        <f>'抽奖|MoonBless'!DP5</f>
        <v>10</v>
      </c>
      <c r="Z5" s="2">
        <f>'抽奖|MoonBless'!DQ5</f>
        <v>1</v>
      </c>
      <c r="AA5" s="2">
        <f>'抽奖|MoonBless'!DR5</f>
        <v>0</v>
      </c>
    </row>
    <row r="6" spans="1:27" x14ac:dyDescent="0.45">
      <c r="A6" s="1">
        <v>2</v>
      </c>
      <c r="B6" s="1">
        <v>30</v>
      </c>
      <c r="C6" s="2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8" t="s">
        <v>1493</v>
      </c>
      <c r="G6" s="9">
        <f>VLOOKUP(F6,W:AA,4,0)</f>
        <v>2</v>
      </c>
      <c r="H6" s="9">
        <f>VLOOKUP(F6,W:AA,5,0)</f>
        <v>1005</v>
      </c>
      <c r="I6" s="8">
        <v>1</v>
      </c>
      <c r="J6" s="9">
        <f>VLOOKUP(F6,W:AA,2,0)*I6</f>
        <v>5</v>
      </c>
      <c r="K6" s="8" t="s">
        <v>738</v>
      </c>
      <c r="L6" s="9">
        <f>VLOOKUP(K6,W:AA,4,0)</f>
        <v>1</v>
      </c>
      <c r="M6" s="9">
        <f>VLOOKUP(K6,W:AA,5,0)</f>
        <v>1</v>
      </c>
      <c r="N6" s="8">
        <v>50</v>
      </c>
      <c r="O6" s="9">
        <f>VLOOKUP(K6,W:AA,2,0)*N6</f>
        <v>5</v>
      </c>
      <c r="P6" s="8" t="s">
        <v>756</v>
      </c>
      <c r="Q6" s="9">
        <f>VLOOKUP(P6,W:AA,4,0)</f>
        <v>2</v>
      </c>
      <c r="R6" s="9">
        <f>VLOOKUP(P6,W:AA,5,0)</f>
        <v>1001</v>
      </c>
      <c r="S6" s="8">
        <v>30</v>
      </c>
      <c r="T6" s="9">
        <f>VLOOKUP(P6,W:AA,2,0)*S6</f>
        <v>6</v>
      </c>
      <c r="W6" s="2" t="str">
        <f>'抽奖|MoonBless'!DN6</f>
        <v>钻石</v>
      </c>
      <c r="X6" s="2">
        <f>'抽奖|MoonBless'!DO6</f>
        <v>0.1</v>
      </c>
      <c r="Y6" s="2">
        <f>'抽奖|MoonBless'!DP6</f>
        <v>1</v>
      </c>
      <c r="Z6" s="2">
        <f>'抽奖|MoonBless'!DQ6</f>
        <v>1</v>
      </c>
      <c r="AA6" s="2">
        <f>'抽奖|MoonBless'!DR6</f>
        <v>1</v>
      </c>
    </row>
    <row r="7" spans="1:27" x14ac:dyDescent="0.45">
      <c r="A7" s="1">
        <v>3</v>
      </c>
      <c r="B7" s="1">
        <v>100</v>
      </c>
      <c r="C7" s="2" t="str">
        <f t="shared" si="0"/>
        <v>2|1005|1,1|1|200,2|1001|50</v>
      </c>
      <c r="F7" s="8" t="s">
        <v>1493</v>
      </c>
      <c r="G7" s="9">
        <f>VLOOKUP(F7,W:AA,4,0)</f>
        <v>2</v>
      </c>
      <c r="H7" s="9">
        <f>VLOOKUP(F7,W:AA,5,0)</f>
        <v>1005</v>
      </c>
      <c r="I7" s="8">
        <v>1</v>
      </c>
      <c r="J7" s="9">
        <f>VLOOKUP(F7,W:AA,2,0)*I7</f>
        <v>5</v>
      </c>
      <c r="K7" s="8" t="s">
        <v>738</v>
      </c>
      <c r="L7" s="9">
        <f>VLOOKUP(K7,W:AA,4,0)</f>
        <v>1</v>
      </c>
      <c r="M7" s="9">
        <f>VLOOKUP(K7,W:AA,5,0)</f>
        <v>1</v>
      </c>
      <c r="N7" s="8">
        <v>200</v>
      </c>
      <c r="O7" s="9">
        <f>VLOOKUP(K7,W:AA,2,0)*N7</f>
        <v>20</v>
      </c>
      <c r="P7" s="8" t="s">
        <v>756</v>
      </c>
      <c r="Q7" s="9">
        <f>VLOOKUP(P7,W:AA,4,0)</f>
        <v>2</v>
      </c>
      <c r="R7" s="9">
        <f>VLOOKUP(P7,W:AA,5,0)</f>
        <v>1001</v>
      </c>
      <c r="S7" s="8">
        <v>50</v>
      </c>
      <c r="T7" s="9">
        <f>VLOOKUP(P7,W:AA,2,0)*S7</f>
        <v>10</v>
      </c>
      <c r="W7" s="2" t="str">
        <f>'抽奖|MoonBless'!DN7</f>
        <v>金币</v>
      </c>
      <c r="X7" s="2">
        <f>'抽奖|MoonBless'!DO7</f>
        <v>5.0000000000000004E-6</v>
      </c>
      <c r="Y7" s="2">
        <f>'抽奖|MoonBless'!DP7</f>
        <v>5.0000000000000002E-5</v>
      </c>
      <c r="Z7" s="2">
        <f>'抽奖|MoonBless'!DQ7</f>
        <v>1</v>
      </c>
      <c r="AA7" s="2">
        <f>'抽奖|MoonBless'!DR7</f>
        <v>2</v>
      </c>
    </row>
    <row r="8" spans="1:27" x14ac:dyDescent="0.45">
      <c r="W8" s="2" t="str">
        <f>'抽奖|MoonBless'!DN8</f>
        <v>锁定</v>
      </c>
      <c r="X8" s="2">
        <f>'抽奖|MoonBless'!DO8</f>
        <v>0.2</v>
      </c>
      <c r="Y8" s="2">
        <f>'抽奖|MoonBless'!DP8</f>
        <v>2</v>
      </c>
      <c r="Z8" s="2">
        <f>'抽奖|MoonBless'!DQ8</f>
        <v>2</v>
      </c>
      <c r="AA8" s="2">
        <f>'抽奖|MoonBless'!DR8</f>
        <v>1001</v>
      </c>
    </row>
    <row r="9" spans="1:27" x14ac:dyDescent="0.45">
      <c r="W9" s="2" t="str">
        <f>'抽奖|MoonBless'!DN9</f>
        <v>冰冻</v>
      </c>
      <c r="X9" s="2">
        <f>'抽奖|MoonBless'!DO9</f>
        <v>0.5</v>
      </c>
      <c r="Y9" s="2">
        <f>'抽奖|MoonBless'!DP9</f>
        <v>5</v>
      </c>
      <c r="Z9" s="2">
        <f>'抽奖|MoonBless'!DQ9</f>
        <v>2</v>
      </c>
      <c r="AA9" s="2">
        <f>'抽奖|MoonBless'!DR9</f>
        <v>1002</v>
      </c>
    </row>
    <row r="10" spans="1:27" x14ac:dyDescent="0.45">
      <c r="W10" s="2" t="str">
        <f>'抽奖|MoonBless'!DN10</f>
        <v>狂暴</v>
      </c>
      <c r="X10" s="2">
        <f>'抽奖|MoonBless'!DO10</f>
        <v>2</v>
      </c>
      <c r="Y10" s="2">
        <f>'抽奖|MoonBless'!DP10</f>
        <v>20</v>
      </c>
      <c r="Z10" s="2">
        <f>'抽奖|MoonBless'!DQ10</f>
        <v>2</v>
      </c>
      <c r="AA10" s="2">
        <f>'抽奖|MoonBless'!DR10</f>
        <v>1003</v>
      </c>
    </row>
    <row r="11" spans="1:27" x14ac:dyDescent="0.45">
      <c r="W11" s="2" t="str">
        <f>'抽奖|MoonBless'!DN11</f>
        <v>召唤</v>
      </c>
      <c r="X11" s="2">
        <f>'抽奖|MoonBless'!DO11</f>
        <v>0.2</v>
      </c>
      <c r="Y11" s="2">
        <f>'抽奖|MoonBless'!DP11</f>
        <v>2</v>
      </c>
      <c r="Z11" s="2">
        <f>'抽奖|MoonBless'!DQ11</f>
        <v>2</v>
      </c>
      <c r="AA11" s="2">
        <f>'抽奖|MoonBless'!DR11</f>
        <v>1004</v>
      </c>
    </row>
    <row r="12" spans="1:27" x14ac:dyDescent="0.45">
      <c r="W12" s="2" t="str">
        <f>'抽奖|MoonBless'!DN12</f>
        <v>福卡</v>
      </c>
      <c r="X12" s="2">
        <f>'抽奖|MoonBless'!DO12</f>
        <v>2.5000000000000001E-3</v>
      </c>
      <c r="Y12" s="2">
        <f>'抽奖|MoonBless'!DP12</f>
        <v>2.5000000000000001E-2</v>
      </c>
      <c r="Z12" s="2">
        <f>'抽奖|MoonBless'!DQ12</f>
        <v>2</v>
      </c>
      <c r="AA12" s="2">
        <f>'抽奖|MoonBless'!DR12</f>
        <v>1204</v>
      </c>
    </row>
    <row r="13" spans="1:27" x14ac:dyDescent="0.45">
      <c r="W13" s="2" t="str">
        <f>'抽奖|MoonBless'!DN13</f>
        <v>超级武器1</v>
      </c>
      <c r="X13" s="2">
        <f>'抽奖|MoonBless'!DO13</f>
        <v>5</v>
      </c>
      <c r="Y13" s="2">
        <f>'抽奖|MoonBless'!DP13</f>
        <v>50</v>
      </c>
      <c r="Z13" s="2">
        <f>'抽奖|MoonBless'!DQ13</f>
        <v>2</v>
      </c>
      <c r="AA13" s="2">
        <f>'抽奖|MoonBless'!DR13</f>
        <v>1005</v>
      </c>
    </row>
    <row r="14" spans="1:27" x14ac:dyDescent="0.45">
      <c r="W14" s="2" t="str">
        <f>'抽奖|MoonBless'!DN14</f>
        <v>超级武器2</v>
      </c>
      <c r="X14" s="2">
        <f>'抽奖|MoonBless'!DO14</f>
        <v>10</v>
      </c>
      <c r="Y14" s="2">
        <f>'抽奖|MoonBless'!DP14</f>
        <v>100</v>
      </c>
      <c r="Z14" s="2">
        <f>'抽奖|MoonBless'!DQ14</f>
        <v>2</v>
      </c>
      <c r="AA14" s="2">
        <f>'抽奖|MoonBless'!DR14</f>
        <v>1006</v>
      </c>
    </row>
    <row r="15" spans="1:27" x14ac:dyDescent="0.45">
      <c r="W15" s="2" t="str">
        <f>'抽奖|MoonBless'!DN15</f>
        <v>超级武器3</v>
      </c>
      <c r="X15" s="2">
        <f>'抽奖|MoonBless'!DO15</f>
        <v>25</v>
      </c>
      <c r="Y15" s="2">
        <f>'抽奖|MoonBless'!DP15</f>
        <v>250</v>
      </c>
      <c r="Z15" s="2">
        <f>'抽奖|MoonBless'!DQ15</f>
        <v>2</v>
      </c>
      <c r="AA15" s="2">
        <f>'抽奖|MoonBless'!DR15</f>
        <v>1007</v>
      </c>
    </row>
    <row r="16" spans="1:27" x14ac:dyDescent="0.45">
      <c r="W16" s="2" t="str">
        <f>'抽奖|MoonBless'!DN16</f>
        <v>超级武器4</v>
      </c>
      <c r="X16" s="2">
        <f>'抽奖|MoonBless'!DO16</f>
        <v>50</v>
      </c>
      <c r="Y16" s="2">
        <f>'抽奖|MoonBless'!DP16</f>
        <v>500</v>
      </c>
      <c r="Z16" s="2">
        <f>'抽奖|MoonBless'!DQ16</f>
        <v>2</v>
      </c>
      <c r="AA16" s="2">
        <f>'抽奖|MoonBless'!DR16</f>
        <v>1008</v>
      </c>
    </row>
    <row r="17" spans="23:27" x14ac:dyDescent="0.45">
      <c r="W17" s="2" t="str">
        <f>'抽奖|MoonBless'!DN17</f>
        <v>5元话费卡</v>
      </c>
      <c r="X17" s="2">
        <f>'抽奖|MoonBless'!DO17</f>
        <v>5</v>
      </c>
      <c r="Y17" s="2">
        <f>'抽奖|MoonBless'!DP17</f>
        <v>50</v>
      </c>
      <c r="Z17" s="2">
        <f>'抽奖|MoonBless'!DQ17</f>
        <v>2</v>
      </c>
      <c r="AA17" s="2">
        <f>'抽奖|MoonBless'!DR17</f>
        <v>1206</v>
      </c>
    </row>
    <row r="18" spans="23:27" x14ac:dyDescent="0.45">
      <c r="W18" s="2" t="str">
        <f>'抽奖|MoonBless'!DN18</f>
        <v>2元话费卡</v>
      </c>
      <c r="X18" s="2">
        <f>'抽奖|MoonBless'!DO18</f>
        <v>2</v>
      </c>
      <c r="Y18" s="2">
        <f>'抽奖|MoonBless'!DP18</f>
        <v>20</v>
      </c>
      <c r="Z18" s="2">
        <f>'抽奖|MoonBless'!DQ18</f>
        <v>2</v>
      </c>
      <c r="AA18" s="2">
        <f>'抽奖|MoonBless'!DR18</f>
        <v>1205</v>
      </c>
    </row>
    <row r="19" spans="23:27" x14ac:dyDescent="0.45">
      <c r="W19" s="2" t="str">
        <f>'抽奖|MoonBless'!DN19</f>
        <v>高压锅</v>
      </c>
      <c r="X19" s="2">
        <f>'抽奖|MoonBless'!DO19</f>
        <v>200</v>
      </c>
      <c r="Y19" s="2">
        <f>'抽奖|MoonBless'!DP19</f>
        <v>2000</v>
      </c>
      <c r="Z19" s="2">
        <f>'抽奖|MoonBless'!DQ19</f>
        <v>2</v>
      </c>
      <c r="AA19" s="2">
        <f>'抽奖|MoonBless'!DR19</f>
        <v>1208</v>
      </c>
    </row>
    <row r="20" spans="23:27" x14ac:dyDescent="0.45">
      <c r="W20" s="2" t="str">
        <f>'抽奖|MoonBless'!DN20</f>
        <v>30元话费卡</v>
      </c>
      <c r="X20" s="2">
        <f>'抽奖|MoonBless'!DO20</f>
        <v>30</v>
      </c>
      <c r="Y20" s="2">
        <f>'抽奖|MoonBless'!DP20</f>
        <v>300</v>
      </c>
      <c r="Z20" s="2">
        <f>'抽奖|MoonBless'!DQ20</f>
        <v>2</v>
      </c>
      <c r="AA20" s="2">
        <f>'抽奖|MoonBless'!DR20</f>
        <v>1209</v>
      </c>
    </row>
    <row r="21" spans="23:27" x14ac:dyDescent="0.45">
      <c r="W21" s="2" t="str">
        <f>'抽奖|MoonBless'!DN21</f>
        <v>50元话费卡</v>
      </c>
      <c r="X21" s="2">
        <f>'抽奖|MoonBless'!DO21</f>
        <v>50</v>
      </c>
      <c r="Y21" s="2">
        <f>'抽奖|MoonBless'!DP21</f>
        <v>500</v>
      </c>
      <c r="Z21" s="2">
        <f>'抽奖|MoonBless'!DQ21</f>
        <v>2</v>
      </c>
      <c r="AA21" s="2">
        <f>'抽奖|MoonBless'!DR21</f>
        <v>1210</v>
      </c>
    </row>
    <row r="22" spans="23:27" x14ac:dyDescent="0.45">
      <c r="W22" s="2" t="str">
        <f>'抽奖|MoonBless'!DN22</f>
        <v>活跃度</v>
      </c>
      <c r="X22" s="2">
        <f>'抽奖|MoonBless'!DO22</f>
        <v>1</v>
      </c>
      <c r="Y22" s="2">
        <f>'抽奖|MoonBless'!DP22</f>
        <v>10</v>
      </c>
      <c r="Z22" s="2">
        <f>'抽奖|MoonBless'!DQ22</f>
        <v>1</v>
      </c>
      <c r="AA22" s="2">
        <f>'抽奖|MoonBless'!DR22</f>
        <v>6</v>
      </c>
    </row>
    <row r="23" spans="23:27" x14ac:dyDescent="0.45">
      <c r="W23" s="2" t="str">
        <f>'抽奖|MoonBless'!DN23</f>
        <v>红包【恭】</v>
      </c>
      <c r="X23" s="2">
        <f>'抽奖|MoonBless'!DO23</f>
        <v>1</v>
      </c>
      <c r="Y23" s="2">
        <f>'抽奖|MoonBless'!DP23</f>
        <v>10</v>
      </c>
      <c r="Z23" s="2">
        <f>'抽奖|MoonBless'!DQ23</f>
        <v>2</v>
      </c>
      <c r="AA23" s="2">
        <f>'抽奖|MoonBless'!DR23</f>
        <v>1301</v>
      </c>
    </row>
    <row r="24" spans="23:27" x14ac:dyDescent="0.45">
      <c r="W24" s="2" t="str">
        <f>'抽奖|MoonBless'!DN24</f>
        <v>红包【喜】</v>
      </c>
      <c r="X24" s="2">
        <f>'抽奖|MoonBless'!DO24</f>
        <v>1</v>
      </c>
      <c r="Y24" s="2">
        <f>'抽奖|MoonBless'!DP24</f>
        <v>10</v>
      </c>
      <c r="Z24" s="2">
        <f>'抽奖|MoonBless'!DQ24</f>
        <v>2</v>
      </c>
      <c r="AA24" s="2">
        <f>'抽奖|MoonBless'!DR24</f>
        <v>1302</v>
      </c>
    </row>
    <row r="25" spans="23:27" x14ac:dyDescent="0.45">
      <c r="W25" s="2" t="str">
        <f>'抽奖|MoonBless'!DN25</f>
        <v>红包【发】</v>
      </c>
      <c r="X25" s="2">
        <f>'抽奖|MoonBless'!DO25</f>
        <v>1</v>
      </c>
      <c r="Y25" s="2">
        <f>'抽奖|MoonBless'!DP25</f>
        <v>10</v>
      </c>
      <c r="Z25" s="2">
        <f>'抽奖|MoonBless'!DQ25</f>
        <v>2</v>
      </c>
      <c r="AA25" s="2">
        <f>'抽奖|MoonBless'!DR25</f>
        <v>1303</v>
      </c>
    </row>
    <row r="26" spans="23:27" x14ac:dyDescent="0.45">
      <c r="W26" s="2" t="str">
        <f>'抽奖|MoonBless'!DN26</f>
        <v>红包【财】</v>
      </c>
      <c r="X26" s="2">
        <f>'抽奖|MoonBless'!DO26</f>
        <v>1</v>
      </c>
      <c r="Y26" s="2">
        <f>'抽奖|MoonBless'!DP26</f>
        <v>10</v>
      </c>
      <c r="Z26" s="2">
        <f>'抽奖|MoonBless'!DQ26</f>
        <v>2</v>
      </c>
      <c r="AA26" s="2">
        <f>'抽奖|MoonBless'!DR26</f>
        <v>1304</v>
      </c>
    </row>
  </sheetData>
  <mergeCells count="3">
    <mergeCell ref="F3:J3"/>
    <mergeCell ref="K3:O3"/>
    <mergeCell ref="P3:T3"/>
  </mergeCells>
  <phoneticPr fontId="57" type="noConversion"/>
  <conditionalFormatting sqref="Z12">
    <cfRule type="containsText" dxfId="30" priority="24" operator="containsText" text=" ">
      <formula>NOT(ISERROR(SEARCH(" ",Z12)))</formula>
    </cfRule>
  </conditionalFormatting>
  <conditionalFormatting sqref="W17">
    <cfRule type="containsText" dxfId="29" priority="21" operator="containsText" text=" ">
      <formula>NOT(ISERROR(SEARCH(" ",W17)))</formula>
    </cfRule>
  </conditionalFormatting>
  <conditionalFormatting sqref="W18">
    <cfRule type="containsText" dxfId="28" priority="20" operator="containsText" text=" ">
      <formula>NOT(ISERROR(SEARCH(" ",W18)))</formula>
    </cfRule>
  </conditionalFormatting>
  <conditionalFormatting sqref="Z19">
    <cfRule type="containsText" dxfId="27" priority="19" operator="containsText" text=" ">
      <formula>NOT(ISERROR(SEARCH(" ",Z19)))</formula>
    </cfRule>
  </conditionalFormatting>
  <conditionalFormatting sqref="C5:C7">
    <cfRule type="containsText" dxfId="26" priority="12" operator="containsText" text=" ">
      <formula>NOT(ISERROR(SEARCH(" ",C5)))</formula>
    </cfRule>
  </conditionalFormatting>
  <conditionalFormatting sqref="N6:N7">
    <cfRule type="containsText" dxfId="25" priority="9" operator="containsText" text=" ">
      <formula>NOT(ISERROR(SEARCH(" ",N6)))</formula>
    </cfRule>
  </conditionalFormatting>
  <conditionalFormatting sqref="S6:S7">
    <cfRule type="containsText" dxfId="24" priority="4" operator="containsText" text=" ">
      <formula>NOT(ISERROR(SEARCH(" ",S6)))</formula>
    </cfRule>
  </conditionalFormatting>
  <conditionalFormatting sqref="X8:X11">
    <cfRule type="containsText" dxfId="23" priority="25" operator="containsText" text=" ">
      <formula>NOT(ISERROR(SEARCH(" ",X8)))</formula>
    </cfRule>
  </conditionalFormatting>
  <conditionalFormatting sqref="X13:X16">
    <cfRule type="containsText" dxfId="22" priority="22" operator="containsText" text=" ">
      <formula>NOT(ISERROR(SEARCH(" ",X13)))</formula>
    </cfRule>
  </conditionalFormatting>
  <conditionalFormatting sqref="Z8:Z11">
    <cfRule type="containsText" dxfId="21" priority="26" operator="containsText" text=" ">
      <formula>NOT(ISERROR(SEARCH(" ",Z8)))</formula>
    </cfRule>
  </conditionalFormatting>
  <conditionalFormatting sqref="Z13:Z16">
    <cfRule type="containsText" dxfId="20" priority="23" operator="containsText" text=" ">
      <formula>NOT(ISERROR(SEARCH(" ",Z13)))</formula>
    </cfRule>
  </conditionalFormatting>
  <conditionalFormatting sqref="E1:E11 A8:C11 A12:E1048576 AB1:XFD1048576 A5:B7">
    <cfRule type="containsText" dxfId="19" priority="36" operator="containsText" text=" ">
      <formula>NOT(ISERROR(SEARCH(" ",A1)))</formula>
    </cfRule>
  </conditionalFormatting>
  <conditionalFormatting sqref="F1:J2 F4:J5 J6:J7 F3 U4:V5 U1:W3 F6:H7">
    <cfRule type="containsText" dxfId="18" priority="28" operator="containsText" text=" ">
      <formula>NOT(ISERROR(SEARCH(" ",F1)))</formula>
    </cfRule>
  </conditionalFormatting>
  <conditionalFormatting sqref="K1:O2 K4:O5 K6:M7 O6:O7 K3">
    <cfRule type="containsText" dxfId="17" priority="8" operator="containsText" text=" ">
      <formula>NOT(ISERROR(SEARCH(" ",K1)))</formula>
    </cfRule>
  </conditionalFormatting>
  <conditionalFormatting sqref="P1:T2 T6:T7 P3 P4:T5 P6:R7">
    <cfRule type="containsText" dxfId="16" priority="3" operator="containsText" text=" ">
      <formula>NOT(ISERROR(SEARCH(" ",P1)))</formula>
    </cfRule>
  </conditionalFormatting>
  <conditionalFormatting sqref="Y8:Y11 W5:Z7 W8:W11 W12:Y12 W13:W16 Y13:Y16 X17:Z18 W19:Y19 W4:AA4">
    <cfRule type="containsText" dxfId="15" priority="27" operator="containsText" text=" ">
      <formula>NOT(ISERROR(SEARCH(" ",W4)))</formula>
    </cfRule>
  </conditionalFormatting>
  <conditionalFormatting sqref="AA5 F15:J1048576 AA12:AA19 U12:V19 U20:AA1048576">
    <cfRule type="containsText" dxfId="14" priority="35" operator="containsText" text=" ">
      <formula>NOT(ISERROR(SEARCH(" ",F5)))</formula>
    </cfRule>
  </conditionalFormatting>
  <conditionalFormatting sqref="V7 I6:I7 AA7">
    <cfRule type="containsText" dxfId="13" priority="33" operator="containsText" text=" ">
      <formula>NOT(ISERROR(SEARCH(" ",I6)))</formula>
    </cfRule>
  </conditionalFormatting>
  <conditionalFormatting sqref="U6:V6 U7:U11 AA6">
    <cfRule type="containsText" dxfId="12" priority="34" operator="containsText" text=" ">
      <formula>NOT(ISERROR(SEARCH(" ",U6)))</formula>
    </cfRule>
  </conditionalFormatting>
  <conditionalFormatting sqref="F8:J12">
    <cfRule type="containsText" dxfId="11" priority="11" operator="containsText" text=" ">
      <formula>NOT(ISERROR(SEARCH(" ",F8)))</formula>
    </cfRule>
  </conditionalFormatting>
  <conditionalFormatting sqref="K8:O12">
    <cfRule type="containsText" dxfId="10" priority="6" operator="containsText" text=" ">
      <formula>NOT(ISERROR(SEARCH(" ",K8)))</formula>
    </cfRule>
  </conditionalFormatting>
  <conditionalFormatting sqref="P8:T12">
    <cfRule type="containsText" dxfId="9" priority="1" operator="containsText" text=" ">
      <formula>NOT(ISERROR(SEARCH(" ",P8)))</formula>
    </cfRule>
  </conditionalFormatting>
  <conditionalFormatting sqref="V8 AA8">
    <cfRule type="containsText" dxfId="8" priority="32" operator="containsText" text=" ">
      <formula>NOT(ISERROR(SEARCH(" ",V8)))</formula>
    </cfRule>
  </conditionalFormatting>
  <conditionalFormatting sqref="V9 AA9">
    <cfRule type="containsText" dxfId="7" priority="31" operator="containsText" text=" ">
      <formula>NOT(ISERROR(SEARCH(" ",V9)))</formula>
    </cfRule>
  </conditionalFormatting>
  <conditionalFormatting sqref="V10 AA10">
    <cfRule type="containsText" dxfId="6" priority="30" operator="containsText" text=" ">
      <formula>NOT(ISERROR(SEARCH(" ",V10)))</formula>
    </cfRule>
  </conditionalFormatting>
  <conditionalFormatting sqref="V11 AA11">
    <cfRule type="containsText" dxfId="5" priority="29" operator="containsText" text=" ">
      <formula>NOT(ISERROR(SEARCH(" ",V11)))</formula>
    </cfRule>
  </conditionalFormatting>
  <conditionalFormatting sqref="F13:J14">
    <cfRule type="containsText" dxfId="4" priority="16" operator="containsText" text=" ">
      <formula>NOT(ISERROR(SEARCH(" ",F13)))</formula>
    </cfRule>
  </conditionalFormatting>
  <conditionalFormatting sqref="K13:O14">
    <cfRule type="containsText" dxfId="3" priority="7" operator="containsText" text=" ">
      <formula>NOT(ISERROR(SEARCH(" ",K13)))</formula>
    </cfRule>
  </conditionalFormatting>
  <conditionalFormatting sqref="P13:T14">
    <cfRule type="containsText" dxfId="2" priority="2" operator="containsText" text=" ">
      <formula>NOT(ISERROR(SEARCH(" ",P13)))</formula>
    </cfRule>
  </conditionalFormatting>
  <conditionalFormatting sqref="K15:O1048576">
    <cfRule type="containsText" dxfId="1" priority="10" operator="containsText" text=" ">
      <formula>NOT(ISERROR(SEARCH(" ",K15)))</formula>
    </cfRule>
  </conditionalFormatting>
  <conditionalFormatting sqref="P15:T1048576">
    <cfRule type="containsText" dxfId="0" priority="5" operator="containsText" text=" ">
      <formula>NOT(ISERROR(SEARCH(" ",P15)))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workbookViewId="0">
      <pane ySplit="4" topLeftCell="A5" activePane="bottomLeft" state="frozen"/>
      <selection pane="bottomLeft" activeCell="A31" sqref="A31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16.54296875" style="2" customWidth="1"/>
    <col min="5" max="5" width="14.81640625" style="2" customWidth="1"/>
    <col min="6" max="6" width="26.453125" style="2" customWidth="1"/>
    <col min="7" max="9" width="17.453125" style="2" customWidth="1"/>
    <col min="10" max="10" width="20.453125" style="2" customWidth="1"/>
    <col min="11" max="11" width="11.90625" style="2" customWidth="1"/>
    <col min="12" max="12" width="13.453125" style="2" customWidth="1"/>
    <col min="13" max="13" width="15.90625" style="2" customWidth="1"/>
    <col min="14" max="14" width="10.453125" style="2" customWidth="1"/>
    <col min="15" max="15" width="14.6328125" style="2" customWidth="1"/>
    <col min="16" max="16" width="9" style="2"/>
    <col min="17" max="17" width="14" style="2" customWidth="1"/>
    <col min="18" max="18" width="19.90625" style="2" customWidth="1"/>
    <col min="19" max="19" width="14" style="2" customWidth="1"/>
    <col min="20" max="20" width="11.1796875" style="2" customWidth="1"/>
    <col min="21" max="21" width="12" style="2" customWidth="1"/>
    <col min="22" max="16384" width="9" style="2"/>
  </cols>
  <sheetData>
    <row r="1" spans="1:22" x14ac:dyDescent="0.4">
      <c r="A1" s="3" t="s">
        <v>0</v>
      </c>
      <c r="B1" s="3" t="s">
        <v>691</v>
      </c>
      <c r="C1" s="3" t="s">
        <v>0</v>
      </c>
      <c r="D1" s="448" t="s">
        <v>1</v>
      </c>
      <c r="E1" s="448" t="s">
        <v>1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73" t="s">
        <v>0</v>
      </c>
      <c r="M1" s="73" t="s">
        <v>691</v>
      </c>
      <c r="N1" s="73" t="s">
        <v>0</v>
      </c>
      <c r="O1" s="73" t="s">
        <v>0</v>
      </c>
      <c r="P1" s="75" t="s">
        <v>0</v>
      </c>
      <c r="Q1" s="75" t="s">
        <v>0</v>
      </c>
      <c r="R1" s="77" t="s">
        <v>0</v>
      </c>
      <c r="S1" s="77" t="s">
        <v>0</v>
      </c>
      <c r="T1" s="3" t="s">
        <v>0</v>
      </c>
      <c r="U1" s="3" t="s">
        <v>0</v>
      </c>
    </row>
    <row r="2" spans="1:22" x14ac:dyDescent="0.4">
      <c r="A2" s="3" t="s">
        <v>2</v>
      </c>
      <c r="B2" s="3" t="s">
        <v>4</v>
      </c>
      <c r="C2" s="3" t="s">
        <v>5</v>
      </c>
      <c r="D2" s="448" t="s">
        <v>5</v>
      </c>
      <c r="E2" s="448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5</v>
      </c>
      <c r="L2" s="73" t="s">
        <v>2</v>
      </c>
      <c r="M2" s="73" t="s">
        <v>2</v>
      </c>
      <c r="N2" s="73" t="s">
        <v>2</v>
      </c>
      <c r="O2" s="73" t="s">
        <v>2</v>
      </c>
      <c r="P2" s="75" t="s">
        <v>2</v>
      </c>
      <c r="Q2" s="75" t="s">
        <v>2</v>
      </c>
      <c r="R2" s="77" t="s">
        <v>5</v>
      </c>
      <c r="S2" s="77" t="s">
        <v>2</v>
      </c>
      <c r="T2" s="3" t="s">
        <v>2</v>
      </c>
      <c r="U2" s="3" t="s">
        <v>2</v>
      </c>
      <c r="V2" s="2" t="s">
        <v>692</v>
      </c>
    </row>
    <row r="3" spans="1:22" x14ac:dyDescent="0.4">
      <c r="A3" s="3" t="s">
        <v>693</v>
      </c>
      <c r="B3" s="3" t="s">
        <v>694</v>
      </c>
      <c r="C3" s="3" t="s">
        <v>695</v>
      </c>
      <c r="D3" s="448" t="s">
        <v>696</v>
      </c>
      <c r="E3" s="448" t="s">
        <v>697</v>
      </c>
      <c r="F3" s="3" t="s">
        <v>698</v>
      </c>
      <c r="G3" s="3" t="s">
        <v>699</v>
      </c>
      <c r="H3" s="3" t="s">
        <v>700</v>
      </c>
      <c r="I3" s="3" t="s">
        <v>701</v>
      </c>
      <c r="J3" s="3" t="s">
        <v>702</v>
      </c>
      <c r="K3" s="3" t="s">
        <v>703</v>
      </c>
      <c r="L3" s="73" t="s">
        <v>704</v>
      </c>
      <c r="M3" s="73" t="s">
        <v>705</v>
      </c>
      <c r="N3" s="73" t="s">
        <v>706</v>
      </c>
      <c r="O3" s="73" t="s">
        <v>707</v>
      </c>
      <c r="P3" s="75" t="s">
        <v>708</v>
      </c>
      <c r="Q3" s="75" t="s">
        <v>709</v>
      </c>
      <c r="R3" s="77" t="s">
        <v>710</v>
      </c>
      <c r="S3" s="77" t="s">
        <v>711</v>
      </c>
      <c r="T3" s="3" t="s">
        <v>712</v>
      </c>
      <c r="U3" s="3" t="s">
        <v>713</v>
      </c>
    </row>
    <row r="4" spans="1:22" s="10" customFormat="1" ht="92" x14ac:dyDescent="0.25">
      <c r="A4" s="4" t="s">
        <v>714</v>
      </c>
      <c r="B4" s="72" t="s">
        <v>715</v>
      </c>
      <c r="C4" s="4" t="s">
        <v>716</v>
      </c>
      <c r="D4" s="449" t="s">
        <v>717</v>
      </c>
      <c r="E4" s="449" t="s">
        <v>718</v>
      </c>
      <c r="F4" s="4" t="s">
        <v>719</v>
      </c>
      <c r="G4" s="4" t="s">
        <v>720</v>
      </c>
      <c r="H4" s="4" t="s">
        <v>721</v>
      </c>
      <c r="I4" s="4" t="s">
        <v>722</v>
      </c>
      <c r="J4" s="4" t="s">
        <v>723</v>
      </c>
      <c r="K4" s="72" t="s">
        <v>724</v>
      </c>
      <c r="L4" s="74" t="s">
        <v>725</v>
      </c>
      <c r="M4" s="74" t="s">
        <v>726</v>
      </c>
      <c r="N4" s="74" t="s">
        <v>727</v>
      </c>
      <c r="O4" s="74" t="s">
        <v>728</v>
      </c>
      <c r="P4" s="76" t="s">
        <v>729</v>
      </c>
      <c r="Q4" s="76" t="s">
        <v>730</v>
      </c>
      <c r="R4" s="78" t="s">
        <v>731</v>
      </c>
      <c r="S4" s="78" t="s">
        <v>732</v>
      </c>
      <c r="T4" s="4" t="s">
        <v>733</v>
      </c>
      <c r="U4" s="4" t="s">
        <v>734</v>
      </c>
      <c r="V4" s="6" t="s">
        <v>735</v>
      </c>
    </row>
    <row r="5" spans="1:22" x14ac:dyDescent="0.25">
      <c r="A5" s="2">
        <v>1</v>
      </c>
      <c r="B5" s="2" t="s">
        <v>736</v>
      </c>
      <c r="C5" s="2" t="s">
        <v>737</v>
      </c>
      <c r="D5" s="2" t="s">
        <v>738</v>
      </c>
      <c r="E5" s="2">
        <v>10000</v>
      </c>
      <c r="G5" s="2">
        <v>0</v>
      </c>
      <c r="J5" s="2">
        <v>0</v>
      </c>
      <c r="K5" s="2">
        <v>-1</v>
      </c>
      <c r="L5" s="2">
        <v>-1</v>
      </c>
      <c r="M5" s="2">
        <v>0</v>
      </c>
      <c r="N5" s="2">
        <v>0</v>
      </c>
      <c r="O5" s="2">
        <v>-1</v>
      </c>
      <c r="P5" s="2">
        <v>0</v>
      </c>
      <c r="Q5" s="2">
        <v>-1</v>
      </c>
      <c r="S5" s="2">
        <v>-1</v>
      </c>
      <c r="T5" s="2">
        <v>0</v>
      </c>
      <c r="U5" s="2">
        <v>-1</v>
      </c>
    </row>
    <row r="6" spans="1:22" x14ac:dyDescent="0.25">
      <c r="A6" s="2">
        <v>2</v>
      </c>
      <c r="B6" s="2" t="s">
        <v>739</v>
      </c>
      <c r="C6" s="2" t="s">
        <v>740</v>
      </c>
      <c r="D6" s="2" t="s">
        <v>103</v>
      </c>
      <c r="E6" s="2">
        <v>1</v>
      </c>
      <c r="G6" s="2">
        <v>0</v>
      </c>
      <c r="J6" s="2">
        <v>0</v>
      </c>
      <c r="K6" s="2">
        <v>-1</v>
      </c>
      <c r="L6" s="2">
        <v>-1</v>
      </c>
      <c r="M6" s="2">
        <v>0</v>
      </c>
      <c r="N6" s="2">
        <v>0</v>
      </c>
      <c r="O6" s="2">
        <v>-1</v>
      </c>
      <c r="P6" s="2">
        <v>0</v>
      </c>
      <c r="Q6" s="2">
        <v>-1</v>
      </c>
      <c r="S6" s="2">
        <v>-1</v>
      </c>
      <c r="T6" s="2">
        <v>0</v>
      </c>
      <c r="U6" s="2">
        <v>-1</v>
      </c>
    </row>
    <row r="7" spans="1:22" x14ac:dyDescent="0.25">
      <c r="A7" s="2">
        <v>3</v>
      </c>
      <c r="B7" s="2" t="s">
        <v>741</v>
      </c>
      <c r="C7" s="2" t="s">
        <v>742</v>
      </c>
      <c r="D7" s="2" t="s">
        <v>743</v>
      </c>
      <c r="E7" s="2">
        <v>0</v>
      </c>
      <c r="G7" s="2">
        <v>0</v>
      </c>
      <c r="J7" s="2">
        <v>0</v>
      </c>
      <c r="K7" s="2">
        <v>-1</v>
      </c>
      <c r="L7" s="2">
        <v>-1</v>
      </c>
      <c r="M7" s="2">
        <v>0</v>
      </c>
      <c r="N7" s="2">
        <v>0</v>
      </c>
      <c r="O7" s="2">
        <v>-1</v>
      </c>
      <c r="P7" s="2">
        <v>0</v>
      </c>
      <c r="Q7" s="2">
        <v>-1</v>
      </c>
      <c r="S7" s="2">
        <v>-1</v>
      </c>
      <c r="T7" s="2">
        <v>0</v>
      </c>
      <c r="U7" s="2">
        <v>-1</v>
      </c>
    </row>
    <row r="8" spans="1:22" x14ac:dyDescent="0.25">
      <c r="A8" s="2">
        <v>4</v>
      </c>
      <c r="B8" s="2" t="s">
        <v>744</v>
      </c>
      <c r="C8" s="2" t="s">
        <v>745</v>
      </c>
      <c r="D8" s="2" t="s">
        <v>746</v>
      </c>
      <c r="E8" s="2">
        <v>0</v>
      </c>
      <c r="G8" s="2">
        <v>0</v>
      </c>
      <c r="J8" s="2">
        <v>0</v>
      </c>
      <c r="K8" s="2">
        <v>-1</v>
      </c>
      <c r="L8" s="2">
        <v>-1</v>
      </c>
      <c r="M8" s="2">
        <v>0</v>
      </c>
      <c r="N8" s="2">
        <v>0</v>
      </c>
      <c r="O8" s="2">
        <v>-1</v>
      </c>
      <c r="P8" s="2">
        <v>0</v>
      </c>
      <c r="Q8" s="2">
        <v>-1</v>
      </c>
      <c r="S8" s="2">
        <v>-1</v>
      </c>
      <c r="T8" s="2">
        <v>0</v>
      </c>
      <c r="U8" s="2">
        <v>-1</v>
      </c>
    </row>
    <row r="9" spans="1:22" x14ac:dyDescent="0.25">
      <c r="A9" s="2">
        <v>5</v>
      </c>
      <c r="B9" s="2" t="s">
        <v>747</v>
      </c>
      <c r="C9" s="2" t="s">
        <v>742</v>
      </c>
      <c r="D9" s="2" t="s">
        <v>748</v>
      </c>
      <c r="E9" s="2">
        <v>0</v>
      </c>
      <c r="G9" s="2">
        <v>0</v>
      </c>
      <c r="J9" s="2">
        <v>0</v>
      </c>
      <c r="K9" s="2">
        <v>-1</v>
      </c>
      <c r="L9" s="2">
        <v>-1</v>
      </c>
      <c r="M9" s="2">
        <v>0</v>
      </c>
      <c r="N9" s="2">
        <v>0</v>
      </c>
      <c r="O9" s="2">
        <v>-1</v>
      </c>
      <c r="P9" s="2">
        <v>0</v>
      </c>
      <c r="Q9" s="2">
        <v>-1</v>
      </c>
      <c r="S9" s="2">
        <v>-1</v>
      </c>
      <c r="T9" s="2">
        <v>0</v>
      </c>
      <c r="U9" s="2">
        <v>-1</v>
      </c>
    </row>
    <row r="10" spans="1:22" x14ac:dyDescent="0.25">
      <c r="A10" s="2">
        <v>6</v>
      </c>
      <c r="B10" s="2" t="s">
        <v>749</v>
      </c>
      <c r="C10" s="2" t="s">
        <v>750</v>
      </c>
      <c r="D10" s="2" t="s">
        <v>751</v>
      </c>
      <c r="E10" s="2">
        <v>0</v>
      </c>
      <c r="G10" s="2">
        <v>0</v>
      </c>
      <c r="J10" s="2">
        <v>0</v>
      </c>
      <c r="K10" s="2">
        <v>-1</v>
      </c>
      <c r="L10" s="2">
        <v>-1</v>
      </c>
      <c r="M10" s="2">
        <v>0</v>
      </c>
      <c r="N10" s="2">
        <v>0</v>
      </c>
      <c r="O10" s="2">
        <v>-1</v>
      </c>
      <c r="P10" s="2">
        <v>0</v>
      </c>
      <c r="Q10" s="2">
        <v>-1</v>
      </c>
      <c r="S10" s="2">
        <v>-1</v>
      </c>
      <c r="T10" s="2">
        <v>0</v>
      </c>
      <c r="U10" s="2">
        <v>-1</v>
      </c>
    </row>
    <row r="11" spans="1:22" x14ac:dyDescent="0.45">
      <c r="A11" s="2">
        <v>7</v>
      </c>
      <c r="C11" s="360" t="s">
        <v>752</v>
      </c>
      <c r="D11" s="2" t="s">
        <v>753</v>
      </c>
      <c r="E11" s="2">
        <v>300</v>
      </c>
      <c r="F11" s="2" t="s">
        <v>754</v>
      </c>
      <c r="G11" s="2">
        <v>5</v>
      </c>
      <c r="J11" s="2">
        <v>0</v>
      </c>
      <c r="K11" s="2">
        <v>3</v>
      </c>
      <c r="L11" s="2">
        <v>-1</v>
      </c>
      <c r="M11" s="2">
        <v>0</v>
      </c>
      <c r="N11" s="2">
        <v>0</v>
      </c>
      <c r="O11" s="2">
        <v>-1</v>
      </c>
      <c r="P11" s="2">
        <v>0</v>
      </c>
      <c r="Q11" s="2">
        <v>-1</v>
      </c>
      <c r="S11" s="2">
        <v>-1</v>
      </c>
      <c r="T11" s="2">
        <v>0</v>
      </c>
      <c r="U11" s="2">
        <v>1</v>
      </c>
    </row>
    <row r="12" spans="1:22" x14ac:dyDescent="0.45">
      <c r="A12" s="2">
        <v>1001</v>
      </c>
      <c r="B12" s="2" t="s">
        <v>755</v>
      </c>
      <c r="C12" s="360" t="s">
        <v>752</v>
      </c>
      <c r="D12" s="2" t="s">
        <v>756</v>
      </c>
      <c r="E12" s="2">
        <v>20000</v>
      </c>
      <c r="F12" s="360" t="s">
        <v>757</v>
      </c>
      <c r="G12" s="2">
        <v>1</v>
      </c>
      <c r="J12" s="2">
        <v>0</v>
      </c>
      <c r="K12" s="2">
        <v>2</v>
      </c>
      <c r="L12" s="2">
        <v>30</v>
      </c>
      <c r="M12" s="2">
        <v>10</v>
      </c>
      <c r="N12" s="2">
        <v>2</v>
      </c>
      <c r="O12" s="2">
        <v>30</v>
      </c>
      <c r="P12" s="2">
        <v>200</v>
      </c>
      <c r="Q12" s="2">
        <v>100</v>
      </c>
      <c r="S12" s="2">
        <v>-1</v>
      </c>
      <c r="T12" s="2">
        <v>1</v>
      </c>
      <c r="U12" s="2">
        <v>999</v>
      </c>
    </row>
    <row r="13" spans="1:22" x14ac:dyDescent="0.45">
      <c r="A13" s="2">
        <v>1002</v>
      </c>
      <c r="B13" s="2" t="s">
        <v>758</v>
      </c>
      <c r="C13" s="360" t="s">
        <v>759</v>
      </c>
      <c r="D13" s="2" t="s">
        <v>760</v>
      </c>
      <c r="E13" s="2">
        <v>50000</v>
      </c>
      <c r="F13" s="360" t="s">
        <v>761</v>
      </c>
      <c r="G13" s="2">
        <v>2</v>
      </c>
      <c r="J13" s="2">
        <v>0</v>
      </c>
      <c r="K13" s="2">
        <v>2</v>
      </c>
      <c r="L13" s="2">
        <v>30</v>
      </c>
      <c r="M13" s="2">
        <v>10</v>
      </c>
      <c r="N13" s="2">
        <v>2</v>
      </c>
      <c r="O13" s="2">
        <v>30</v>
      </c>
      <c r="P13" s="2">
        <v>500</v>
      </c>
      <c r="Q13" s="2">
        <v>50</v>
      </c>
      <c r="S13" s="2">
        <v>-1</v>
      </c>
      <c r="T13" s="2">
        <v>1</v>
      </c>
      <c r="U13" s="2">
        <v>999</v>
      </c>
    </row>
    <row r="14" spans="1:22" x14ac:dyDescent="0.45">
      <c r="A14" s="2">
        <v>1003</v>
      </c>
      <c r="B14" s="2" t="s">
        <v>762</v>
      </c>
      <c r="C14" s="360" t="s">
        <v>763</v>
      </c>
      <c r="D14" s="2" t="s">
        <v>764</v>
      </c>
      <c r="E14" s="2">
        <v>50000</v>
      </c>
      <c r="F14" s="360" t="s">
        <v>765</v>
      </c>
      <c r="G14" s="2">
        <v>3</v>
      </c>
      <c r="J14" s="2">
        <v>0</v>
      </c>
      <c r="K14" s="2">
        <v>2</v>
      </c>
      <c r="L14" s="2">
        <v>-1</v>
      </c>
      <c r="M14" s="2">
        <v>0</v>
      </c>
      <c r="N14" s="2">
        <v>0</v>
      </c>
      <c r="O14" s="2">
        <v>-1</v>
      </c>
      <c r="P14" s="2">
        <v>500</v>
      </c>
      <c r="Q14" s="2">
        <v>20</v>
      </c>
      <c r="S14" s="2">
        <v>-1</v>
      </c>
      <c r="T14" s="2">
        <v>1</v>
      </c>
      <c r="U14" s="2">
        <v>999</v>
      </c>
    </row>
    <row r="15" spans="1:22" x14ac:dyDescent="0.45">
      <c r="A15" s="2">
        <v>1004</v>
      </c>
      <c r="B15" s="2" t="s">
        <v>766</v>
      </c>
      <c r="C15" s="360" t="s">
        <v>767</v>
      </c>
      <c r="D15" s="2" t="s">
        <v>768</v>
      </c>
      <c r="E15" s="2">
        <v>20000</v>
      </c>
      <c r="F15" s="360" t="s">
        <v>769</v>
      </c>
      <c r="G15" s="2">
        <v>4</v>
      </c>
      <c r="J15" s="2">
        <v>0</v>
      </c>
      <c r="K15" s="2">
        <v>2</v>
      </c>
      <c r="L15" s="2">
        <v>30</v>
      </c>
      <c r="M15" s="2">
        <v>10</v>
      </c>
      <c r="N15" s="2">
        <v>2</v>
      </c>
      <c r="O15" s="2">
        <v>30</v>
      </c>
      <c r="P15" s="2">
        <v>200</v>
      </c>
      <c r="Q15" s="2">
        <v>100</v>
      </c>
      <c r="S15" s="2">
        <v>-1</v>
      </c>
      <c r="T15" s="2">
        <v>1</v>
      </c>
      <c r="U15" s="2">
        <v>999</v>
      </c>
    </row>
    <row r="16" spans="1:22" x14ac:dyDescent="0.45">
      <c r="A16" s="2">
        <v>1009</v>
      </c>
      <c r="B16" s="2" t="s">
        <v>770</v>
      </c>
      <c r="C16" s="360" t="s">
        <v>771</v>
      </c>
      <c r="D16" s="2" t="s">
        <v>772</v>
      </c>
      <c r="E16" s="2">
        <v>20000</v>
      </c>
      <c r="F16" s="360" t="s">
        <v>769</v>
      </c>
      <c r="G16" s="2">
        <v>4</v>
      </c>
      <c r="J16" s="2">
        <v>1</v>
      </c>
      <c r="K16" s="2">
        <v>2</v>
      </c>
      <c r="L16" s="2">
        <v>-1</v>
      </c>
      <c r="M16" s="2">
        <v>0</v>
      </c>
      <c r="N16" s="2">
        <v>0</v>
      </c>
      <c r="O16" s="2">
        <v>0</v>
      </c>
      <c r="P16" s="2">
        <v>20</v>
      </c>
      <c r="Q16" s="2">
        <v>10</v>
      </c>
      <c r="S16" s="2">
        <v>-1</v>
      </c>
      <c r="T16" s="2">
        <v>1</v>
      </c>
      <c r="U16" s="2">
        <v>999</v>
      </c>
    </row>
    <row r="17" spans="1:21" x14ac:dyDescent="0.45">
      <c r="A17" s="2">
        <v>1005</v>
      </c>
      <c r="B17" s="2" t="s">
        <v>773</v>
      </c>
      <c r="C17" s="360" t="s">
        <v>774</v>
      </c>
      <c r="D17" s="2" t="s">
        <v>775</v>
      </c>
      <c r="E17" s="146">
        <v>1000000</v>
      </c>
      <c r="F17" s="360" t="s">
        <v>776</v>
      </c>
      <c r="G17" s="2">
        <v>10</v>
      </c>
      <c r="J17" s="2">
        <v>150</v>
      </c>
      <c r="K17" s="2">
        <v>7</v>
      </c>
      <c r="L17" s="2">
        <v>5</v>
      </c>
      <c r="M17" s="2">
        <v>1</v>
      </c>
      <c r="N17" s="2">
        <v>2</v>
      </c>
      <c r="O17" s="2">
        <v>5</v>
      </c>
      <c r="P17" s="2">
        <v>0</v>
      </c>
      <c r="Q17" s="2">
        <v>-1</v>
      </c>
      <c r="R17" s="146" t="s">
        <v>777</v>
      </c>
      <c r="S17" s="2">
        <v>1</v>
      </c>
      <c r="T17" s="2">
        <v>1</v>
      </c>
      <c r="U17" s="2">
        <v>999</v>
      </c>
    </row>
    <row r="18" spans="1:21" x14ac:dyDescent="0.45">
      <c r="A18" s="2">
        <v>1006</v>
      </c>
      <c r="B18" s="2" t="s">
        <v>778</v>
      </c>
      <c r="C18" s="360" t="s">
        <v>779</v>
      </c>
      <c r="D18" s="2" t="s">
        <v>780</v>
      </c>
      <c r="E18" s="146">
        <v>2000000</v>
      </c>
      <c r="F18" s="360" t="s">
        <v>781</v>
      </c>
      <c r="G18" s="2">
        <v>10</v>
      </c>
      <c r="J18" s="2">
        <v>200</v>
      </c>
      <c r="K18" s="2">
        <v>7</v>
      </c>
      <c r="L18" s="2">
        <v>5</v>
      </c>
      <c r="M18" s="2">
        <v>1</v>
      </c>
      <c r="N18" s="2">
        <v>2</v>
      </c>
      <c r="O18" s="2">
        <v>5</v>
      </c>
      <c r="P18" s="2">
        <v>0</v>
      </c>
      <c r="Q18" s="2">
        <v>-1</v>
      </c>
      <c r="R18" s="146" t="s">
        <v>782</v>
      </c>
      <c r="S18" s="2">
        <v>1</v>
      </c>
      <c r="T18" s="2">
        <v>1</v>
      </c>
      <c r="U18" s="2">
        <v>999</v>
      </c>
    </row>
    <row r="19" spans="1:21" x14ac:dyDescent="0.45">
      <c r="A19" s="2">
        <v>1007</v>
      </c>
      <c r="B19" s="2" t="s">
        <v>783</v>
      </c>
      <c r="C19" s="360" t="s">
        <v>784</v>
      </c>
      <c r="D19" s="2" t="s">
        <v>785</v>
      </c>
      <c r="E19" s="146">
        <v>5000000</v>
      </c>
      <c r="F19" s="360" t="s">
        <v>786</v>
      </c>
      <c r="G19" s="2">
        <v>10</v>
      </c>
      <c r="J19" s="2">
        <v>250</v>
      </c>
      <c r="K19" s="2">
        <v>7</v>
      </c>
      <c r="L19" s="2">
        <v>5</v>
      </c>
      <c r="M19" s="2">
        <v>1</v>
      </c>
      <c r="N19" s="2">
        <v>2</v>
      </c>
      <c r="O19" s="2">
        <v>5</v>
      </c>
      <c r="P19" s="2">
        <v>0</v>
      </c>
      <c r="Q19" s="2">
        <v>-1</v>
      </c>
      <c r="R19" s="146" t="s">
        <v>787</v>
      </c>
      <c r="S19" s="2">
        <v>1</v>
      </c>
      <c r="T19" s="2">
        <v>1</v>
      </c>
      <c r="U19" s="2">
        <v>999</v>
      </c>
    </row>
    <row r="20" spans="1:21" x14ac:dyDescent="0.45">
      <c r="A20" s="2">
        <v>1008</v>
      </c>
      <c r="B20" s="2" t="s">
        <v>788</v>
      </c>
      <c r="C20" s="360" t="s">
        <v>789</v>
      </c>
      <c r="D20" s="2" t="s">
        <v>790</v>
      </c>
      <c r="E20" s="146">
        <v>10000000</v>
      </c>
      <c r="F20" s="360" t="s">
        <v>791</v>
      </c>
      <c r="G20" s="2">
        <v>10</v>
      </c>
      <c r="J20" s="2">
        <v>300</v>
      </c>
      <c r="K20" s="2">
        <v>7</v>
      </c>
      <c r="L20" s="2">
        <v>5</v>
      </c>
      <c r="M20" s="2">
        <v>1</v>
      </c>
      <c r="N20" s="2">
        <v>2</v>
      </c>
      <c r="O20" s="2">
        <v>5</v>
      </c>
      <c r="P20" s="2">
        <v>0</v>
      </c>
      <c r="Q20" s="2">
        <v>-1</v>
      </c>
      <c r="R20" s="146" t="s">
        <v>792</v>
      </c>
      <c r="S20" s="2">
        <v>1</v>
      </c>
      <c r="T20" s="2">
        <v>1</v>
      </c>
      <c r="U20" s="2">
        <v>999</v>
      </c>
    </row>
    <row r="21" spans="1:21" x14ac:dyDescent="0.25">
      <c r="A21" s="2">
        <v>1101</v>
      </c>
      <c r="C21" s="2" t="s">
        <v>793</v>
      </c>
      <c r="D21" s="2" t="s">
        <v>794</v>
      </c>
      <c r="E21" s="2">
        <v>0</v>
      </c>
      <c r="F21" s="2" t="s">
        <v>754</v>
      </c>
      <c r="G21" s="2">
        <v>5</v>
      </c>
      <c r="J21" s="2">
        <v>0</v>
      </c>
      <c r="K21" s="2">
        <v>4</v>
      </c>
      <c r="L21" s="2">
        <v>-1</v>
      </c>
      <c r="M21" s="2">
        <v>0</v>
      </c>
      <c r="N21" s="2">
        <v>0</v>
      </c>
      <c r="O21" s="2">
        <v>-1</v>
      </c>
      <c r="P21" s="2">
        <v>0</v>
      </c>
      <c r="Q21" s="2">
        <v>-1</v>
      </c>
      <c r="S21" s="2">
        <v>-1</v>
      </c>
      <c r="T21" s="2">
        <v>0</v>
      </c>
      <c r="U21" s="2">
        <v>1</v>
      </c>
    </row>
    <row r="22" spans="1:21" x14ac:dyDescent="0.25">
      <c r="A22" s="2">
        <v>1202</v>
      </c>
      <c r="B22" s="2" t="s">
        <v>795</v>
      </c>
      <c r="C22" s="2" t="s">
        <v>796</v>
      </c>
      <c r="D22" s="2" t="s">
        <v>797</v>
      </c>
      <c r="E22" s="2">
        <v>0</v>
      </c>
      <c r="F22" s="2" t="s">
        <v>798</v>
      </c>
      <c r="G22" s="2">
        <v>7</v>
      </c>
      <c r="J22" s="2">
        <v>2</v>
      </c>
      <c r="K22" s="2">
        <v>-1</v>
      </c>
      <c r="L22" s="2">
        <v>-1</v>
      </c>
      <c r="M22" s="2">
        <v>0</v>
      </c>
      <c r="N22" s="2">
        <v>0</v>
      </c>
      <c r="O22" s="2">
        <v>-1</v>
      </c>
      <c r="P22" s="2">
        <v>0</v>
      </c>
      <c r="Q22" s="2">
        <v>-1</v>
      </c>
      <c r="S22" s="2">
        <v>-1</v>
      </c>
      <c r="T22" s="2">
        <v>0</v>
      </c>
      <c r="U22" s="2">
        <v>-1</v>
      </c>
    </row>
    <row r="23" spans="1:21" x14ac:dyDescent="0.25">
      <c r="A23" s="2">
        <v>1204</v>
      </c>
      <c r="B23" s="2" t="s">
        <v>799</v>
      </c>
      <c r="C23" s="2" t="s">
        <v>800</v>
      </c>
      <c r="D23" s="2" t="s">
        <v>801</v>
      </c>
      <c r="E23" s="2">
        <v>500</v>
      </c>
      <c r="F23" s="2" t="s">
        <v>802</v>
      </c>
      <c r="G23" s="2">
        <v>0</v>
      </c>
      <c r="J23" s="2">
        <v>0</v>
      </c>
      <c r="K23" s="2">
        <v>6</v>
      </c>
      <c r="L23" s="2">
        <v>-1</v>
      </c>
      <c r="M23" s="2">
        <v>0</v>
      </c>
      <c r="N23" s="2">
        <v>0</v>
      </c>
      <c r="O23" s="2">
        <v>-1</v>
      </c>
      <c r="P23" s="2">
        <v>0</v>
      </c>
      <c r="Q23" s="2">
        <v>-1</v>
      </c>
      <c r="S23" s="2">
        <v>-1</v>
      </c>
      <c r="T23" s="2">
        <v>0</v>
      </c>
      <c r="U23" s="2">
        <v>-1</v>
      </c>
    </row>
    <row r="24" spans="1:21" s="279" customFormat="1" x14ac:dyDescent="0.25">
      <c r="A24" s="279">
        <v>1213</v>
      </c>
      <c r="B24" s="279" t="s">
        <v>803</v>
      </c>
      <c r="C24" s="279" t="s">
        <v>804</v>
      </c>
      <c r="D24" s="2" t="s">
        <v>805</v>
      </c>
      <c r="E24" s="146">
        <v>400000</v>
      </c>
      <c r="F24" s="279" t="s">
        <v>806</v>
      </c>
      <c r="G24" s="279">
        <v>0</v>
      </c>
      <c r="J24" s="279">
        <v>0</v>
      </c>
      <c r="K24" s="279" t="s">
        <v>807</v>
      </c>
      <c r="L24" s="279">
        <v>-1</v>
      </c>
      <c r="M24" s="279">
        <v>0</v>
      </c>
      <c r="N24" s="279">
        <v>0</v>
      </c>
      <c r="O24" s="279">
        <v>-1</v>
      </c>
      <c r="P24" s="279">
        <v>0</v>
      </c>
      <c r="Q24" s="279">
        <v>-1</v>
      </c>
      <c r="R24" s="146" t="s">
        <v>808</v>
      </c>
      <c r="S24" s="279">
        <v>1</v>
      </c>
      <c r="T24" s="279">
        <v>0</v>
      </c>
      <c r="U24" s="279">
        <v>-1</v>
      </c>
    </row>
    <row r="25" spans="1:21" s="17" customFormat="1" x14ac:dyDescent="0.25">
      <c r="A25" s="17">
        <v>1211</v>
      </c>
      <c r="B25" s="17" t="s">
        <v>809</v>
      </c>
      <c r="C25" s="17" t="s">
        <v>810</v>
      </c>
      <c r="D25" s="2" t="s">
        <v>811</v>
      </c>
      <c r="E25" s="146">
        <v>400000</v>
      </c>
      <c r="F25" s="17" t="s">
        <v>812</v>
      </c>
      <c r="G25" s="17">
        <v>8</v>
      </c>
      <c r="J25" s="17">
        <v>1</v>
      </c>
      <c r="K25" s="17" t="s">
        <v>813</v>
      </c>
      <c r="L25" s="17">
        <v>-1</v>
      </c>
      <c r="M25" s="17">
        <v>0</v>
      </c>
      <c r="N25" s="17">
        <v>0</v>
      </c>
      <c r="O25" s="17">
        <v>-1</v>
      </c>
      <c r="P25" s="17">
        <v>0</v>
      </c>
      <c r="Q25" s="17">
        <v>-1</v>
      </c>
      <c r="R25" s="146" t="s">
        <v>808</v>
      </c>
      <c r="S25" s="17">
        <v>1</v>
      </c>
      <c r="T25" s="17">
        <v>0</v>
      </c>
      <c r="U25" s="17">
        <v>999</v>
      </c>
    </row>
    <row r="26" spans="1:21" x14ac:dyDescent="0.25">
      <c r="A26" s="2">
        <v>1205</v>
      </c>
      <c r="B26" s="2" t="s">
        <v>814</v>
      </c>
      <c r="C26" s="2" t="s">
        <v>815</v>
      </c>
      <c r="D26" s="2" t="s">
        <v>816</v>
      </c>
      <c r="E26" s="146">
        <v>800000</v>
      </c>
      <c r="F26" s="2" t="s">
        <v>812</v>
      </c>
      <c r="G26" s="2">
        <v>8</v>
      </c>
      <c r="J26" s="2">
        <v>2</v>
      </c>
      <c r="K26" s="2" t="s">
        <v>813</v>
      </c>
      <c r="L26" s="2">
        <v>-1</v>
      </c>
      <c r="M26" s="2">
        <v>0</v>
      </c>
      <c r="N26" s="2">
        <v>0</v>
      </c>
      <c r="O26" s="2">
        <v>-1</v>
      </c>
      <c r="P26" s="2">
        <v>0</v>
      </c>
      <c r="Q26" s="2">
        <v>-1</v>
      </c>
      <c r="R26" s="146" t="s">
        <v>817</v>
      </c>
      <c r="S26" s="2">
        <v>1</v>
      </c>
      <c r="T26" s="2">
        <v>0</v>
      </c>
      <c r="U26" s="2">
        <v>999</v>
      </c>
    </row>
    <row r="27" spans="1:21" x14ac:dyDescent="0.25">
      <c r="A27" s="2">
        <v>1206</v>
      </c>
      <c r="B27" s="2" t="s">
        <v>818</v>
      </c>
      <c r="C27" s="2" t="s">
        <v>819</v>
      </c>
      <c r="D27" s="2" t="s">
        <v>820</v>
      </c>
      <c r="E27" s="146">
        <v>2000000</v>
      </c>
      <c r="F27" s="2" t="s">
        <v>812</v>
      </c>
      <c r="G27" s="2">
        <v>8</v>
      </c>
      <c r="J27" s="2">
        <v>5</v>
      </c>
      <c r="K27" s="2" t="s">
        <v>813</v>
      </c>
      <c r="L27" s="2">
        <v>-1</v>
      </c>
      <c r="M27" s="2">
        <v>0</v>
      </c>
      <c r="N27" s="2">
        <v>0</v>
      </c>
      <c r="O27" s="2">
        <v>-1</v>
      </c>
      <c r="P27" s="2">
        <v>0</v>
      </c>
      <c r="Q27" s="2">
        <v>-1</v>
      </c>
      <c r="R27" s="146" t="s">
        <v>782</v>
      </c>
      <c r="S27" s="2">
        <v>1</v>
      </c>
      <c r="T27" s="2">
        <v>0</v>
      </c>
      <c r="U27" s="2">
        <v>999</v>
      </c>
    </row>
    <row r="28" spans="1:21" x14ac:dyDescent="0.25">
      <c r="A28" s="2">
        <v>1212</v>
      </c>
      <c r="B28" s="2" t="s">
        <v>821</v>
      </c>
      <c r="C28" s="2" t="s">
        <v>822</v>
      </c>
      <c r="D28" s="2" t="s">
        <v>823</v>
      </c>
      <c r="E28" s="146">
        <v>4000000</v>
      </c>
      <c r="F28" s="2" t="s">
        <v>812</v>
      </c>
      <c r="G28" s="2">
        <v>8</v>
      </c>
      <c r="J28" s="2">
        <v>10</v>
      </c>
      <c r="K28" s="2" t="s">
        <v>813</v>
      </c>
      <c r="L28" s="2">
        <v>-1</v>
      </c>
      <c r="M28" s="2">
        <v>0</v>
      </c>
      <c r="N28" s="2">
        <v>0</v>
      </c>
      <c r="O28" s="2">
        <v>-1</v>
      </c>
      <c r="P28" s="2">
        <v>0</v>
      </c>
      <c r="Q28" s="2">
        <v>-1</v>
      </c>
      <c r="R28" s="146" t="s">
        <v>824</v>
      </c>
      <c r="S28" s="2">
        <v>1</v>
      </c>
      <c r="T28" s="2">
        <v>0</v>
      </c>
      <c r="U28" s="2">
        <v>999</v>
      </c>
    </row>
    <row r="29" spans="1:21" x14ac:dyDescent="0.25">
      <c r="A29" s="2">
        <v>1209</v>
      </c>
      <c r="B29" s="2" t="s">
        <v>825</v>
      </c>
      <c r="C29" s="2" t="s">
        <v>826</v>
      </c>
      <c r="D29" s="2" t="s">
        <v>827</v>
      </c>
      <c r="E29" s="146">
        <v>12000000</v>
      </c>
      <c r="F29" s="2" t="s">
        <v>812</v>
      </c>
      <c r="G29" s="2">
        <v>8</v>
      </c>
      <c r="J29" s="2">
        <v>30</v>
      </c>
      <c r="K29" s="2" t="s">
        <v>813</v>
      </c>
      <c r="L29" s="2">
        <v>-1</v>
      </c>
      <c r="M29" s="2">
        <v>0</v>
      </c>
      <c r="N29" s="2">
        <v>0</v>
      </c>
      <c r="O29" s="2">
        <v>-1</v>
      </c>
      <c r="P29" s="2">
        <v>0</v>
      </c>
      <c r="Q29" s="2">
        <v>-1</v>
      </c>
      <c r="R29" s="146" t="s">
        <v>828</v>
      </c>
      <c r="S29" s="2">
        <v>1</v>
      </c>
      <c r="T29" s="2">
        <v>0</v>
      </c>
      <c r="U29" s="2">
        <v>999</v>
      </c>
    </row>
    <row r="30" spans="1:21" x14ac:dyDescent="0.25">
      <c r="A30" s="2">
        <v>1210</v>
      </c>
      <c r="B30" s="2" t="s">
        <v>829</v>
      </c>
      <c r="C30" s="2" t="s">
        <v>830</v>
      </c>
      <c r="D30" s="2" t="s">
        <v>831</v>
      </c>
      <c r="E30" s="146">
        <v>20000000</v>
      </c>
      <c r="F30" s="2" t="s">
        <v>812</v>
      </c>
      <c r="G30" s="2">
        <v>8</v>
      </c>
      <c r="J30" s="2">
        <v>50</v>
      </c>
      <c r="K30" s="2" t="s">
        <v>813</v>
      </c>
      <c r="L30" s="2">
        <v>-1</v>
      </c>
      <c r="M30" s="2">
        <v>0</v>
      </c>
      <c r="N30" s="2">
        <v>0</v>
      </c>
      <c r="O30" s="2">
        <v>-1</v>
      </c>
      <c r="P30" s="2">
        <v>0</v>
      </c>
      <c r="Q30" s="2">
        <v>-1</v>
      </c>
      <c r="R30" s="146" t="s">
        <v>832</v>
      </c>
      <c r="S30" s="2">
        <v>1</v>
      </c>
      <c r="T30" s="2">
        <v>0</v>
      </c>
      <c r="U30" s="2">
        <v>999</v>
      </c>
    </row>
    <row r="31" spans="1:21" x14ac:dyDescent="0.25">
      <c r="A31" s="2">
        <v>1600</v>
      </c>
      <c r="B31" s="2" t="s">
        <v>833</v>
      </c>
      <c r="C31" s="2" t="s">
        <v>834</v>
      </c>
      <c r="D31" s="2" t="s">
        <v>835</v>
      </c>
      <c r="E31" s="146">
        <v>0</v>
      </c>
      <c r="F31" s="2" t="s">
        <v>836</v>
      </c>
      <c r="G31" s="2">
        <v>12</v>
      </c>
      <c r="J31" s="2">
        <v>0</v>
      </c>
      <c r="K31" s="2">
        <v>6</v>
      </c>
      <c r="L31" s="2">
        <v>-1</v>
      </c>
      <c r="M31" s="2">
        <v>0</v>
      </c>
      <c r="N31" s="2">
        <v>0</v>
      </c>
      <c r="O31" s="2">
        <v>-1</v>
      </c>
      <c r="P31" s="2">
        <v>0</v>
      </c>
      <c r="Q31" s="2">
        <v>-1</v>
      </c>
      <c r="R31" s="146"/>
      <c r="S31" s="2">
        <v>-1</v>
      </c>
      <c r="T31" s="2">
        <v>0</v>
      </c>
      <c r="U31" s="2">
        <v>-1</v>
      </c>
    </row>
    <row r="32" spans="1:21" x14ac:dyDescent="0.25">
      <c r="A32" s="2">
        <v>1601</v>
      </c>
      <c r="B32" s="2" t="s">
        <v>837</v>
      </c>
      <c r="C32" s="2" t="s">
        <v>838</v>
      </c>
      <c r="D32" s="2" t="s">
        <v>839</v>
      </c>
      <c r="E32" s="146">
        <v>0</v>
      </c>
      <c r="F32" s="2" t="s">
        <v>840</v>
      </c>
      <c r="G32" s="2">
        <v>12</v>
      </c>
      <c r="J32" s="2">
        <v>0</v>
      </c>
      <c r="K32" s="2">
        <v>6</v>
      </c>
      <c r="L32" s="2">
        <v>-1</v>
      </c>
      <c r="M32" s="2">
        <v>0</v>
      </c>
      <c r="N32" s="2">
        <v>0</v>
      </c>
      <c r="O32" s="2">
        <v>-1</v>
      </c>
      <c r="P32" s="2">
        <v>0</v>
      </c>
      <c r="Q32" s="2">
        <v>-1</v>
      </c>
      <c r="R32" s="146"/>
      <c r="S32" s="2">
        <v>-1</v>
      </c>
      <c r="T32" s="2">
        <v>0</v>
      </c>
      <c r="U32" s="2">
        <v>-1</v>
      </c>
    </row>
  </sheetData>
  <phoneticPr fontId="57" type="noConversion"/>
  <conditionalFormatting sqref="R3">
    <cfRule type="containsText" dxfId="1945" priority="202" operator="containsText" text=" ">
      <formula>NOT(ISERROR(SEARCH(" ",R3)))</formula>
    </cfRule>
  </conditionalFormatting>
  <conditionalFormatting sqref="C7">
    <cfRule type="containsText" dxfId="1944" priority="216" operator="containsText" text=" ">
      <formula>NOT(ISERROR(SEARCH(" ",C7)))</formula>
    </cfRule>
  </conditionalFormatting>
  <conditionalFormatting sqref="D7">
    <cfRule type="containsText" dxfId="1943" priority="89" operator="containsText" text=" ">
      <formula>NOT(ISERROR(SEARCH(" ",D7)))</formula>
    </cfRule>
  </conditionalFormatting>
  <conditionalFormatting sqref="B8">
    <cfRule type="containsText" dxfId="1942" priority="112" operator="containsText" text=" ">
      <formula>NOT(ISERROR(SEARCH(" ",B8)))</formula>
    </cfRule>
  </conditionalFormatting>
  <conditionalFormatting sqref="B9">
    <cfRule type="containsText" dxfId="1941" priority="110" operator="containsText" text=" ">
      <formula>NOT(ISERROR(SEARCH(" ",B9)))</formula>
    </cfRule>
  </conditionalFormatting>
  <conditionalFormatting sqref="D9">
    <cfRule type="containsText" dxfId="1940" priority="88" operator="containsText" text=" ">
      <formula>NOT(ISERROR(SEARCH(" ",D9)))</formula>
    </cfRule>
  </conditionalFormatting>
  <conditionalFormatting sqref="B10">
    <cfRule type="containsText" dxfId="1939" priority="107" operator="containsText" text=" ">
      <formula>NOT(ISERROR(SEARCH(" ",B10)))</formula>
    </cfRule>
  </conditionalFormatting>
  <conditionalFormatting sqref="D10">
    <cfRule type="containsText" dxfId="1938" priority="87" operator="containsText" text=" ">
      <formula>NOT(ISERROR(SEARCH(" ",D10)))</formula>
    </cfRule>
  </conditionalFormatting>
  <conditionalFormatting sqref="R10">
    <cfRule type="containsText" dxfId="1937" priority="192" operator="containsText" text=" ">
      <formula>NOT(ISERROR(SEARCH(" ",R10)))</formula>
    </cfRule>
  </conditionalFormatting>
  <conditionalFormatting sqref="S10">
    <cfRule type="containsText" dxfId="1936" priority="191" operator="containsText" text=" ">
      <formula>NOT(ISERROR(SEARCH(" ",S10)))</formula>
    </cfRule>
  </conditionalFormatting>
  <conditionalFormatting sqref="B11">
    <cfRule type="containsText" dxfId="1935" priority="73" operator="containsText" text=" ">
      <formula>NOT(ISERROR(SEARCH(" ",B11)))</formula>
    </cfRule>
  </conditionalFormatting>
  <conditionalFormatting sqref="C11">
    <cfRule type="containsText" dxfId="1934" priority="70" operator="containsText" text=" ">
      <formula>NOT(ISERROR(SEARCH(" ",C11)))</formula>
    </cfRule>
  </conditionalFormatting>
  <conditionalFormatting sqref="D11">
    <cfRule type="containsText" dxfId="1933" priority="72" operator="containsText" text=" ">
      <formula>NOT(ISERROR(SEARCH(" ",D11)))</formula>
    </cfRule>
  </conditionalFormatting>
  <conditionalFormatting sqref="E11">
    <cfRule type="containsText" dxfId="1932" priority="71" operator="containsText" text=" ">
      <formula>NOT(ISERROR(SEARCH(" ",E11)))</formula>
    </cfRule>
  </conditionalFormatting>
  <conditionalFormatting sqref="M11">
    <cfRule type="containsText" dxfId="1931" priority="76" operator="containsText" text=" ">
      <formula>NOT(ISERROR(SEARCH(" ",M11)))</formula>
    </cfRule>
  </conditionalFormatting>
  <conditionalFormatting sqref="R11">
    <cfRule type="containsText" dxfId="1930" priority="75" operator="containsText" text=" ">
      <formula>NOT(ISERROR(SEARCH(" ",R11)))</formula>
    </cfRule>
  </conditionalFormatting>
  <conditionalFormatting sqref="S11">
    <cfRule type="containsText" dxfId="1929" priority="74" operator="containsText" text=" ">
      <formula>NOT(ISERROR(SEARCH(" ",S11)))</formula>
    </cfRule>
  </conditionalFormatting>
  <conditionalFormatting sqref="L16">
    <cfRule type="containsText" dxfId="1928" priority="59" operator="containsText" text=" ">
      <formula>NOT(ISERROR(SEARCH(" ",L16)))</formula>
    </cfRule>
  </conditionalFormatting>
  <conditionalFormatting sqref="N16:O16">
    <cfRule type="containsText" dxfId="1927" priority="61" operator="containsText" text=" ">
      <formula>NOT(ISERROR(SEARCH(" ",N16)))</formula>
    </cfRule>
  </conditionalFormatting>
  <conditionalFormatting sqref="B22">
    <cfRule type="containsText" dxfId="1926" priority="65" operator="containsText" text=" ">
      <formula>NOT(ISERROR(SEARCH(" ",B22)))</formula>
    </cfRule>
  </conditionalFormatting>
  <conditionalFormatting sqref="D22">
    <cfRule type="containsText" dxfId="1925" priority="64" operator="containsText" text=" ">
      <formula>NOT(ISERROR(SEARCH(" ",D22)))</formula>
    </cfRule>
  </conditionalFormatting>
  <conditionalFormatting sqref="E22">
    <cfRule type="containsText" dxfId="1924" priority="63" operator="containsText" text=" ">
      <formula>NOT(ISERROR(SEARCH(" ",E22)))</formula>
    </cfRule>
  </conditionalFormatting>
  <conditionalFormatting sqref="M22">
    <cfRule type="containsText" dxfId="1923" priority="68" operator="containsText" text=" ">
      <formula>NOT(ISERROR(SEARCH(" ",M22)))</formula>
    </cfRule>
  </conditionalFormatting>
  <conditionalFormatting sqref="R22">
    <cfRule type="containsText" dxfId="1922" priority="67" operator="containsText" text=" ">
      <formula>NOT(ISERROR(SEARCH(" ",R22)))</formula>
    </cfRule>
  </conditionalFormatting>
  <conditionalFormatting sqref="S22">
    <cfRule type="containsText" dxfId="1921" priority="66" operator="containsText" text=" ">
      <formula>NOT(ISERROR(SEARCH(" ",S22)))</formula>
    </cfRule>
  </conditionalFormatting>
  <conditionalFormatting sqref="B24">
    <cfRule type="containsText" dxfId="1920" priority="7" operator="containsText" text=" ">
      <formula>NOT(ISERROR(SEARCH(" ",B24)))</formula>
    </cfRule>
  </conditionalFormatting>
  <conditionalFormatting sqref="E24">
    <cfRule type="containsText" dxfId="1919" priority="1" operator="containsText" text=" ">
      <formula>NOT(ISERROR(SEARCH(" ",E24)))</formula>
    </cfRule>
  </conditionalFormatting>
  <conditionalFormatting sqref="M24">
    <cfRule type="containsText" dxfId="1918" priority="18" operator="containsText" text=" ">
      <formula>NOT(ISERROR(SEARCH(" ",M24)))</formula>
    </cfRule>
  </conditionalFormatting>
  <conditionalFormatting sqref="R24">
    <cfRule type="containsText" dxfId="1917" priority="16" operator="containsText" text=" ">
      <formula>NOT(ISERROR(SEARCH(" ",R24)))</formula>
    </cfRule>
  </conditionalFormatting>
  <conditionalFormatting sqref="S24">
    <cfRule type="containsText" dxfId="1916" priority="15" operator="containsText" text=" ">
      <formula>NOT(ISERROR(SEARCH(" ",S24)))</formula>
    </cfRule>
  </conditionalFormatting>
  <conditionalFormatting sqref="V24:XFD24">
    <cfRule type="containsText" dxfId="1915" priority="120" operator="containsText" text=" ">
      <formula>NOT(ISERROR(SEARCH(" ",V24)))</formula>
    </cfRule>
  </conditionalFormatting>
  <conditionalFormatting sqref="B25">
    <cfRule type="containsText" dxfId="1914" priority="8" operator="containsText" text=" ">
      <formula>NOT(ISERROR(SEARCH(" ",B25)))</formula>
    </cfRule>
  </conditionalFormatting>
  <conditionalFormatting sqref="C25">
    <cfRule type="containsText" dxfId="1913" priority="41" operator="containsText" text=" ">
      <formula>NOT(ISERROR(SEARCH(" ",C25)))</formula>
    </cfRule>
  </conditionalFormatting>
  <conditionalFormatting sqref="E25">
    <cfRule type="containsText" dxfId="1912" priority="4" operator="containsText" text=" ">
      <formula>NOT(ISERROR(SEARCH(" ",E25)))</formula>
    </cfRule>
  </conditionalFormatting>
  <conditionalFormatting sqref="F25">
    <cfRule type="containsText" dxfId="1911" priority="40" operator="containsText" text=" ">
      <formula>NOT(ISERROR(SEARCH(" ",F25)))</formula>
    </cfRule>
  </conditionalFormatting>
  <conditionalFormatting sqref="K25">
    <cfRule type="containsText" dxfId="1910" priority="38" operator="containsText" text=" ">
      <formula>NOT(ISERROR(SEARCH(" ",K25)))</formula>
    </cfRule>
  </conditionalFormatting>
  <conditionalFormatting sqref="M25">
    <cfRule type="containsText" dxfId="1909" priority="43" operator="containsText" text=" ">
      <formula>NOT(ISERROR(SEARCH(" ",M25)))</formula>
    </cfRule>
  </conditionalFormatting>
  <conditionalFormatting sqref="R25">
    <cfRule type="containsText" dxfId="1908" priority="14" operator="containsText" text=" ">
      <formula>NOT(ISERROR(SEARCH(" ",R25)))</formula>
    </cfRule>
  </conditionalFormatting>
  <conditionalFormatting sqref="S25">
    <cfRule type="containsText" dxfId="1907" priority="39" operator="containsText" text=" ">
      <formula>NOT(ISERROR(SEARCH(" ",S25)))</formula>
    </cfRule>
  </conditionalFormatting>
  <conditionalFormatting sqref="U25">
    <cfRule type="containsText" dxfId="1906" priority="37" operator="containsText" text=" ">
      <formula>NOT(ISERROR(SEARCH(" ",U25)))</formula>
    </cfRule>
  </conditionalFormatting>
  <conditionalFormatting sqref="V25:XFD25">
    <cfRule type="containsText" dxfId="1905" priority="165" operator="containsText" text=" ">
      <formula>NOT(ISERROR(SEARCH(" ",V25)))</formula>
    </cfRule>
  </conditionalFormatting>
  <conditionalFormatting sqref="K26">
    <cfRule type="containsText" dxfId="1904" priority="50" operator="containsText" text=" ">
      <formula>NOT(ISERROR(SEARCH(" ",K26)))</formula>
    </cfRule>
  </conditionalFormatting>
  <conditionalFormatting sqref="K27">
    <cfRule type="containsText" dxfId="1903" priority="49" operator="containsText" text=" ">
      <formula>NOT(ISERROR(SEARCH(" ",K27)))</formula>
    </cfRule>
  </conditionalFormatting>
  <conditionalFormatting sqref="C28">
    <cfRule type="containsText" dxfId="1902" priority="24" operator="containsText" text=" ">
      <formula>NOT(ISERROR(SEARCH(" ",C28)))</formula>
    </cfRule>
  </conditionalFormatting>
  <conditionalFormatting sqref="E28">
    <cfRule type="containsText" dxfId="1901" priority="5" operator="containsText" text=" ">
      <formula>NOT(ISERROR(SEARCH(" ",E28)))</formula>
    </cfRule>
  </conditionalFormatting>
  <conditionalFormatting sqref="F28">
    <cfRule type="containsText" dxfId="1900" priority="23" operator="containsText" text=" ">
      <formula>NOT(ISERROR(SEARCH(" ",F28)))</formula>
    </cfRule>
  </conditionalFormatting>
  <conditionalFormatting sqref="K28">
    <cfRule type="containsText" dxfId="1899" priority="20" operator="containsText" text=" ">
      <formula>NOT(ISERROR(SEARCH(" ",K28)))</formula>
    </cfRule>
  </conditionalFormatting>
  <conditionalFormatting sqref="M28">
    <cfRule type="containsText" dxfId="1898" priority="26" operator="containsText" text=" ">
      <formula>NOT(ISERROR(SEARCH(" ",M28)))</formula>
    </cfRule>
  </conditionalFormatting>
  <conditionalFormatting sqref="R28">
    <cfRule type="containsText" dxfId="1897" priority="22" operator="containsText" text=" ">
      <formula>NOT(ISERROR(SEARCH(" ",R28)))</formula>
    </cfRule>
  </conditionalFormatting>
  <conditionalFormatting sqref="S28">
    <cfRule type="containsText" dxfId="1896" priority="21" operator="containsText" text=" ">
      <formula>NOT(ISERROR(SEARCH(" ",S28)))</formula>
    </cfRule>
  </conditionalFormatting>
  <conditionalFormatting sqref="U28">
    <cfRule type="containsText" dxfId="1895" priority="19" operator="containsText" text=" ">
      <formula>NOT(ISERROR(SEARCH(" ",U28)))</formula>
    </cfRule>
  </conditionalFormatting>
  <conditionalFormatting sqref="V28:XFD28">
    <cfRule type="containsText" dxfId="1894" priority="128" operator="containsText" text=" ">
      <formula>NOT(ISERROR(SEARCH(" ",V28)))</formula>
    </cfRule>
  </conditionalFormatting>
  <conditionalFormatting sqref="E29">
    <cfRule type="containsText" dxfId="1893" priority="3" operator="containsText" text=" ">
      <formula>NOT(ISERROR(SEARCH(" ",E29)))</formula>
    </cfRule>
  </conditionalFormatting>
  <conditionalFormatting sqref="K29">
    <cfRule type="containsText" dxfId="1892" priority="48" operator="containsText" text=" ">
      <formula>NOT(ISERROR(SEARCH(" ",K29)))</formula>
    </cfRule>
  </conditionalFormatting>
  <conditionalFormatting sqref="R29">
    <cfRule type="containsText" dxfId="1891" priority="13" operator="containsText" text=" ">
      <formula>NOT(ISERROR(SEARCH(" ",R29)))</formula>
    </cfRule>
  </conditionalFormatting>
  <conditionalFormatting sqref="E30">
    <cfRule type="containsText" dxfId="1890" priority="2" operator="containsText" text=" ">
      <formula>NOT(ISERROR(SEARCH(" ",E30)))</formula>
    </cfRule>
  </conditionalFormatting>
  <conditionalFormatting sqref="K30">
    <cfRule type="containsText" dxfId="1889" priority="47" operator="containsText" text=" ">
      <formula>NOT(ISERROR(SEARCH(" ",K30)))</formula>
    </cfRule>
  </conditionalFormatting>
  <conditionalFormatting sqref="R30">
    <cfRule type="containsText" dxfId="1888" priority="12" operator="containsText" text=" ">
      <formula>NOT(ISERROR(SEARCH(" ",R30)))</formula>
    </cfRule>
  </conditionalFormatting>
  <conditionalFormatting sqref="K31">
    <cfRule type="containsText" dxfId="1887" priority="27" operator="containsText" text=" ">
      <formula>NOT(ISERROR(SEARCH(" ",K31)))</formula>
    </cfRule>
  </conditionalFormatting>
  <conditionalFormatting sqref="G32:K32">
    <cfRule type="containsText" dxfId="1886" priority="36" operator="containsText" text=" ">
      <formula>NOT(ISERROR(SEARCH(" ",G32)))</formula>
    </cfRule>
  </conditionalFormatting>
  <conditionalFormatting sqref="L32">
    <cfRule type="containsText" dxfId="1885" priority="33" operator="containsText" text=" ">
      <formula>NOT(ISERROR(SEARCH(" ",L32)))</formula>
    </cfRule>
  </conditionalFormatting>
  <conditionalFormatting sqref="N32">
    <cfRule type="containsText" dxfId="1884" priority="32" operator="containsText" text=" ">
      <formula>NOT(ISERROR(SEARCH(" ",N32)))</formula>
    </cfRule>
  </conditionalFormatting>
  <conditionalFormatting sqref="O32">
    <cfRule type="containsText" dxfId="1883" priority="31" operator="containsText" text=" ">
      <formula>NOT(ISERROR(SEARCH(" ",O32)))</formula>
    </cfRule>
  </conditionalFormatting>
  <conditionalFormatting sqref="B5:B6">
    <cfRule type="containsText" dxfId="1882" priority="113" operator="containsText" text=" ">
      <formula>NOT(ISERROR(SEARCH(" ",B5)))</formula>
    </cfRule>
  </conditionalFormatting>
  <conditionalFormatting sqref="B31:B32">
    <cfRule type="containsText" dxfId="1881" priority="11" operator="containsText" text=" ">
      <formula>NOT(ISERROR(SEARCH(" ",B31)))</formula>
    </cfRule>
  </conditionalFormatting>
  <conditionalFormatting sqref="C26:C27">
    <cfRule type="containsText" dxfId="1880" priority="56" operator="containsText" text=" ">
      <formula>NOT(ISERROR(SEARCH(" ",C26)))</formula>
    </cfRule>
  </conditionalFormatting>
  <conditionalFormatting sqref="C29:C30">
    <cfRule type="containsText" dxfId="1879" priority="51" operator="containsText" text=" ">
      <formula>NOT(ISERROR(SEARCH(" ",C29)))</formula>
    </cfRule>
  </conditionalFormatting>
  <conditionalFormatting sqref="E1:E3">
    <cfRule type="containsText" dxfId="1878" priority="86" operator="containsText" text=" ">
      <formula>NOT(ISERROR(SEARCH(" ",E1)))</formula>
    </cfRule>
  </conditionalFormatting>
  <conditionalFormatting sqref="E5:E10">
    <cfRule type="containsText" dxfId="1877" priority="85" operator="containsText" text=" ">
      <formula>NOT(ISERROR(SEARCH(" ",E5)))</formula>
    </cfRule>
  </conditionalFormatting>
  <conditionalFormatting sqref="F26:F27">
    <cfRule type="containsText" dxfId="1876" priority="55" operator="containsText" text=" ">
      <formula>NOT(ISERROR(SEARCH(" ",F26)))</formula>
    </cfRule>
  </conditionalFormatting>
  <conditionalFormatting sqref="F29:F30">
    <cfRule type="containsText" dxfId="1875" priority="52" operator="containsText" text=" ">
      <formula>NOT(ISERROR(SEARCH(" ",F29)))</formula>
    </cfRule>
  </conditionalFormatting>
  <conditionalFormatting sqref="M31:M32">
    <cfRule type="containsText" dxfId="1874" priority="35" operator="containsText" text=" ">
      <formula>NOT(ISERROR(SEARCH(" ",M31)))</formula>
    </cfRule>
  </conditionalFormatting>
  <conditionalFormatting sqref="R31:R32">
    <cfRule type="containsText" dxfId="1873" priority="29" operator="containsText" text=" ">
      <formula>NOT(ISERROR(SEARCH(" ",R31)))</formula>
    </cfRule>
  </conditionalFormatting>
  <conditionalFormatting sqref="S29:S30">
    <cfRule type="containsText" dxfId="1872" priority="46" operator="containsText" text=" ">
      <formula>NOT(ISERROR(SEARCH(" ",S29)))</formula>
    </cfRule>
  </conditionalFormatting>
  <conditionalFormatting sqref="S31:S32">
    <cfRule type="containsText" dxfId="1871" priority="28" operator="containsText" text=" ">
      <formula>NOT(ISERROR(SEARCH(" ",S31)))</formula>
    </cfRule>
  </conditionalFormatting>
  <conditionalFormatting sqref="U26:U27">
    <cfRule type="containsText" dxfId="1870" priority="45" operator="containsText" text=" ">
      <formula>NOT(ISERROR(SEARCH(" ",U26)))</formula>
    </cfRule>
  </conditionalFormatting>
  <conditionalFormatting sqref="U29:U30">
    <cfRule type="containsText" dxfId="1869" priority="44" operator="containsText" text=" ">
      <formula>NOT(ISERROR(SEARCH(" ",U29)))</formula>
    </cfRule>
  </conditionalFormatting>
  <conditionalFormatting sqref="A1:C4 C5:C6 A5:A8 C8 A33:Q1048576 F1:Q2 F3:I3 F4:Q8 T1:XFD8 K3:Q3 T33:XFD1048576 P12:Q15 F12:K15">
    <cfRule type="containsText" dxfId="1868" priority="219" operator="containsText" text=" ">
      <formula>NOT(ISERROR(SEARCH(" ",A1)))</formula>
    </cfRule>
  </conditionalFormatting>
  <conditionalFormatting sqref="D1:D6 D8 E4">
    <cfRule type="containsText" dxfId="1867" priority="90" operator="containsText" text=" ">
      <formula>NOT(ISERROR(SEARCH(" ",D1)))</formula>
    </cfRule>
  </conditionalFormatting>
  <conditionalFormatting sqref="R1:R2 R33:R1048576 R5:R9">
    <cfRule type="containsText" dxfId="1866" priority="204" operator="containsText" text=" ">
      <formula>NOT(ISERROR(SEARCH(" ",R1)))</formula>
    </cfRule>
  </conditionalFormatting>
  <conditionalFormatting sqref="S1:S9 S33:S1048576">
    <cfRule type="containsText" dxfId="1865" priority="203" operator="containsText" text=" ">
      <formula>NOT(ISERROR(SEARCH(" ",S1)))</formula>
    </cfRule>
  </conditionalFormatting>
  <conditionalFormatting sqref="J3 V31:XFD32">
    <cfRule type="containsText" dxfId="1864" priority="218" operator="containsText" text=" ">
      <formula>NOT(ISERROR(SEARCH(" ",J3)))</formula>
    </cfRule>
  </conditionalFormatting>
  <conditionalFormatting sqref="B7 R12:XFD15 M12:M15 A12:E15 A17:XFD21">
    <cfRule type="containsText" dxfId="1863" priority="111" operator="containsText" text=" ">
      <formula>NOT(ISERROR(SEARCH(" ",A7)))</formula>
    </cfRule>
  </conditionalFormatting>
  <conditionalFormatting sqref="C9 F9:Q9 A9 N12:O15 L12:L15 T9:XFD9">
    <cfRule type="containsText" dxfId="1862" priority="214" operator="containsText" text=" ">
      <formula>NOT(ISERROR(SEARCH(" ",A9)))</formula>
    </cfRule>
  </conditionalFormatting>
  <conditionalFormatting sqref="C10 F10:Q10 A10 T10:XFD10">
    <cfRule type="containsText" dxfId="1861" priority="194" operator="containsText" text=" ">
      <formula>NOT(ISERROR(SEARCH(" ",A10)))</formula>
    </cfRule>
  </conditionalFormatting>
  <conditionalFormatting sqref="A11 F11:L11 T11:XFD11 N11:Q11">
    <cfRule type="containsText" dxfId="1860" priority="77" operator="containsText" text=" ">
      <formula>NOT(ISERROR(SEARCH(" ",A11)))</formula>
    </cfRule>
  </conditionalFormatting>
  <conditionalFormatting sqref="R16:XFD16 M16 A16:E16">
    <cfRule type="containsText" dxfId="1859" priority="60" operator="containsText" text=" ">
      <formula>NOT(ISERROR(SEARCH(" ",A16)))</formula>
    </cfRule>
  </conditionalFormatting>
  <conditionalFormatting sqref="P16:Q16 F16:K16">
    <cfRule type="containsText" dxfId="1858" priority="62" operator="containsText" text=" ">
      <formula>NOT(ISERROR(SEARCH(" ",F16)))</formula>
    </cfRule>
  </conditionalFormatting>
  <conditionalFormatting sqref="C22 A22 F22:L22 T22:XFD22 N22:Q22">
    <cfRule type="containsText" dxfId="1857" priority="69" operator="containsText" text=" ">
      <formula>NOT(ISERROR(SEARCH(" ",A22)))</formula>
    </cfRule>
  </conditionalFormatting>
  <conditionalFormatting sqref="A23 A26:A27 C23 F23:L23 T23:U23 N26:Q27 T26:T27 L26:L27 G26:J27 N23:Q23">
    <cfRule type="containsText" dxfId="1856" priority="57" operator="containsText" text=" ">
      <formula>NOT(ISERROR(SEARCH(" ",A23)))</formula>
    </cfRule>
  </conditionalFormatting>
  <conditionalFormatting sqref="B23 B26:B30">
    <cfRule type="containsText" dxfId="1855" priority="9" operator="containsText" text=" ">
      <formula>NOT(ISERROR(SEARCH(" ",B23)))</formula>
    </cfRule>
  </conditionalFormatting>
  <conditionalFormatting sqref="R23:S23 D31:E32 D23:D30 M23">
    <cfRule type="containsText" dxfId="1854" priority="10" operator="containsText" text=" ">
      <formula>NOT(ISERROR(SEARCH(" ",D23)))</formula>
    </cfRule>
  </conditionalFormatting>
  <conditionalFormatting sqref="E26:E27 E23">
    <cfRule type="containsText" dxfId="1853" priority="6" operator="containsText" text=" ">
      <formula>NOT(ISERROR(SEARCH(" ",E23)))</formula>
    </cfRule>
  </conditionalFormatting>
  <conditionalFormatting sqref="V23:XFD23 V26:XFD27">
    <cfRule type="containsText" dxfId="1852" priority="212" operator="containsText" text=" ">
      <formula>NOT(ISERROR(SEARCH(" ",V23)))</formula>
    </cfRule>
  </conditionalFormatting>
  <conditionalFormatting sqref="A24 C24 F24:L24 N24:Q24 T24:U24">
    <cfRule type="containsText" dxfId="1851" priority="17" operator="containsText" text=" ">
      <formula>NOT(ISERROR(SEARCH(" ",A24)))</formula>
    </cfRule>
  </conditionalFormatting>
  <conditionalFormatting sqref="A25 N25:Q25 T25 L25 G25:J25">
    <cfRule type="containsText" dxfId="1850" priority="42" operator="containsText" text=" ">
      <formula>NOT(ISERROR(SEARCH(" ",A25)))</formula>
    </cfRule>
  </conditionalFormatting>
  <conditionalFormatting sqref="A29:A30 M29:M30 R26:S27 M26:M27">
    <cfRule type="containsText" dxfId="1849" priority="54" operator="containsText" text=" ">
      <formula>NOT(ISERROR(SEARCH(" ",A26)))</formula>
    </cfRule>
  </conditionalFormatting>
  <conditionalFormatting sqref="A28 N28:Q28 T28 L28 G28:J28">
    <cfRule type="containsText" dxfId="1848" priority="25" operator="containsText" text=" ">
      <formula>NOT(ISERROR(SEARCH(" ",A28)))</formula>
    </cfRule>
  </conditionalFormatting>
  <conditionalFormatting sqref="T29:T30 L29:L30 G29:J30 N29:Q30">
    <cfRule type="containsText" dxfId="1847" priority="53" operator="containsText" text=" ">
      <formula>NOT(ISERROR(SEARCH(" ",G29)))</formula>
    </cfRule>
  </conditionalFormatting>
  <conditionalFormatting sqref="V29:XFD30">
    <cfRule type="containsText" dxfId="1846" priority="201" operator="containsText" text=" ">
      <formula>NOT(ISERROR(SEARCH(" ",V29)))</formula>
    </cfRule>
  </conditionalFormatting>
  <conditionalFormatting sqref="C31:C32 A31:A32 F31:F32">
    <cfRule type="containsText" dxfId="1845" priority="58" operator="containsText" text=" ">
      <formula>NOT(ISERROR(SEARCH(" ",A31)))</formula>
    </cfRule>
  </conditionalFormatting>
  <conditionalFormatting sqref="G31:J31 L31 N31:Q31 T31:U31">
    <cfRule type="containsText" dxfId="1844" priority="34" operator="containsText" text=" ">
      <formula>NOT(ISERROR(SEARCH(" ",G31)))</formula>
    </cfRule>
  </conditionalFormatting>
  <conditionalFormatting sqref="P32:Q32 T32:U32">
    <cfRule type="containsText" dxfId="1843" priority="30" operator="containsText" text=" ">
      <formula>NOT(ISERROR(SEARCH(" ",P32)))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5"/>
  <sheetViews>
    <sheetView tabSelected="1" workbookViewId="0">
      <selection activeCell="J7" sqref="J7"/>
    </sheetView>
  </sheetViews>
  <sheetFormatPr defaultColWidth="9" defaultRowHeight="16.5" x14ac:dyDescent="0.45"/>
  <cols>
    <col min="1" max="1" width="15.81640625" style="190" customWidth="1"/>
    <col min="2" max="2" width="15.90625" style="190" customWidth="1"/>
    <col min="3" max="3" width="13.81640625" style="190" customWidth="1"/>
    <col min="4" max="4" width="15.08984375" style="190" customWidth="1"/>
    <col min="5" max="5" width="12" style="190" customWidth="1"/>
    <col min="6" max="6" width="13.08984375" style="190" customWidth="1"/>
    <col min="7" max="8" width="11.08984375" style="190" customWidth="1"/>
    <col min="9" max="9" width="13.36328125" style="190" customWidth="1"/>
    <col min="10" max="10" width="23.90625" style="190" customWidth="1"/>
    <col min="11" max="11" width="21" style="190" customWidth="1"/>
    <col min="12" max="12" width="18.90625" style="190" customWidth="1"/>
    <col min="13" max="15" width="19.1796875" style="190" customWidth="1"/>
    <col min="16" max="16" width="29.453125" style="190" customWidth="1"/>
    <col min="17" max="17" width="22.81640625" style="190" customWidth="1"/>
    <col min="18" max="18" width="20.453125" style="190" customWidth="1"/>
    <col min="19" max="19" width="19.1796875" style="190" customWidth="1"/>
    <col min="20" max="20" width="11.90625" style="190" customWidth="1"/>
    <col min="21" max="23" width="19.1796875" style="190" customWidth="1"/>
    <col min="24" max="24" width="18.1796875" style="190" customWidth="1"/>
    <col min="25" max="25" width="18.54296875" style="190" customWidth="1"/>
    <col min="26" max="26" width="18.08984375" style="190" customWidth="1"/>
    <col min="27" max="27" width="16" style="190" customWidth="1"/>
    <col min="28" max="29" width="23.1796875" style="190" customWidth="1"/>
    <col min="30" max="30" width="15.90625" style="190" customWidth="1"/>
    <col min="31" max="31" width="9.36328125" style="190" customWidth="1"/>
    <col min="32" max="35" width="14.08984375" style="190" customWidth="1"/>
    <col min="36" max="37" width="9" style="190"/>
    <col min="38" max="38" width="36.08984375" style="190" customWidth="1"/>
    <col min="39" max="39" width="11.6328125" style="1" customWidth="1"/>
    <col min="40" max="40" width="10.1796875" style="1" customWidth="1"/>
    <col min="41" max="41" width="17.08984375" style="1" customWidth="1"/>
    <col min="42" max="42" width="10.08984375" style="1" customWidth="1"/>
    <col min="43" max="43" width="9" style="1"/>
    <col min="44" max="44" width="30.36328125" style="1" customWidth="1"/>
    <col min="45" max="47" width="9" style="1"/>
    <col min="48" max="16384" width="9" style="190"/>
  </cols>
  <sheetData>
    <row r="1" spans="1:56" x14ac:dyDescent="0.45">
      <c r="A1" s="3" t="s">
        <v>0</v>
      </c>
      <c r="B1" s="3" t="s">
        <v>0</v>
      </c>
      <c r="C1" s="3" t="s">
        <v>0</v>
      </c>
      <c r="D1" s="310" t="s">
        <v>0</v>
      </c>
      <c r="E1" s="3" t="s">
        <v>0</v>
      </c>
      <c r="F1" s="310" t="s">
        <v>0</v>
      </c>
      <c r="G1" s="3" t="s">
        <v>0</v>
      </c>
      <c r="H1" s="3" t="s">
        <v>0</v>
      </c>
      <c r="I1" s="310" t="s">
        <v>0</v>
      </c>
      <c r="J1" s="3" t="s">
        <v>0</v>
      </c>
      <c r="K1" s="3" t="s">
        <v>0</v>
      </c>
      <c r="L1" s="55" t="s">
        <v>0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0</v>
      </c>
      <c r="R1" s="55" t="s">
        <v>1</v>
      </c>
      <c r="S1" s="55" t="s">
        <v>1</v>
      </c>
      <c r="T1" s="446" t="s">
        <v>1</v>
      </c>
      <c r="U1" s="55" t="s">
        <v>1</v>
      </c>
      <c r="V1" s="447" t="s">
        <v>691</v>
      </c>
      <c r="W1" s="447" t="s">
        <v>691</v>
      </c>
      <c r="X1" s="39" t="s">
        <v>691</v>
      </c>
      <c r="Y1" s="39" t="s">
        <v>0</v>
      </c>
      <c r="Z1" s="39" t="s">
        <v>0</v>
      </c>
      <c r="AA1" s="39" t="s">
        <v>691</v>
      </c>
      <c r="AB1" s="39" t="s">
        <v>691</v>
      </c>
      <c r="AC1" s="39" t="s">
        <v>691</v>
      </c>
      <c r="AD1" s="39" t="s">
        <v>691</v>
      </c>
      <c r="AE1" s="39" t="s">
        <v>691</v>
      </c>
      <c r="AF1" s="3" t="s">
        <v>691</v>
      </c>
      <c r="AG1" s="3" t="s">
        <v>691</v>
      </c>
      <c r="AH1" s="3" t="s">
        <v>691</v>
      </c>
      <c r="AI1" s="3" t="s">
        <v>691</v>
      </c>
    </row>
    <row r="2" spans="1:56" x14ac:dyDescent="0.45">
      <c r="A2" s="3" t="s">
        <v>2</v>
      </c>
      <c r="B2" s="3" t="s">
        <v>2</v>
      </c>
      <c r="C2" s="3" t="s">
        <v>2</v>
      </c>
      <c r="D2" s="310" t="s">
        <v>2</v>
      </c>
      <c r="E2" s="3" t="s">
        <v>2</v>
      </c>
      <c r="F2" s="310" t="s">
        <v>2</v>
      </c>
      <c r="G2" s="3" t="s">
        <v>2</v>
      </c>
      <c r="H2" s="3" t="s">
        <v>2</v>
      </c>
      <c r="I2" s="310" t="s">
        <v>2</v>
      </c>
      <c r="J2" s="39" t="s">
        <v>5</v>
      </c>
      <c r="K2" s="3" t="s">
        <v>841</v>
      </c>
      <c r="L2" s="55" t="s">
        <v>841</v>
      </c>
      <c r="M2" s="363" t="s">
        <v>2</v>
      </c>
      <c r="N2" s="363" t="s">
        <v>2</v>
      </c>
      <c r="O2" s="446" t="s">
        <v>5</v>
      </c>
      <c r="P2" s="446" t="s">
        <v>5</v>
      </c>
      <c r="Q2" s="363" t="s">
        <v>2</v>
      </c>
      <c r="R2" s="446" t="s">
        <v>5</v>
      </c>
      <c r="S2" s="446" t="s">
        <v>5</v>
      </c>
      <c r="T2" s="55" t="s">
        <v>3</v>
      </c>
      <c r="U2" s="55" t="s">
        <v>3</v>
      </c>
      <c r="V2" s="447" t="s">
        <v>5</v>
      </c>
      <c r="W2" s="447" t="s">
        <v>5</v>
      </c>
      <c r="X2" s="39" t="s">
        <v>5</v>
      </c>
      <c r="Y2" s="39" t="s">
        <v>5</v>
      </c>
      <c r="Z2" s="39" t="s">
        <v>5</v>
      </c>
      <c r="AA2" s="39" t="s">
        <v>5</v>
      </c>
      <c r="AB2" s="39" t="s">
        <v>5</v>
      </c>
      <c r="AC2" s="39" t="s">
        <v>5</v>
      </c>
      <c r="AD2" s="39" t="s">
        <v>5</v>
      </c>
      <c r="AE2" s="39" t="s">
        <v>5</v>
      </c>
      <c r="AF2" s="3" t="s">
        <v>2</v>
      </c>
      <c r="AG2" s="3" t="s">
        <v>5</v>
      </c>
      <c r="AH2" s="3" t="s">
        <v>5</v>
      </c>
      <c r="AI2" s="3" t="s">
        <v>5</v>
      </c>
      <c r="AJ2" s="190" t="s">
        <v>842</v>
      </c>
    </row>
    <row r="3" spans="1:56" s="364" customFormat="1" ht="13.5" x14ac:dyDescent="0.4">
      <c r="A3" s="440" t="s">
        <v>843</v>
      </c>
      <c r="B3" s="440" t="s">
        <v>844</v>
      </c>
      <c r="C3" s="440" t="s">
        <v>845</v>
      </c>
      <c r="D3" s="441" t="s">
        <v>846</v>
      </c>
      <c r="E3" s="443" t="s">
        <v>847</v>
      </c>
      <c r="F3" s="444" t="s">
        <v>848</v>
      </c>
      <c r="G3" s="443" t="s">
        <v>849</v>
      </c>
      <c r="H3" s="440" t="s">
        <v>850</v>
      </c>
      <c r="I3" s="444" t="s">
        <v>851</v>
      </c>
      <c r="J3" s="443" t="s">
        <v>852</v>
      </c>
      <c r="K3" s="445" t="s">
        <v>853</v>
      </c>
      <c r="L3" s="445" t="s">
        <v>854</v>
      </c>
      <c r="M3" s="445" t="s">
        <v>855</v>
      </c>
      <c r="N3" s="445" t="s">
        <v>856</v>
      </c>
      <c r="O3" s="445" t="s">
        <v>857</v>
      </c>
      <c r="P3" s="445" t="s">
        <v>858</v>
      </c>
      <c r="Q3" s="445" t="s">
        <v>859</v>
      </c>
      <c r="R3" s="445" t="s">
        <v>860</v>
      </c>
      <c r="S3" s="445" t="s">
        <v>861</v>
      </c>
      <c r="T3" s="445" t="s">
        <v>862</v>
      </c>
      <c r="U3" s="445" t="s">
        <v>863</v>
      </c>
      <c r="V3" s="444" t="s">
        <v>864</v>
      </c>
      <c r="W3" s="444" t="s">
        <v>865</v>
      </c>
      <c r="X3" s="39" t="s">
        <v>866</v>
      </c>
      <c r="Y3" s="39" t="s">
        <v>867</v>
      </c>
      <c r="Z3" s="39" t="s">
        <v>868</v>
      </c>
      <c r="AA3" s="39" t="s">
        <v>869</v>
      </c>
      <c r="AB3" s="39" t="s">
        <v>870</v>
      </c>
      <c r="AC3" s="39" t="s">
        <v>871</v>
      </c>
      <c r="AD3" s="39" t="s">
        <v>872</v>
      </c>
      <c r="AE3" s="39" t="s">
        <v>873</v>
      </c>
      <c r="AF3" s="39" t="s">
        <v>874</v>
      </c>
      <c r="AG3" s="39" t="s">
        <v>875</v>
      </c>
      <c r="AH3" s="39" t="s">
        <v>876</v>
      </c>
      <c r="AI3" s="39" t="s">
        <v>877</v>
      </c>
      <c r="AJ3" s="364" t="s">
        <v>878</v>
      </c>
      <c r="AM3" s="236"/>
      <c r="AN3" s="236"/>
      <c r="AO3" s="236"/>
      <c r="AP3" s="236"/>
      <c r="AQ3" s="236"/>
      <c r="AR3" s="236"/>
      <c r="AS3" s="236"/>
      <c r="AT3" s="236"/>
      <c r="AU3" s="236"/>
    </row>
    <row r="4" spans="1:56" ht="76.75" customHeight="1" x14ac:dyDescent="0.45">
      <c r="A4" s="63" t="s">
        <v>879</v>
      </c>
      <c r="B4" s="63" t="s">
        <v>880</v>
      </c>
      <c r="C4" s="63" t="s">
        <v>881</v>
      </c>
      <c r="D4" s="311" t="s">
        <v>882</v>
      </c>
      <c r="E4" s="63" t="s">
        <v>883</v>
      </c>
      <c r="F4" s="311" t="s">
        <v>884</v>
      </c>
      <c r="G4" s="63" t="s">
        <v>885</v>
      </c>
      <c r="H4" s="63" t="s">
        <v>886</v>
      </c>
      <c r="I4" s="311" t="s">
        <v>887</v>
      </c>
      <c r="J4" s="63" t="s">
        <v>888</v>
      </c>
      <c r="K4" s="63" t="s">
        <v>889</v>
      </c>
      <c r="L4" s="446" t="s">
        <v>890</v>
      </c>
      <c r="M4" s="446" t="s">
        <v>891</v>
      </c>
      <c r="N4" s="446" t="s">
        <v>892</v>
      </c>
      <c r="O4" s="446" t="s">
        <v>893</v>
      </c>
      <c r="P4" s="446" t="s">
        <v>894</v>
      </c>
      <c r="Q4" s="446" t="s">
        <v>895</v>
      </c>
      <c r="R4" s="446" t="s">
        <v>896</v>
      </c>
      <c r="S4" s="446" t="s">
        <v>897</v>
      </c>
      <c r="T4" s="446" t="s">
        <v>898</v>
      </c>
      <c r="U4" s="446" t="s">
        <v>899</v>
      </c>
      <c r="V4" s="39" t="s">
        <v>900</v>
      </c>
      <c r="W4" s="39" t="s">
        <v>901</v>
      </c>
      <c r="X4" s="39" t="s">
        <v>902</v>
      </c>
      <c r="Y4" s="39" t="s">
        <v>903</v>
      </c>
      <c r="Z4" s="39" t="s">
        <v>904</v>
      </c>
      <c r="AA4" s="39" t="s">
        <v>905</v>
      </c>
      <c r="AB4" s="39" t="s">
        <v>906</v>
      </c>
      <c r="AC4" s="39" t="s">
        <v>907</v>
      </c>
      <c r="AD4" s="39" t="s">
        <v>908</v>
      </c>
      <c r="AE4" s="39" t="s">
        <v>909</v>
      </c>
      <c r="AF4" s="39" t="s">
        <v>910</v>
      </c>
      <c r="AG4" s="446" t="s">
        <v>911</v>
      </c>
      <c r="AH4" s="446" t="s">
        <v>912</v>
      </c>
      <c r="AI4" s="446" t="s">
        <v>913</v>
      </c>
      <c r="AN4" s="1" t="s">
        <v>914</v>
      </c>
      <c r="AU4" s="1" t="s">
        <v>865</v>
      </c>
    </row>
    <row r="5" spans="1:56" x14ac:dyDescent="0.45">
      <c r="A5" s="1">
        <v>4</v>
      </c>
      <c r="B5" s="1">
        <v>1</v>
      </c>
      <c r="C5" s="13">
        <v>500</v>
      </c>
      <c r="D5" s="13">
        <v>30000</v>
      </c>
      <c r="E5" s="13">
        <v>0</v>
      </c>
      <c r="F5" s="13">
        <v>-1</v>
      </c>
      <c r="G5" s="1">
        <v>0</v>
      </c>
      <c r="H5" s="1">
        <v>500</v>
      </c>
      <c r="I5" s="1">
        <v>0</v>
      </c>
      <c r="J5" s="1" t="s">
        <v>82</v>
      </c>
      <c r="K5" s="1" t="s">
        <v>82</v>
      </c>
      <c r="L5" s="62"/>
      <c r="M5" s="2">
        <v>0</v>
      </c>
      <c r="N5" s="2"/>
      <c r="O5" s="2" t="s">
        <v>915</v>
      </c>
      <c r="P5" s="2"/>
      <c r="Q5" s="2"/>
      <c r="R5" s="62" t="s">
        <v>916</v>
      </c>
      <c r="S5" s="62" t="s">
        <v>917</v>
      </c>
      <c r="T5" s="62">
        <v>1</v>
      </c>
      <c r="U5" s="2">
        <v>0</v>
      </c>
      <c r="V5" s="2" t="s">
        <v>918</v>
      </c>
      <c r="W5" s="1" t="s">
        <v>919</v>
      </c>
      <c r="X5" s="190" t="s">
        <v>920</v>
      </c>
      <c r="Y5" s="436" t="s">
        <v>920</v>
      </c>
      <c r="Z5" s="190" t="s">
        <v>921</v>
      </c>
      <c r="AA5" s="190" t="s">
        <v>922</v>
      </c>
      <c r="AB5" s="1" t="s">
        <v>87</v>
      </c>
      <c r="AC5" s="1" t="s">
        <v>923</v>
      </c>
      <c r="AD5" s="1" t="s">
        <v>924</v>
      </c>
      <c r="AE5" s="360" t="s">
        <v>925</v>
      </c>
      <c r="AF5" s="190">
        <v>10</v>
      </c>
      <c r="AG5" s="190" t="s">
        <v>926</v>
      </c>
      <c r="AH5" s="190" t="s">
        <v>927</v>
      </c>
      <c r="AI5" s="190" t="s">
        <v>928</v>
      </c>
      <c r="AM5" s="1" t="s">
        <v>929</v>
      </c>
      <c r="AN5" s="1" t="s">
        <v>930</v>
      </c>
      <c r="AO5" s="1" t="s">
        <v>931</v>
      </c>
      <c r="AP5" s="1" t="s">
        <v>932</v>
      </c>
      <c r="AR5" s="1" t="str">
        <f>"["&amp;AN5&amp;","&amp;AO5&amp;","&amp;AP5&amp;"]"</f>
        <v>[ic_dcj_8,tx_ld_bhjl_01,ui_dcj_k_1]</v>
      </c>
      <c r="AU5" s="1" t="str">
        <f>"["&amp;AR20&amp;","&amp;AR21&amp;","&amp;AR22&amp;","&amp;AR23&amp;"]"</f>
        <v>[[ic_dcj_6,tx_ld_xlj_01,ui_dcj_k_3],[ic_dcj_7,tx_ld_cs_01,ui_dcj_k_1],[ic_dcj_4,tx_ld_as_01,ui_dcj_k_3],[ic_dcj_9,tx_ld_lsc_01,ui_dcj_k_3]]</v>
      </c>
      <c r="AV5"/>
      <c r="AY5"/>
      <c r="AZ5"/>
      <c r="BA5"/>
      <c r="BB5"/>
      <c r="BC5"/>
      <c r="BD5"/>
    </row>
    <row r="6" spans="1:56" x14ac:dyDescent="0.45">
      <c r="A6" s="1"/>
      <c r="B6" s="1"/>
      <c r="C6" s="442"/>
      <c r="D6" s="13"/>
      <c r="E6" s="442"/>
      <c r="F6" s="13"/>
      <c r="G6" s="1"/>
      <c r="H6" s="90"/>
      <c r="I6" s="1"/>
      <c r="J6" s="1"/>
      <c r="K6" s="1"/>
      <c r="R6" s="62"/>
      <c r="S6" s="62"/>
      <c r="T6" s="62"/>
      <c r="U6" s="62"/>
      <c r="V6" s="62"/>
      <c r="W6" s="62"/>
      <c r="AB6" s="1"/>
      <c r="AC6" s="1"/>
      <c r="AD6" s="1"/>
      <c r="AE6" s="360"/>
      <c r="AM6" s="1" t="s">
        <v>933</v>
      </c>
      <c r="AN6" s="1" t="s">
        <v>934</v>
      </c>
      <c r="AO6" s="1" t="s">
        <v>935</v>
      </c>
      <c r="AP6" s="1" t="s">
        <v>936</v>
      </c>
      <c r="AR6" s="1" t="str">
        <f t="shared" ref="AR6:AR33" si="0">"["&amp;AN6&amp;","&amp;AO6&amp;","&amp;AP6&amp;"]"</f>
        <v>[ic_dcj_9,tx_ld_lsc_01,ui_dcj_k_3]</v>
      </c>
      <c r="AV6"/>
      <c r="AY6"/>
      <c r="AZ6"/>
      <c r="BA6"/>
      <c r="BB6"/>
      <c r="BC6"/>
      <c r="BD6"/>
    </row>
    <row r="7" spans="1:56" x14ac:dyDescent="0.45">
      <c r="A7" s="1"/>
      <c r="B7" s="1"/>
      <c r="C7" s="13"/>
      <c r="D7" s="13"/>
      <c r="E7" s="13"/>
      <c r="F7" s="13"/>
      <c r="G7" s="1"/>
      <c r="H7" s="1"/>
      <c r="I7" s="1"/>
      <c r="J7" s="1"/>
      <c r="K7" s="1"/>
      <c r="L7" s="62"/>
      <c r="M7" s="62"/>
      <c r="N7" s="62"/>
      <c r="O7" s="62"/>
      <c r="P7" s="62"/>
      <c r="Q7" s="62"/>
      <c r="R7" s="62"/>
      <c r="S7" s="62"/>
      <c r="T7" s="62"/>
      <c r="U7" s="2"/>
      <c r="V7" s="2"/>
      <c r="W7" s="2"/>
      <c r="Y7" s="436"/>
      <c r="AB7" s="1"/>
      <c r="AC7" s="1"/>
      <c r="AD7" s="1"/>
      <c r="AE7" s="360"/>
      <c r="AM7" s="1" t="s">
        <v>937</v>
      </c>
      <c r="AN7" s="1" t="s">
        <v>938</v>
      </c>
      <c r="AO7" s="1" t="s">
        <v>939</v>
      </c>
      <c r="AP7" s="1" t="s">
        <v>936</v>
      </c>
      <c r="AR7" s="1" t="str">
        <f t="shared" si="0"/>
        <v>[ic_dcj_10,tx_ld_bfy_01,ui_dcj_k_3]</v>
      </c>
      <c r="AV7"/>
      <c r="AW7"/>
      <c r="AX7"/>
      <c r="AY7"/>
      <c r="AZ7"/>
      <c r="BA7"/>
      <c r="BB7"/>
      <c r="BC7"/>
      <c r="BD7"/>
    </row>
    <row r="8" spans="1:56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AM8" s="1" t="s">
        <v>940</v>
      </c>
      <c r="AN8" s="1" t="s">
        <v>941</v>
      </c>
      <c r="AO8" s="1" t="s">
        <v>942</v>
      </c>
      <c r="AP8" s="1" t="s">
        <v>936</v>
      </c>
      <c r="AR8" s="1" t="str">
        <f t="shared" si="0"/>
        <v>[ic_dcj_11,tx_ld_xjj_01,ui_dcj_k_3]</v>
      </c>
      <c r="AU8" s="190"/>
      <c r="AV8"/>
      <c r="AW8"/>
      <c r="AX8"/>
      <c r="AY8"/>
      <c r="AZ8"/>
      <c r="BA8"/>
      <c r="BB8"/>
      <c r="BC8"/>
      <c r="BD8"/>
    </row>
    <row r="9" spans="1:56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AR9" s="1" t="str">
        <f t="shared" si="0"/>
        <v>[,,]</v>
      </c>
      <c r="AV9"/>
      <c r="AW9"/>
      <c r="AX9"/>
      <c r="AY9"/>
      <c r="AZ9"/>
      <c r="BA9"/>
      <c r="BB9"/>
      <c r="BC9"/>
      <c r="BD9"/>
    </row>
    <row r="10" spans="1:56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AM10" s="1" t="s">
        <v>943</v>
      </c>
      <c r="AN10" s="1" t="s">
        <v>944</v>
      </c>
      <c r="AO10" s="1" t="s">
        <v>945</v>
      </c>
      <c r="AP10" s="1" t="s">
        <v>936</v>
      </c>
      <c r="AR10" s="1" t="str">
        <f t="shared" si="0"/>
        <v>[ic_dcj_4,tx_ld_as_01,ui_dcj_k_3]</v>
      </c>
      <c r="AV10"/>
      <c r="AW10"/>
      <c r="AX10"/>
      <c r="AY10"/>
      <c r="AZ10"/>
      <c r="BA10"/>
      <c r="BB10"/>
      <c r="BC10"/>
      <c r="BD10"/>
    </row>
    <row r="11" spans="1:56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AM11" s="1" t="s">
        <v>946</v>
      </c>
      <c r="AN11" s="1" t="s">
        <v>947</v>
      </c>
      <c r="AO11" s="1" t="s">
        <v>948</v>
      </c>
      <c r="AP11" s="1" t="s">
        <v>932</v>
      </c>
      <c r="AR11" s="1" t="str">
        <f t="shared" si="0"/>
        <v>[ic_dcj_1,tx_ld_cjlzfks_01,ui_dcj_k_1]</v>
      </c>
      <c r="AV11"/>
      <c r="AW11"/>
      <c r="AX11"/>
      <c r="AY11"/>
      <c r="AZ11"/>
      <c r="BA11"/>
      <c r="BB11"/>
      <c r="BC11"/>
      <c r="BD11"/>
    </row>
    <row r="12" spans="1:56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AB12"/>
      <c r="AC12"/>
      <c r="AM12" s="1" t="s">
        <v>949</v>
      </c>
      <c r="AN12" s="1" t="s">
        <v>950</v>
      </c>
      <c r="AO12" s="1" t="s">
        <v>951</v>
      </c>
      <c r="AP12" s="1" t="s">
        <v>936</v>
      </c>
      <c r="AR12" s="1" t="str">
        <f t="shared" si="0"/>
        <v>[ic_dcj_2_1,tx_ld_fklx_01,ui_dcj_k_3]</v>
      </c>
      <c r="AV12"/>
      <c r="AW12"/>
      <c r="AX12"/>
      <c r="AY12"/>
      <c r="AZ12"/>
      <c r="BA12"/>
      <c r="BB12"/>
      <c r="BC12"/>
      <c r="BD12"/>
    </row>
    <row r="13" spans="1:56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Y13"/>
      <c r="AB13"/>
      <c r="AC13"/>
      <c r="AM13" s="1" t="s">
        <v>952</v>
      </c>
      <c r="AN13" s="1" t="s">
        <v>953</v>
      </c>
      <c r="AO13" s="1" t="s">
        <v>954</v>
      </c>
      <c r="AP13" s="1" t="s">
        <v>936</v>
      </c>
      <c r="AR13" s="1" t="str">
        <f t="shared" si="0"/>
        <v>[ic_dcj_3,tx_ld_xyxkp_01,ui_dcj_k_3]</v>
      </c>
      <c r="AV13"/>
      <c r="AW13"/>
      <c r="AX13"/>
      <c r="AY13"/>
      <c r="AZ13"/>
      <c r="BA13"/>
      <c r="BB13"/>
      <c r="BC13"/>
      <c r="BD13"/>
    </row>
    <row r="14" spans="1:56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AB14"/>
      <c r="AC14"/>
      <c r="AR14" s="1" t="str">
        <f t="shared" si="0"/>
        <v>[,,]</v>
      </c>
      <c r="AV14"/>
      <c r="AW14"/>
      <c r="AX14"/>
      <c r="AY14"/>
      <c r="AZ14"/>
      <c r="BA14"/>
      <c r="BB14"/>
      <c r="BC14"/>
      <c r="BD14"/>
    </row>
    <row r="15" spans="1:56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AB15"/>
      <c r="AC15"/>
      <c r="AM15" s="1" t="s">
        <v>955</v>
      </c>
      <c r="AN15" s="1" t="s">
        <v>956</v>
      </c>
      <c r="AO15" s="1" t="s">
        <v>957</v>
      </c>
      <c r="AP15" s="1" t="s">
        <v>936</v>
      </c>
      <c r="AR15" s="1" t="str">
        <f t="shared" si="0"/>
        <v>[ic_dcj_5,tx_ld_cs_01,ui_dcj_k_3]</v>
      </c>
      <c r="AV15"/>
      <c r="AW15"/>
      <c r="AX15"/>
      <c r="AY15"/>
      <c r="AZ15"/>
      <c r="BA15"/>
      <c r="BB15"/>
      <c r="BC15"/>
      <c r="BD15"/>
    </row>
    <row r="16" spans="1:56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AM16" s="1" t="s">
        <v>958</v>
      </c>
      <c r="AN16" s="1" t="s">
        <v>959</v>
      </c>
      <c r="AO16" s="1" t="s">
        <v>960</v>
      </c>
      <c r="AP16" s="1" t="s">
        <v>932</v>
      </c>
      <c r="AR16" s="1" t="str">
        <f t="shared" si="0"/>
        <v>[ic_dcj_7,tx_ld_jc_01,ui_dcj_k_1]</v>
      </c>
      <c r="AV16"/>
      <c r="AW16"/>
      <c r="AX16"/>
      <c r="AY16"/>
      <c r="AZ16"/>
      <c r="BA16"/>
      <c r="BB16"/>
      <c r="BC16"/>
      <c r="BD16"/>
    </row>
    <row r="17" spans="1:56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AM17" s="1" t="s">
        <v>946</v>
      </c>
      <c r="AN17" s="1" t="s">
        <v>947</v>
      </c>
      <c r="AO17" s="1" t="s">
        <v>961</v>
      </c>
      <c r="AP17" s="1" t="s">
        <v>936</v>
      </c>
      <c r="AR17" s="1" t="str">
        <f t="shared" si="0"/>
        <v>[ic_dcj_1,tx_ld_zjlzfks_01,ui_dcj_k_3]</v>
      </c>
      <c r="AV17"/>
      <c r="AW17"/>
      <c r="AX17"/>
      <c r="AY17"/>
      <c r="AZ17"/>
      <c r="BA17"/>
      <c r="BB17"/>
      <c r="BC17"/>
      <c r="BD17"/>
    </row>
    <row r="18" spans="1:56" x14ac:dyDescent="0.45">
      <c r="AM18" s="1" t="s">
        <v>949</v>
      </c>
      <c r="AN18" s="1" t="s">
        <v>962</v>
      </c>
      <c r="AO18" s="1" t="s">
        <v>951</v>
      </c>
      <c r="AP18" s="1" t="s">
        <v>936</v>
      </c>
      <c r="AR18" s="1" t="str">
        <f t="shared" si="0"/>
        <v>[ic_dcj_2_2,tx_ld_fklx_01,ui_dcj_k_3]</v>
      </c>
      <c r="AV18"/>
      <c r="AW18"/>
      <c r="AX18"/>
      <c r="AY18"/>
      <c r="AZ18"/>
      <c r="BA18"/>
      <c r="BB18"/>
      <c r="BC18"/>
      <c r="BD18"/>
    </row>
    <row r="19" spans="1:56" x14ac:dyDescent="0.45">
      <c r="AR19" s="1" t="str">
        <f t="shared" si="0"/>
        <v>[,,]</v>
      </c>
      <c r="AV19"/>
      <c r="AW19"/>
      <c r="AX19"/>
      <c r="AY19"/>
      <c r="AZ19"/>
      <c r="BA19"/>
      <c r="BB19"/>
      <c r="BC19"/>
      <c r="BD19"/>
    </row>
    <row r="20" spans="1:56" x14ac:dyDescent="0.45">
      <c r="AM20" s="196" t="s">
        <v>963</v>
      </c>
      <c r="AN20" s="1" t="s">
        <v>964</v>
      </c>
      <c r="AO20" s="1" t="s">
        <v>965</v>
      </c>
      <c r="AP20" s="1" t="s">
        <v>936</v>
      </c>
      <c r="AR20" s="1" t="str">
        <f t="shared" si="0"/>
        <v>[ic_dcj_6,tx_ld_xlj_01,ui_dcj_k_3]</v>
      </c>
      <c r="AV20"/>
      <c r="AW20"/>
      <c r="AX20"/>
      <c r="AY20"/>
      <c r="AZ20"/>
      <c r="BA20"/>
      <c r="BB20"/>
      <c r="BC20"/>
      <c r="BD20"/>
    </row>
    <row r="21" spans="1:56" x14ac:dyDescent="0.45">
      <c r="AM21" s="196" t="s">
        <v>958</v>
      </c>
      <c r="AN21" s="1" t="s">
        <v>959</v>
      </c>
      <c r="AO21" s="1" t="s">
        <v>957</v>
      </c>
      <c r="AP21" s="1" t="s">
        <v>932</v>
      </c>
      <c r="AR21" s="1" t="str">
        <f t="shared" si="0"/>
        <v>[ic_dcj_7,tx_ld_cs_01,ui_dcj_k_1]</v>
      </c>
      <c r="AV21"/>
      <c r="AW21"/>
      <c r="AX21"/>
      <c r="AY21"/>
      <c r="AZ21"/>
      <c r="BA21"/>
      <c r="BB21"/>
      <c r="BC21"/>
      <c r="BD21"/>
    </row>
    <row r="22" spans="1:56" x14ac:dyDescent="0.45">
      <c r="AM22" s="196" t="s">
        <v>943</v>
      </c>
      <c r="AN22" s="1" t="s">
        <v>944</v>
      </c>
      <c r="AO22" s="1" t="s">
        <v>945</v>
      </c>
      <c r="AP22" s="1" t="s">
        <v>936</v>
      </c>
      <c r="AR22" s="1" t="str">
        <f t="shared" si="0"/>
        <v>[ic_dcj_4,tx_ld_as_01,ui_dcj_k_3]</v>
      </c>
      <c r="AV22"/>
      <c r="AW22"/>
      <c r="AX22"/>
      <c r="AY22"/>
      <c r="AZ22"/>
      <c r="BA22"/>
      <c r="BB22"/>
      <c r="BC22"/>
      <c r="BD22"/>
    </row>
    <row r="23" spans="1:56" x14ac:dyDescent="0.45">
      <c r="AM23" s="196" t="s">
        <v>933</v>
      </c>
      <c r="AN23" s="1" t="s">
        <v>934</v>
      </c>
      <c r="AO23" s="1" t="s">
        <v>935</v>
      </c>
      <c r="AP23" s="1" t="s">
        <v>936</v>
      </c>
      <c r="AR23" s="1" t="str">
        <f t="shared" si="0"/>
        <v>[ic_dcj_9,tx_ld_lsc_01,ui_dcj_k_3]</v>
      </c>
      <c r="AV23"/>
      <c r="AW23"/>
      <c r="AX23"/>
      <c r="AY23"/>
      <c r="AZ23"/>
      <c r="BA23"/>
      <c r="BB23"/>
      <c r="BC23"/>
      <c r="BD23"/>
    </row>
    <row r="24" spans="1:56" x14ac:dyDescent="0.45">
      <c r="AR24" s="1" t="str">
        <f t="shared" si="0"/>
        <v>[,,]</v>
      </c>
      <c r="AV24"/>
      <c r="AW24"/>
      <c r="AX24"/>
      <c r="AY24"/>
      <c r="AZ24"/>
      <c r="BA24"/>
      <c r="BB24"/>
      <c r="BC24"/>
      <c r="BD24"/>
    </row>
    <row r="25" spans="1:56" x14ac:dyDescent="0.45">
      <c r="AM25" s="1" t="s">
        <v>966</v>
      </c>
      <c r="AN25" s="1" t="s">
        <v>967</v>
      </c>
      <c r="AO25" s="1" t="s">
        <v>968</v>
      </c>
      <c r="AP25" s="1" t="s">
        <v>932</v>
      </c>
      <c r="AR25" s="1" t="str">
        <f t="shared" si="0"/>
        <v>[ic_dcj_15,tx_ld_pm_01,ui_dcj_k_1]</v>
      </c>
      <c r="AV25"/>
      <c r="AW25"/>
      <c r="AX25"/>
      <c r="AY25"/>
      <c r="AZ25"/>
      <c r="BA25"/>
      <c r="BB25"/>
      <c r="BC25"/>
      <c r="BD25"/>
    </row>
    <row r="26" spans="1:56" x14ac:dyDescent="0.45">
      <c r="AM26" s="1" t="s">
        <v>969</v>
      </c>
      <c r="AN26" s="1" t="s">
        <v>970</v>
      </c>
      <c r="AO26" s="1" t="s">
        <v>971</v>
      </c>
      <c r="AP26" s="1" t="s">
        <v>936</v>
      </c>
      <c r="AR26" s="1" t="str">
        <f t="shared" si="0"/>
        <v>[ic_dcj_14,tx_ld_zd_01,ui_dcj_k_3]</v>
      </c>
      <c r="AV26"/>
      <c r="AW26"/>
      <c r="AX26"/>
      <c r="AY26"/>
      <c r="AZ26"/>
      <c r="BA26"/>
      <c r="BB26"/>
      <c r="BC26"/>
      <c r="BD26"/>
    </row>
    <row r="27" spans="1:56" x14ac:dyDescent="0.45">
      <c r="AM27" s="1" t="s">
        <v>972</v>
      </c>
      <c r="AN27" s="1" t="s">
        <v>973</v>
      </c>
      <c r="AO27" s="1" t="s">
        <v>974</v>
      </c>
      <c r="AP27" s="1" t="s">
        <v>936</v>
      </c>
      <c r="AR27" s="1" t="str">
        <f t="shared" si="0"/>
        <v>[ic_dcj_16,tx_ld_xyjf_01,ui_dcj_k_3]</v>
      </c>
      <c r="AV27"/>
      <c r="AW27"/>
      <c r="AX27"/>
      <c r="AY27"/>
      <c r="AZ27"/>
      <c r="BA27"/>
      <c r="BB27"/>
      <c r="BC27"/>
      <c r="BD27"/>
    </row>
    <row r="28" spans="1:56" x14ac:dyDescent="0.45">
      <c r="AR28" s="1" t="str">
        <f t="shared" si="0"/>
        <v>[,,]</v>
      </c>
      <c r="AV28"/>
      <c r="AW28"/>
      <c r="AX28"/>
      <c r="AY28"/>
      <c r="AZ28"/>
      <c r="BA28"/>
      <c r="BB28"/>
      <c r="BC28"/>
      <c r="BD28"/>
    </row>
    <row r="29" spans="1:56" x14ac:dyDescent="0.45">
      <c r="AR29" s="1" t="str">
        <f t="shared" si="0"/>
        <v>[,,]</v>
      </c>
      <c r="AV29"/>
      <c r="AW29"/>
      <c r="AX29"/>
      <c r="AY29"/>
      <c r="AZ29"/>
      <c r="BA29"/>
      <c r="BB29"/>
      <c r="BC29"/>
      <c r="BD29"/>
    </row>
    <row r="30" spans="1:56" x14ac:dyDescent="0.45">
      <c r="AM30" s="1" t="s">
        <v>975</v>
      </c>
      <c r="AN30" s="1" t="s">
        <v>976</v>
      </c>
      <c r="AO30" s="1" t="s">
        <v>977</v>
      </c>
      <c r="AP30" s="1" t="s">
        <v>932</v>
      </c>
      <c r="AR30" s="1" t="str">
        <f t="shared" si="0"/>
        <v>[ic_dcj_13,tx_ld_hjyhzz_01,ui_dcj_k_1]</v>
      </c>
      <c r="AV30"/>
      <c r="AW30"/>
      <c r="AX30"/>
      <c r="AY30"/>
      <c r="AZ30"/>
      <c r="BA30"/>
      <c r="BB30"/>
      <c r="BC30"/>
      <c r="BD30"/>
    </row>
    <row r="31" spans="1:56" x14ac:dyDescent="0.45">
      <c r="AM31" s="1" t="s">
        <v>978</v>
      </c>
      <c r="AN31" s="1" t="s">
        <v>979</v>
      </c>
      <c r="AO31" s="1" t="s">
        <v>980</v>
      </c>
      <c r="AP31" s="1" t="s">
        <v>936</v>
      </c>
      <c r="AR31" s="1" t="str">
        <f t="shared" si="0"/>
        <v>[ic_dcj_12,tx_ld_pb_01,ui_dcj_k_3]</v>
      </c>
      <c r="AV31"/>
      <c r="AW31"/>
      <c r="AX31"/>
    </row>
    <row r="32" spans="1:56" x14ac:dyDescent="0.45">
      <c r="AM32" s="1" t="s">
        <v>958</v>
      </c>
      <c r="AN32" s="1" t="s">
        <v>959</v>
      </c>
      <c r="AO32" s="1" t="s">
        <v>960</v>
      </c>
      <c r="AP32" s="1" t="s">
        <v>932</v>
      </c>
      <c r="AR32" s="1" t="str">
        <f t="shared" si="0"/>
        <v>[ic_dcj_7,tx_ld_jc_01,ui_dcj_k_1]</v>
      </c>
      <c r="AV32"/>
      <c r="AW32"/>
      <c r="AX32"/>
    </row>
    <row r="33" spans="39:50" x14ac:dyDescent="0.45">
      <c r="AM33" s="1" t="s">
        <v>946</v>
      </c>
      <c r="AN33" s="1" t="s">
        <v>947</v>
      </c>
      <c r="AO33" s="1" t="s">
        <v>981</v>
      </c>
      <c r="AP33" s="1" t="s">
        <v>936</v>
      </c>
      <c r="AR33" s="1" t="str">
        <f t="shared" si="0"/>
        <v>[ic_dcj_1,tx_ld_gjlzfks_01,ui_dcj_k_3]</v>
      </c>
      <c r="AV33"/>
      <c r="AW33"/>
      <c r="AX33"/>
    </row>
    <row r="34" spans="39:50" x14ac:dyDescent="0.45">
      <c r="AM34" s="190"/>
      <c r="AN34" s="190"/>
      <c r="AO34" s="190"/>
      <c r="AP34" s="190"/>
      <c r="AQ34" s="190"/>
      <c r="AR34" s="190"/>
      <c r="AS34" s="190"/>
      <c r="AT34" s="190"/>
      <c r="AU34" s="190"/>
      <c r="AW34"/>
      <c r="AX34"/>
    </row>
    <row r="35" spans="39:50" x14ac:dyDescent="0.45">
      <c r="AM35" s="190"/>
      <c r="AN35" s="190"/>
      <c r="AO35" s="190"/>
      <c r="AP35" s="190"/>
      <c r="AQ35" s="190"/>
      <c r="AR35" s="190"/>
      <c r="AS35" s="190"/>
      <c r="AT35" s="190"/>
      <c r="AU35" s="190"/>
      <c r="AW35"/>
      <c r="AX35"/>
    </row>
  </sheetData>
  <phoneticPr fontId="57" type="noConversion"/>
  <conditionalFormatting sqref="X5">
    <cfRule type="containsText" dxfId="1842" priority="15" operator="containsText" text=" ">
      <formula>NOT(ISERROR(SEARCH(" ",X5)))</formula>
    </cfRule>
  </conditionalFormatting>
  <conditionalFormatting sqref="AA5">
    <cfRule type="containsText" dxfId="1841" priority="24" operator="containsText" text=" ">
      <formula>NOT(ISERROR(SEARCH(" ",AA5)))</formula>
    </cfRule>
  </conditionalFormatting>
  <conditionalFormatting sqref="X6">
    <cfRule type="containsText" dxfId="1840" priority="13" operator="containsText" text=" ">
      <formula>NOT(ISERROR(SEARCH(" ",X6)))</formula>
    </cfRule>
  </conditionalFormatting>
  <conditionalFormatting sqref="Y6">
    <cfRule type="containsText" dxfId="1839" priority="9" operator="containsText" text=" ">
      <formula>NOT(ISERROR(SEARCH(" ",Y6)))</formula>
    </cfRule>
  </conditionalFormatting>
  <conditionalFormatting sqref="Z6">
    <cfRule type="containsText" dxfId="1838" priority="26" operator="containsText" text=" ">
      <formula>NOT(ISERROR(SEARCH(" ",Z6)))</formula>
    </cfRule>
    <cfRule type="containsText" dxfId="1837" priority="27" operator="containsText" text=" ">
      <formula>NOT(ISERROR(SEARCH(" ",Z6)))</formula>
    </cfRule>
  </conditionalFormatting>
  <conditionalFormatting sqref="AA6">
    <cfRule type="containsText" dxfId="1836" priority="25" operator="containsText" text=" ">
      <formula>NOT(ISERROR(SEARCH(" ",AA6)))</formula>
    </cfRule>
  </conditionalFormatting>
  <conditionalFormatting sqref="H7">
    <cfRule type="containsText" dxfId="1835" priority="11" operator="containsText" text=" ">
      <formula>NOT(ISERROR(SEARCH(" ",H7)))</formula>
    </cfRule>
  </conditionalFormatting>
  <conditionalFormatting sqref="T7:W7">
    <cfRule type="containsText" dxfId="1834" priority="33" operator="containsText" text=" ">
      <formula>NOT(ISERROR(SEARCH(" ",T7)))</formula>
    </cfRule>
  </conditionalFormatting>
  <conditionalFormatting sqref="X7">
    <cfRule type="containsText" dxfId="1833" priority="14" operator="containsText" text=" ">
      <formula>NOT(ISERROR(SEARCH(" ",X7)))</formula>
    </cfRule>
  </conditionalFormatting>
  <conditionalFormatting sqref="Y7">
    <cfRule type="containsText" dxfId="1832" priority="12" operator="containsText" text=" ">
      <formula>NOT(ISERROR(SEARCH(" ",Y7)))</formula>
    </cfRule>
  </conditionalFormatting>
  <conditionalFormatting sqref="AA7">
    <cfRule type="containsText" dxfId="1831" priority="31" operator="containsText" text=" ">
      <formula>NOT(ISERROR(SEARCH(" ",AA7)))</formula>
    </cfRule>
  </conditionalFormatting>
  <conditionalFormatting sqref="AE7">
    <cfRule type="containsText" dxfId="1830" priority="22" operator="containsText" text=" ">
      <formula>NOT(ISERROR(SEARCH(" ",AE7)))</formula>
    </cfRule>
  </conditionalFormatting>
  <conditionalFormatting sqref="Q1:Q4">
    <cfRule type="containsText" dxfId="1829" priority="8" operator="containsText" text=" ">
      <formula>NOT(ISERROR(SEARCH(" ",Q1)))</formula>
    </cfRule>
  </conditionalFormatting>
  <conditionalFormatting sqref="AC1:AC3">
    <cfRule type="containsText" dxfId="1828" priority="7" operator="containsText" text=" ">
      <formula>NOT(ISERROR(SEARCH(" ",AC1)))</formula>
    </cfRule>
  </conditionalFormatting>
  <conditionalFormatting sqref="R1:S5 AY22:XFD30 AM30:AT30 AY5:XFD6 AJ5:AJ6 AE5:AF6 AG5:AI5 AM25:AT25 A5:L5 Y5:Z5 AV15 AV20 AV25 AV30 AM15:AT15 AM26:AV29 AW22:AX35 AM31:AV33 AM16:AV19 AM9:AV14 AG8:AL30 AM8:AT8 AV8 AW7:XFD21 AL5:AV7 AM21:AV24 T5:W6 AM20:AT20">
    <cfRule type="containsText" dxfId="1827" priority="2" operator="containsText" text=" ">
      <formula>NOT(ISERROR(SEARCH(" ",A1)))</formula>
    </cfRule>
  </conditionalFormatting>
  <conditionalFormatting sqref="A1:P4 A13:X13 A8:AF11 A12:AA12 A14:AA15 A16:AF1048576 AG6:AI7 AD12:AF15 A6:S6 Z13:AA13">
    <cfRule type="containsText" dxfId="1826" priority="44" operator="containsText" text=" ">
      <formula>NOT(ISERROR(SEARCH(" ",A1)))</formula>
    </cfRule>
  </conditionalFormatting>
  <conditionalFormatting sqref="T1:AB3">
    <cfRule type="containsText" dxfId="1825" priority="48" operator="containsText" text=" ">
      <formula>NOT(ISERROR(SEARCH(" ",T1)))</formula>
    </cfRule>
  </conditionalFormatting>
  <conditionalFormatting sqref="T4:XFD4 AD1:XFD3 AG36:XFD1048576 AG31:AL35 AY31:XFD35">
    <cfRule type="containsText" dxfId="1824" priority="6" operator="containsText" text=" ">
      <formula>NOT(ISERROR(SEARCH(" ",T1)))</formula>
    </cfRule>
  </conditionalFormatting>
  <conditionalFormatting sqref="AB5:AD6">
    <cfRule type="containsText" dxfId="1823" priority="47" operator="containsText" text=" ">
      <formula>NOT(ISERROR(SEARCH(" ",AB5)))</formula>
    </cfRule>
  </conditionalFormatting>
  <conditionalFormatting sqref="AF7 AJ7 Z7 A7:G7 I7:S7">
    <cfRule type="containsText" dxfId="1822" priority="30" operator="containsText" text=" ">
      <formula>NOT(ISERROR(SEARCH(" ",A7)))</formula>
    </cfRule>
  </conditionalFormatting>
  <conditionalFormatting sqref="AB7:AD7 Z7">
    <cfRule type="containsText" dxfId="1821" priority="32" operator="containsText" text=" ">
      <formula>NOT(ISERROR(SEARCH(" ",Z7)))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Z62"/>
  <sheetViews>
    <sheetView workbookViewId="0">
      <pane xSplit="5" ySplit="4" topLeftCell="AG32" activePane="bottomRight" state="frozen"/>
      <selection pane="topRight"/>
      <selection pane="bottomLeft"/>
      <selection pane="bottomRight" activeCell="AU48" sqref="AU48"/>
    </sheetView>
  </sheetViews>
  <sheetFormatPr defaultColWidth="9" defaultRowHeight="16.5" x14ac:dyDescent="0.45"/>
  <cols>
    <col min="1" max="1" width="5.81640625" style="190" customWidth="1"/>
    <col min="2" max="2" width="18.1796875" style="190" customWidth="1"/>
    <col min="3" max="3" width="12.90625" style="190" customWidth="1"/>
    <col min="4" max="4" width="17.36328125" style="190" customWidth="1"/>
    <col min="5" max="5" width="7.08984375" style="190" customWidth="1"/>
    <col min="6" max="6" width="10.36328125" style="190" customWidth="1"/>
    <col min="7" max="7" width="13.6328125" style="190" customWidth="1"/>
    <col min="8" max="10" width="10.453125" style="190" customWidth="1"/>
    <col min="11" max="12" width="11.6328125" style="190" customWidth="1"/>
    <col min="13" max="13" width="14" style="190" customWidth="1"/>
    <col min="14" max="18" width="13.90625" style="190" customWidth="1"/>
    <col min="19" max="21" width="13.453125" style="190" customWidth="1"/>
    <col min="22" max="22" width="9.453125" style="190" customWidth="1"/>
    <col min="23" max="23" width="9.90625" style="190" customWidth="1"/>
    <col min="24" max="24" width="17" style="190" customWidth="1"/>
    <col min="25" max="27" width="13.08984375" style="190" customWidth="1"/>
    <col min="28" max="28" width="14.90625" style="299" customWidth="1"/>
    <col min="29" max="29" width="22.453125" style="190" customWidth="1"/>
    <col min="30" max="30" width="10.6328125" style="190" customWidth="1"/>
    <col min="31" max="31" width="11.90625" style="190" customWidth="1"/>
    <col min="32" max="32" width="15.6328125" style="190" customWidth="1"/>
    <col min="33" max="33" width="8.1796875" style="190" customWidth="1"/>
    <col min="34" max="34" width="6.90625" style="190" customWidth="1"/>
    <col min="35" max="35" width="9" style="190" hidden="1" customWidth="1"/>
    <col min="36" max="36" width="8.6328125" style="190" hidden="1" customWidth="1"/>
    <col min="37" max="37" width="6.1796875" style="190" hidden="1" customWidth="1"/>
    <col min="38" max="38" width="12.6328125" style="190" hidden="1" customWidth="1"/>
    <col min="39" max="40" width="13.453125" style="190" hidden="1" customWidth="1"/>
    <col min="41" max="41" width="10.08984375" style="190" hidden="1" customWidth="1"/>
    <col min="42" max="42" width="8.453125" style="190" hidden="1" customWidth="1"/>
    <col min="43" max="43" width="8.08984375" style="190" hidden="1" customWidth="1"/>
    <col min="44" max="44" width="9.36328125" style="190" hidden="1" customWidth="1"/>
    <col min="45" max="45" width="10.453125" style="300" hidden="1" customWidth="1"/>
    <col min="46" max="46" width="13.6328125" style="300" hidden="1" customWidth="1"/>
    <col min="47" max="47" width="28" style="190" customWidth="1"/>
    <col min="48" max="50" width="21.90625" style="190" customWidth="1"/>
    <col min="51" max="51" width="7.6328125" style="190" customWidth="1"/>
    <col min="52" max="52" width="7.90625" style="190" customWidth="1"/>
    <col min="53" max="53" width="11.1796875" style="190" customWidth="1"/>
    <col min="54" max="55" width="12.81640625" style="190" customWidth="1"/>
    <col min="56" max="56" width="7.453125" style="190" customWidth="1"/>
    <col min="57" max="57" width="15.1796875" style="190" customWidth="1"/>
    <col min="58" max="59" width="9" style="190"/>
    <col min="60" max="60" width="17.08984375" style="190" customWidth="1"/>
    <col min="61" max="62" width="9" style="190"/>
    <col min="63" max="63" width="10.90625" style="190" customWidth="1"/>
    <col min="64" max="65" width="9" style="190"/>
    <col min="66" max="66" width="10.1796875" style="190" customWidth="1"/>
    <col min="67" max="69" width="9" style="190"/>
    <col min="70" max="70" width="10.453125" style="301" customWidth="1"/>
    <col min="71" max="71" width="10.453125" style="1" customWidth="1"/>
    <col min="72" max="78" width="9" style="1"/>
    <col min="79" max="79" width="11.08984375" style="1" customWidth="1"/>
    <col min="80" max="80" width="11.453125" style="190" customWidth="1"/>
    <col min="81" max="81" width="11.08984375" style="1" customWidth="1"/>
    <col min="82" max="82" width="11.453125" style="190" customWidth="1"/>
    <col min="83" max="83" width="11.08984375" style="1" customWidth="1"/>
    <col min="84" max="84" width="11.453125" style="302" customWidth="1"/>
    <col min="85" max="85" width="9" style="190"/>
    <col min="86" max="86" width="9" style="190" hidden="1" customWidth="1"/>
    <col min="87" max="87" width="9" style="303" hidden="1" customWidth="1"/>
    <col min="88" max="88" width="9" style="190" hidden="1" customWidth="1"/>
    <col min="89" max="89" width="11" style="190" hidden="1" customWidth="1"/>
    <col min="90" max="90" width="9.81640625" style="190" hidden="1" customWidth="1"/>
    <col min="91" max="91" width="12.1796875" style="190" hidden="1" customWidth="1"/>
    <col min="92" max="92" width="12.81640625" style="190" hidden="1" customWidth="1"/>
    <col min="93" max="93" width="10.36328125" style="190" hidden="1" customWidth="1"/>
    <col min="94" max="94" width="10.453125" style="190" hidden="1" customWidth="1"/>
    <col min="95" max="98" width="9" style="190" hidden="1" customWidth="1"/>
    <col min="99" max="99" width="9" style="302" hidden="1" customWidth="1"/>
    <col min="100" max="101" width="9" style="190"/>
    <col min="102" max="102" width="11.1796875" style="190" customWidth="1"/>
    <col min="103" max="103" width="9" style="190"/>
    <col min="104" max="104" width="9.1796875" style="190" customWidth="1"/>
    <col min="105" max="135" width="9" style="190"/>
    <col min="136" max="136" width="9.453125" style="190" customWidth="1"/>
    <col min="137" max="16384" width="9" style="190"/>
  </cols>
  <sheetData>
    <row r="1" spans="1:208" x14ac:dyDescent="0.45">
      <c r="A1" s="3" t="s">
        <v>0</v>
      </c>
      <c r="B1" s="3" t="s">
        <v>691</v>
      </c>
      <c r="C1" s="3" t="s">
        <v>0</v>
      </c>
      <c r="D1" s="3" t="s">
        <v>0</v>
      </c>
      <c r="E1" s="3" t="s">
        <v>0</v>
      </c>
      <c r="F1" s="3" t="s">
        <v>691</v>
      </c>
      <c r="G1" s="310" t="s">
        <v>0</v>
      </c>
      <c r="H1" s="3" t="s">
        <v>1</v>
      </c>
      <c r="I1" s="3" t="s">
        <v>1</v>
      </c>
      <c r="J1" s="3" t="s">
        <v>0</v>
      </c>
      <c r="K1" s="3" t="s">
        <v>1</v>
      </c>
      <c r="L1" s="3" t="s">
        <v>0</v>
      </c>
      <c r="M1" s="315" t="s">
        <v>1</v>
      </c>
      <c r="N1" s="315" t="s">
        <v>1</v>
      </c>
      <c r="O1" s="316" t="s">
        <v>1</v>
      </c>
      <c r="P1" s="316" t="s">
        <v>1</v>
      </c>
      <c r="Q1" s="316" t="s">
        <v>1</v>
      </c>
      <c r="R1" s="325" t="s">
        <v>1</v>
      </c>
      <c r="S1" s="315" t="s">
        <v>1</v>
      </c>
      <c r="T1" s="326" t="s">
        <v>1</v>
      </c>
      <c r="U1" s="335" t="s">
        <v>1</v>
      </c>
      <c r="V1" s="336" t="s">
        <v>1</v>
      </c>
      <c r="W1" s="337" t="s">
        <v>1</v>
      </c>
      <c r="X1" s="338" t="s">
        <v>1</v>
      </c>
      <c r="Y1" s="338" t="s">
        <v>1</v>
      </c>
      <c r="Z1" s="349" t="s">
        <v>1</v>
      </c>
      <c r="AA1" s="349" t="s">
        <v>1</v>
      </c>
      <c r="AB1" s="350" t="s">
        <v>691</v>
      </c>
      <c r="AC1" s="3" t="s">
        <v>691</v>
      </c>
      <c r="AD1" s="3" t="s">
        <v>691</v>
      </c>
      <c r="AE1" s="3" t="s">
        <v>691</v>
      </c>
      <c r="AF1" s="3" t="s">
        <v>691</v>
      </c>
      <c r="AG1" s="3" t="s">
        <v>691</v>
      </c>
      <c r="AH1" s="3" t="s">
        <v>691</v>
      </c>
      <c r="AI1" s="3" t="s">
        <v>691</v>
      </c>
      <c r="AJ1" s="3" t="s">
        <v>691</v>
      </c>
      <c r="AK1" s="3" t="s">
        <v>691</v>
      </c>
      <c r="AL1" s="3" t="s">
        <v>691</v>
      </c>
      <c r="AM1" s="3" t="s">
        <v>691</v>
      </c>
      <c r="AN1" s="3" t="s">
        <v>691</v>
      </c>
      <c r="AO1" s="3" t="s">
        <v>691</v>
      </c>
      <c r="AP1" s="3" t="s">
        <v>691</v>
      </c>
      <c r="AQ1" s="3" t="s">
        <v>691</v>
      </c>
      <c r="AR1" s="3" t="s">
        <v>691</v>
      </c>
      <c r="AS1" s="3" t="s">
        <v>691</v>
      </c>
      <c r="AT1" s="3" t="s">
        <v>691</v>
      </c>
      <c r="AU1" s="3" t="s">
        <v>691</v>
      </c>
      <c r="AV1" s="3" t="s">
        <v>691</v>
      </c>
      <c r="AW1" s="3" t="s">
        <v>691</v>
      </c>
      <c r="AX1" s="3" t="s">
        <v>691</v>
      </c>
      <c r="AY1" s="3" t="s">
        <v>982</v>
      </c>
      <c r="AZ1" s="192"/>
      <c r="BA1" s="192"/>
      <c r="BB1" s="236" t="s">
        <v>983</v>
      </c>
      <c r="BC1" s="360">
        <f>E48-'全局参数|GlobalPar'!B25</f>
        <v>60</v>
      </c>
      <c r="BD1" s="363" t="s">
        <v>0</v>
      </c>
      <c r="BE1" s="363" t="s">
        <v>1</v>
      </c>
      <c r="BH1" s="366" t="s">
        <v>984</v>
      </c>
      <c r="BI1" s="372">
        <v>3</v>
      </c>
      <c r="BK1" s="373" t="s">
        <v>985</v>
      </c>
      <c r="BL1" s="356">
        <v>0.06</v>
      </c>
      <c r="BR1" s="524" t="s">
        <v>986</v>
      </c>
      <c r="BS1" s="525"/>
      <c r="BT1" s="525"/>
      <c r="BU1" s="514">
        <v>0.1</v>
      </c>
      <c r="BX1" s="526" t="s">
        <v>987</v>
      </c>
      <c r="BY1" s="526"/>
      <c r="BZ1" s="526"/>
      <c r="CA1" s="526"/>
      <c r="CB1" s="526"/>
      <c r="CI1" s="393" t="s">
        <v>988</v>
      </c>
      <c r="CJ1" s="394" t="s">
        <v>989</v>
      </c>
      <c r="CK1" s="527" t="s">
        <v>990</v>
      </c>
      <c r="CL1" s="528"/>
      <c r="CM1" s="528"/>
      <c r="CN1" s="529"/>
      <c r="CO1" s="416" t="s">
        <v>991</v>
      </c>
      <c r="CP1" s="417" t="e">
        <f>CL3*CP3*60*6*(1-CI2/(1+CM5))</f>
        <v>#DIV/0!</v>
      </c>
      <c r="CQ1" s="418"/>
      <c r="CR1" s="419"/>
      <c r="CS1" s="192"/>
      <c r="CT1" s="192"/>
      <c r="CU1" s="433"/>
      <c r="CW1" s="2" t="s">
        <v>992</v>
      </c>
      <c r="CX1" s="2"/>
      <c r="CY1" s="2"/>
      <c r="CZ1" s="2"/>
      <c r="DC1" s="2" t="s">
        <v>993</v>
      </c>
      <c r="DD1" s="2"/>
      <c r="DG1" s="2"/>
      <c r="DJ1" s="2"/>
      <c r="DM1" s="2"/>
      <c r="DP1" s="2"/>
      <c r="DS1" s="2"/>
      <c r="DV1" s="2"/>
      <c r="DY1" s="2"/>
      <c r="EB1" s="2"/>
      <c r="EE1" s="2"/>
      <c r="EH1" s="2"/>
      <c r="EK1" s="2"/>
      <c r="EN1" s="2"/>
      <c r="EQ1" s="2"/>
      <c r="ET1" s="2"/>
      <c r="EW1" s="2"/>
      <c r="EZ1" s="2"/>
      <c r="FC1" s="2"/>
      <c r="FF1" s="2"/>
      <c r="FI1" s="2"/>
    </row>
    <row r="2" spans="1:208" x14ac:dyDescent="0.45">
      <c r="A2" s="3" t="s">
        <v>2</v>
      </c>
      <c r="B2" s="3" t="s">
        <v>5</v>
      </c>
      <c r="C2" s="3" t="s">
        <v>2</v>
      </c>
      <c r="D2" s="3" t="s">
        <v>2</v>
      </c>
      <c r="E2" s="3" t="s">
        <v>2</v>
      </c>
      <c r="F2" s="3" t="s">
        <v>5</v>
      </c>
      <c r="G2" s="3" t="s">
        <v>5</v>
      </c>
      <c r="H2" s="3" t="s">
        <v>2</v>
      </c>
      <c r="I2" s="3" t="s">
        <v>2</v>
      </c>
      <c r="J2" s="3" t="s">
        <v>3</v>
      </c>
      <c r="K2" s="3" t="s">
        <v>3</v>
      </c>
      <c r="L2" s="3" t="s">
        <v>2</v>
      </c>
      <c r="M2" s="3" t="s">
        <v>3</v>
      </c>
      <c r="N2" s="3" t="s">
        <v>3</v>
      </c>
      <c r="O2" s="317" t="s">
        <v>3</v>
      </c>
      <c r="P2" s="318" t="s">
        <v>2</v>
      </c>
      <c r="Q2" s="318" t="s">
        <v>2</v>
      </c>
      <c r="R2" s="325" t="s">
        <v>5</v>
      </c>
      <c r="S2" s="11" t="s">
        <v>841</v>
      </c>
      <c r="T2" s="88" t="s">
        <v>3</v>
      </c>
      <c r="U2" s="317" t="s">
        <v>3</v>
      </c>
      <c r="V2" s="318" t="s">
        <v>3</v>
      </c>
      <c r="W2" s="339" t="s">
        <v>3</v>
      </c>
      <c r="X2" s="338" t="s">
        <v>5</v>
      </c>
      <c r="Y2" s="338" t="s">
        <v>5</v>
      </c>
      <c r="Z2" s="349" t="s">
        <v>3</v>
      </c>
      <c r="AA2" s="349" t="s">
        <v>2</v>
      </c>
      <c r="AB2" s="350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3</v>
      </c>
      <c r="AI2" s="3" t="s">
        <v>3</v>
      </c>
      <c r="AJ2" s="3" t="s">
        <v>3</v>
      </c>
      <c r="AK2" s="3" t="s">
        <v>3</v>
      </c>
      <c r="AL2" s="3" t="s">
        <v>4</v>
      </c>
      <c r="AM2" s="3" t="s">
        <v>4</v>
      </c>
      <c r="AN2" s="3" t="s">
        <v>4</v>
      </c>
      <c r="AO2" s="3" t="s">
        <v>3</v>
      </c>
      <c r="AP2" s="3" t="s">
        <v>2</v>
      </c>
      <c r="AQ2" s="3" t="s">
        <v>3</v>
      </c>
      <c r="AR2" s="3" t="s">
        <v>3</v>
      </c>
      <c r="AS2" s="3" t="s">
        <v>3</v>
      </c>
      <c r="AT2" s="3" t="s">
        <v>4</v>
      </c>
      <c r="AU2" s="3" t="s">
        <v>4</v>
      </c>
      <c r="AV2" s="3" t="s">
        <v>4</v>
      </c>
      <c r="AW2" s="3" t="s">
        <v>4</v>
      </c>
      <c r="AX2" s="3" t="s">
        <v>4</v>
      </c>
      <c r="AY2" s="3" t="s">
        <v>3</v>
      </c>
      <c r="AZ2" s="192"/>
      <c r="BA2" s="192"/>
      <c r="BB2" s="236" t="s">
        <v>994</v>
      </c>
      <c r="BC2" s="1">
        <v>0.75</v>
      </c>
      <c r="BD2" s="363" t="s">
        <v>3</v>
      </c>
      <c r="BE2" s="363" t="s">
        <v>3</v>
      </c>
      <c r="BH2" s="367" t="s">
        <v>995</v>
      </c>
      <c r="BI2" s="374">
        <v>0.2</v>
      </c>
      <c r="BK2" s="373" t="s">
        <v>996</v>
      </c>
      <c r="BL2" s="1">
        <v>300</v>
      </c>
      <c r="BR2" s="524"/>
      <c r="BS2" s="525"/>
      <c r="BT2" s="525"/>
      <c r="BU2" s="514"/>
      <c r="BX2" s="526"/>
      <c r="BY2" s="526"/>
      <c r="BZ2" s="526"/>
      <c r="CA2" s="526"/>
      <c r="CB2" s="526"/>
      <c r="CI2" s="395">
        <v>0.96</v>
      </c>
      <c r="CJ2" s="396">
        <f>500000/1000</f>
        <v>500</v>
      </c>
      <c r="CK2" s="515" t="s">
        <v>997</v>
      </c>
      <c r="CL2" s="120" t="s">
        <v>998</v>
      </c>
      <c r="CM2" s="120" t="s">
        <v>999</v>
      </c>
      <c r="CN2" s="120"/>
      <c r="CO2" s="420" t="s">
        <v>1000</v>
      </c>
      <c r="CP2" s="277">
        <f>CQ5</f>
        <v>1</v>
      </c>
      <c r="CQ2" s="421" t="e">
        <f>1/(15000/(CP1/CP2))</f>
        <v>#DIV/0!</v>
      </c>
      <c r="CR2" s="422"/>
      <c r="CT2" s="1">
        <v>1000</v>
      </c>
      <c r="CW2" s="117" t="s">
        <v>103</v>
      </c>
      <c r="CX2" s="113">
        <v>5000</v>
      </c>
      <c r="CY2" s="517" t="s">
        <v>1001</v>
      </c>
      <c r="CZ2" s="520">
        <f>1/((CX2/(CX5*(1-CX4)))/CX6)/CX3</f>
        <v>8.0000000000000081E-6</v>
      </c>
    </row>
    <row r="3" spans="1:208" ht="18.649999999999999" customHeight="1" x14ac:dyDescent="0.45">
      <c r="A3" s="3" t="s">
        <v>1002</v>
      </c>
      <c r="B3" s="3" t="s">
        <v>694</v>
      </c>
      <c r="C3" s="3" t="s">
        <v>1003</v>
      </c>
      <c r="D3" s="3" t="s">
        <v>1004</v>
      </c>
      <c r="E3" s="3" t="s">
        <v>1005</v>
      </c>
      <c r="F3" s="3" t="s">
        <v>1006</v>
      </c>
      <c r="G3" s="310" t="s">
        <v>1007</v>
      </c>
      <c r="H3" s="3" t="s">
        <v>1008</v>
      </c>
      <c r="I3" s="3" t="s">
        <v>1009</v>
      </c>
      <c r="J3" s="3" t="s">
        <v>1010</v>
      </c>
      <c r="K3" s="3" t="s">
        <v>1011</v>
      </c>
      <c r="L3" s="3" t="s">
        <v>1012</v>
      </c>
      <c r="M3" s="3" t="s">
        <v>1013</v>
      </c>
      <c r="N3" s="3" t="s">
        <v>1014</v>
      </c>
      <c r="O3" s="318" t="s">
        <v>1015</v>
      </c>
      <c r="P3" s="318" t="s">
        <v>1016</v>
      </c>
      <c r="Q3" s="327" t="s">
        <v>1017</v>
      </c>
      <c r="R3" s="325" t="s">
        <v>1018</v>
      </c>
      <c r="S3" s="11" t="s">
        <v>1019</v>
      </c>
      <c r="T3" s="328" t="s">
        <v>1020</v>
      </c>
      <c r="U3" s="340" t="s">
        <v>1021</v>
      </c>
      <c r="V3" s="341" t="s">
        <v>1022</v>
      </c>
      <c r="W3" s="342" t="s">
        <v>1023</v>
      </c>
      <c r="X3" s="343" t="s">
        <v>1024</v>
      </c>
      <c r="Y3" s="343" t="s">
        <v>1025</v>
      </c>
      <c r="Z3" s="351" t="s">
        <v>1026</v>
      </c>
      <c r="AA3" s="351" t="s">
        <v>1027</v>
      </c>
      <c r="AB3" s="350" t="s">
        <v>1028</v>
      </c>
      <c r="AC3" s="3" t="s">
        <v>1029</v>
      </c>
      <c r="AD3" s="3" t="s">
        <v>1030</v>
      </c>
      <c r="AE3" s="3" t="s">
        <v>1031</v>
      </c>
      <c r="AF3" s="3" t="s">
        <v>1032</v>
      </c>
      <c r="AG3" s="3" t="s">
        <v>1033</v>
      </c>
      <c r="AH3" s="3" t="s">
        <v>1034</v>
      </c>
      <c r="AI3" s="3" t="s">
        <v>1035</v>
      </c>
      <c r="AJ3" s="3" t="s">
        <v>1036</v>
      </c>
      <c r="AK3" s="3" t="s">
        <v>1037</v>
      </c>
      <c r="AL3" s="3" t="s">
        <v>1038</v>
      </c>
      <c r="AM3" s="3" t="s">
        <v>1039</v>
      </c>
      <c r="AN3" s="3" t="s">
        <v>1040</v>
      </c>
      <c r="AO3" s="3" t="s">
        <v>1041</v>
      </c>
      <c r="AP3" s="3" t="s">
        <v>1042</v>
      </c>
      <c r="AQ3" s="3" t="s">
        <v>1043</v>
      </c>
      <c r="AR3" s="3" t="s">
        <v>1044</v>
      </c>
      <c r="AS3" s="3" t="s">
        <v>1045</v>
      </c>
      <c r="AT3" s="3" t="s">
        <v>1046</v>
      </c>
      <c r="AU3" s="3" t="s">
        <v>1047</v>
      </c>
      <c r="AV3" s="3" t="s">
        <v>1048</v>
      </c>
      <c r="AW3" s="3" t="s">
        <v>1049</v>
      </c>
      <c r="AX3" s="3" t="s">
        <v>1050</v>
      </c>
      <c r="AY3" s="3" t="s">
        <v>1051</v>
      </c>
      <c r="AZ3" s="192"/>
      <c r="BA3" s="192"/>
      <c r="BB3" s="364" t="s">
        <v>1052</v>
      </c>
      <c r="BC3" s="1">
        <v>0.6</v>
      </c>
      <c r="BD3" s="363" t="s">
        <v>69</v>
      </c>
      <c r="BE3" s="363" t="s">
        <v>1053</v>
      </c>
      <c r="BH3" s="367" t="s">
        <v>1054</v>
      </c>
      <c r="BI3" s="375">
        <f>60/BI2</f>
        <v>300</v>
      </c>
      <c r="BK3" s="307" t="s">
        <v>1055</v>
      </c>
      <c r="CA3" s="1">
        <v>75</v>
      </c>
      <c r="CC3" s="1">
        <v>150</v>
      </c>
      <c r="CE3" s="1">
        <v>225</v>
      </c>
      <c r="CI3" s="397"/>
      <c r="CJ3" s="398"/>
      <c r="CK3" s="516"/>
      <c r="CL3" s="406">
        <v>1000</v>
      </c>
      <c r="CM3" s="407">
        <v>0.6</v>
      </c>
      <c r="CN3" s="120"/>
      <c r="CO3" s="423" t="s">
        <v>1056</v>
      </c>
      <c r="CP3" s="424" t="e">
        <f>CP5/6/60</f>
        <v>#DIV/0!</v>
      </c>
      <c r="CQ3" s="530" t="str">
        <f>CL3&amp;"倍炮掉落总额"</f>
        <v>1000倍炮掉落总额</v>
      </c>
      <c r="CR3" s="531"/>
      <c r="CS3" s="434"/>
      <c r="CT3" s="532" t="s">
        <v>1057</v>
      </c>
      <c r="CU3" s="533"/>
      <c r="CW3" s="118" t="s">
        <v>801</v>
      </c>
      <c r="CX3" s="2">
        <v>1</v>
      </c>
      <c r="CY3" s="518"/>
      <c r="CZ3" s="521"/>
      <c r="DC3" s="190" t="s">
        <v>1058</v>
      </c>
      <c r="DD3" s="190" t="s">
        <v>1059</v>
      </c>
      <c r="DG3" s="190" t="s">
        <v>1059</v>
      </c>
      <c r="DJ3" s="190" t="s">
        <v>1059</v>
      </c>
      <c r="DM3" s="190" t="s">
        <v>1059</v>
      </c>
      <c r="DP3" s="190" t="s">
        <v>1059</v>
      </c>
      <c r="DS3" s="190" t="s">
        <v>1059</v>
      </c>
      <c r="DV3" s="190" t="s">
        <v>1059</v>
      </c>
      <c r="DY3" s="190" t="s">
        <v>1059</v>
      </c>
      <c r="EB3" s="190" t="s">
        <v>1059</v>
      </c>
      <c r="EE3" s="190" t="s">
        <v>1059</v>
      </c>
      <c r="EH3" s="190" t="s">
        <v>1059</v>
      </c>
      <c r="EK3" s="190" t="s">
        <v>1059</v>
      </c>
      <c r="EN3" s="190" t="s">
        <v>1059</v>
      </c>
      <c r="EQ3" s="190" t="s">
        <v>1059</v>
      </c>
      <c r="ET3" s="190" t="s">
        <v>1059</v>
      </c>
      <c r="EW3" s="190" t="s">
        <v>1059</v>
      </c>
      <c r="EZ3" s="190" t="s">
        <v>1059</v>
      </c>
      <c r="FC3" s="190" t="s">
        <v>1059</v>
      </c>
      <c r="FF3" s="190" t="s">
        <v>1059</v>
      </c>
      <c r="FI3" s="190" t="s">
        <v>1059</v>
      </c>
    </row>
    <row r="4" spans="1:208" ht="107" x14ac:dyDescent="0.45">
      <c r="A4" s="304" t="s">
        <v>1060</v>
      </c>
      <c r="B4" s="63" t="s">
        <v>1061</v>
      </c>
      <c r="C4" s="63" t="s">
        <v>1062</v>
      </c>
      <c r="D4" s="63" t="s">
        <v>1063</v>
      </c>
      <c r="E4" s="63" t="s">
        <v>1064</v>
      </c>
      <c r="F4" s="63" t="s">
        <v>1065</v>
      </c>
      <c r="G4" s="311" t="s">
        <v>1066</v>
      </c>
      <c r="H4" s="63" t="s">
        <v>1067</v>
      </c>
      <c r="I4" s="63" t="s">
        <v>1068</v>
      </c>
      <c r="J4" s="63" t="s">
        <v>1069</v>
      </c>
      <c r="K4" s="63" t="s">
        <v>1070</v>
      </c>
      <c r="L4" s="63" t="s">
        <v>1071</v>
      </c>
      <c r="M4" s="63" t="s">
        <v>1072</v>
      </c>
      <c r="N4" s="63" t="s">
        <v>1073</v>
      </c>
      <c r="O4" s="319" t="s">
        <v>1074</v>
      </c>
      <c r="P4" s="319" t="s">
        <v>1075</v>
      </c>
      <c r="Q4" s="319" t="s">
        <v>1076</v>
      </c>
      <c r="R4" s="329" t="s">
        <v>1077</v>
      </c>
      <c r="S4" s="63" t="s">
        <v>1078</v>
      </c>
      <c r="T4" s="330" t="s">
        <v>1079</v>
      </c>
      <c r="U4" s="344" t="s">
        <v>1080</v>
      </c>
      <c r="V4" s="345" t="s">
        <v>1081</v>
      </c>
      <c r="W4" s="346" t="s">
        <v>1082</v>
      </c>
      <c r="X4" s="347" t="s">
        <v>1083</v>
      </c>
      <c r="Y4" s="347" t="s">
        <v>1084</v>
      </c>
      <c r="Z4" s="352" t="s">
        <v>1085</v>
      </c>
      <c r="AA4" s="352" t="s">
        <v>1086</v>
      </c>
      <c r="AB4" s="353" t="s">
        <v>1087</v>
      </c>
      <c r="AC4" s="63" t="s">
        <v>1088</v>
      </c>
      <c r="AD4" s="63" t="s">
        <v>1089</v>
      </c>
      <c r="AE4" s="72" t="s">
        <v>1090</v>
      </c>
      <c r="AF4" s="63" t="s">
        <v>1091</v>
      </c>
      <c r="AG4" s="63" t="s">
        <v>1092</v>
      </c>
      <c r="AH4" s="63" t="s">
        <v>1093</v>
      </c>
      <c r="AI4" s="63" t="s">
        <v>1094</v>
      </c>
      <c r="AJ4" s="63" t="s">
        <v>1095</v>
      </c>
      <c r="AK4" s="355" t="s">
        <v>1096</v>
      </c>
      <c r="AL4" s="355" t="s">
        <v>1097</v>
      </c>
      <c r="AM4" s="63" t="s">
        <v>1098</v>
      </c>
      <c r="AN4" s="63" t="s">
        <v>1099</v>
      </c>
      <c r="AO4" s="63" t="s">
        <v>1100</v>
      </c>
      <c r="AP4" s="145" t="s">
        <v>1101</v>
      </c>
      <c r="AQ4" s="63" t="s">
        <v>1102</v>
      </c>
      <c r="AR4" s="63" t="s">
        <v>1103</v>
      </c>
      <c r="AS4" s="357" t="s">
        <v>1104</v>
      </c>
      <c r="AT4" s="357" t="s">
        <v>1105</v>
      </c>
      <c r="AU4" s="63" t="s">
        <v>1106</v>
      </c>
      <c r="AV4" s="63" t="s">
        <v>1107</v>
      </c>
      <c r="AW4" s="63" t="s">
        <v>1108</v>
      </c>
      <c r="AX4" s="63" t="s">
        <v>1109</v>
      </c>
      <c r="AY4" s="145" t="s">
        <v>1110</v>
      </c>
      <c r="AZ4" s="70" t="s">
        <v>1111</v>
      </c>
      <c r="BA4" s="70" t="s">
        <v>1112</v>
      </c>
      <c r="BB4" s="360"/>
      <c r="BC4" s="360"/>
      <c r="BD4" s="365" t="s">
        <v>1113</v>
      </c>
      <c r="BE4" s="365" t="s">
        <v>1114</v>
      </c>
      <c r="BG4" s="368" t="s">
        <v>1115</v>
      </c>
      <c r="BH4" s="369" t="s">
        <v>1116</v>
      </c>
      <c r="BI4" s="376">
        <f>BI1/BI3*0</f>
        <v>0</v>
      </c>
      <c r="BR4" s="383" t="s">
        <v>1117</v>
      </c>
      <c r="BS4" s="60" t="s">
        <v>986</v>
      </c>
      <c r="BT4" s="384" t="s">
        <v>1118</v>
      </c>
      <c r="BU4" s="384" t="s">
        <v>1119</v>
      </c>
      <c r="BV4" s="386" t="s">
        <v>1120</v>
      </c>
      <c r="BW4" s="386" t="s">
        <v>1121</v>
      </c>
      <c r="BX4" s="387" t="s">
        <v>1122</v>
      </c>
      <c r="BY4" s="387" t="s">
        <v>1123</v>
      </c>
      <c r="BZ4" s="60" t="s">
        <v>1124</v>
      </c>
      <c r="CA4" s="60" t="s">
        <v>1125</v>
      </c>
      <c r="CB4" s="388" t="s">
        <v>1126</v>
      </c>
      <c r="CC4" s="60" t="s">
        <v>1127</v>
      </c>
      <c r="CD4" s="388" t="s">
        <v>1128</v>
      </c>
      <c r="CE4" s="60" t="s">
        <v>1129</v>
      </c>
      <c r="CF4" s="390" t="s">
        <v>1130</v>
      </c>
      <c r="CI4" s="399" t="s">
        <v>1131</v>
      </c>
      <c r="CJ4" s="400" t="s">
        <v>1132</v>
      </c>
      <c r="CK4" s="400" t="s">
        <v>1133</v>
      </c>
      <c r="CL4" s="408" t="s">
        <v>1134</v>
      </c>
      <c r="CM4" s="409" t="s">
        <v>1135</v>
      </c>
      <c r="CN4" s="410" t="s">
        <v>1136</v>
      </c>
      <c r="CO4" s="425" t="s">
        <v>1137</v>
      </c>
      <c r="CP4" s="426" t="s">
        <v>1138</v>
      </c>
      <c r="CQ4" s="427" t="s">
        <v>1139</v>
      </c>
      <c r="CR4" s="428" t="s">
        <v>1140</v>
      </c>
      <c r="CS4" s="435"/>
      <c r="CT4" s="427" t="s">
        <v>1141</v>
      </c>
      <c r="CU4" s="428" t="s">
        <v>1142</v>
      </c>
      <c r="CW4" s="118" t="s">
        <v>988</v>
      </c>
      <c r="CX4" s="2">
        <v>0.96</v>
      </c>
      <c r="CY4" s="518"/>
      <c r="CZ4" s="521"/>
      <c r="DC4" s="1">
        <v>20</v>
      </c>
      <c r="DD4" s="1"/>
      <c r="DE4" s="236" t="s">
        <v>1143</v>
      </c>
      <c r="DF4" s="1">
        <v>40</v>
      </c>
      <c r="DG4" s="1"/>
      <c r="DH4" s="236" t="s">
        <v>1143</v>
      </c>
      <c r="DI4" s="1">
        <v>60</v>
      </c>
      <c r="DJ4" s="1"/>
      <c r="DK4" s="236" t="s">
        <v>1143</v>
      </c>
      <c r="DL4" s="1">
        <v>80</v>
      </c>
      <c r="DM4" s="1"/>
      <c r="DN4" s="236" t="s">
        <v>1143</v>
      </c>
      <c r="DO4" s="1">
        <v>100</v>
      </c>
      <c r="DP4" s="1"/>
      <c r="DQ4" s="236" t="s">
        <v>1143</v>
      </c>
      <c r="DR4" s="1">
        <v>200</v>
      </c>
      <c r="DS4" s="1"/>
      <c r="DT4" s="236" t="s">
        <v>1143</v>
      </c>
      <c r="DU4" s="1">
        <v>400</v>
      </c>
      <c r="DV4" s="1"/>
      <c r="DW4" s="236" t="s">
        <v>1143</v>
      </c>
      <c r="DX4" s="1">
        <v>600</v>
      </c>
      <c r="DY4" s="1"/>
      <c r="DZ4" s="236" t="s">
        <v>1143</v>
      </c>
      <c r="EA4" s="1">
        <v>800</v>
      </c>
      <c r="EB4" s="1"/>
      <c r="EC4" s="236" t="s">
        <v>1143</v>
      </c>
      <c r="ED4" s="1">
        <v>1000</v>
      </c>
      <c r="EE4" s="1"/>
      <c r="EF4" s="236" t="s">
        <v>1143</v>
      </c>
      <c r="EG4" s="1">
        <v>2000</v>
      </c>
      <c r="EH4" s="1"/>
      <c r="EI4" s="236" t="s">
        <v>1143</v>
      </c>
      <c r="EJ4" s="1">
        <v>4000</v>
      </c>
      <c r="EK4" s="1"/>
      <c r="EL4" s="236" t="s">
        <v>1143</v>
      </c>
      <c r="EM4" s="1">
        <v>6000</v>
      </c>
      <c r="EN4" s="1"/>
      <c r="EO4" s="236" t="s">
        <v>1143</v>
      </c>
      <c r="EP4" s="1">
        <v>8000</v>
      </c>
      <c r="EQ4" s="1"/>
      <c r="ER4" s="236" t="s">
        <v>1143</v>
      </c>
      <c r="ES4" s="1">
        <v>10000</v>
      </c>
      <c r="ET4" s="1"/>
      <c r="EU4" s="236" t="s">
        <v>1143</v>
      </c>
      <c r="EV4" s="1">
        <v>20000</v>
      </c>
      <c r="EW4" s="1"/>
      <c r="EX4" s="236" t="s">
        <v>1143</v>
      </c>
      <c r="EY4" s="1">
        <v>40000</v>
      </c>
      <c r="EZ4" s="1"/>
      <c r="FA4" s="236" t="s">
        <v>1143</v>
      </c>
      <c r="FB4" s="1">
        <v>60000</v>
      </c>
      <c r="FC4" s="1"/>
      <c r="FD4" s="236" t="s">
        <v>1143</v>
      </c>
      <c r="FE4" s="1">
        <v>80000</v>
      </c>
      <c r="FF4" s="1"/>
      <c r="FG4" s="236" t="s">
        <v>1143</v>
      </c>
      <c r="FH4" s="1">
        <v>100000</v>
      </c>
      <c r="FI4" s="1"/>
      <c r="FJ4" s="236" t="s">
        <v>1143</v>
      </c>
    </row>
    <row r="5" spans="1:208" x14ac:dyDescent="0.45">
      <c r="A5" s="1">
        <v>1</v>
      </c>
      <c r="B5" s="305"/>
      <c r="C5" s="1">
        <v>1</v>
      </c>
      <c r="D5" s="1">
        <v>-1</v>
      </c>
      <c r="E5" s="1">
        <v>2</v>
      </c>
      <c r="F5" s="1">
        <f t="shared" ref="F5:F25" si="0">IF(C5=4,BI5,E5)</f>
        <v>2</v>
      </c>
      <c r="G5" s="1"/>
      <c r="H5" s="1">
        <f t="shared" ref="H5:H14" si="1">ROUND(IF(C5=4,E5*10%,0),0)</f>
        <v>0</v>
      </c>
      <c r="I5" s="1">
        <f t="shared" ref="I5:I29" si="2">ROUND(IF(C5=4,E5*2%,0),0)</f>
        <v>0</v>
      </c>
      <c r="J5" s="1">
        <v>0</v>
      </c>
      <c r="K5" s="313">
        <v>0</v>
      </c>
      <c r="L5" s="314">
        <v>1</v>
      </c>
      <c r="M5" s="320">
        <f>ROUND(IF(L5&lt;&gt;0,$BI$4/('全局参数|GlobalPar'!$B$18/10000/E5)/L5,0),6)</f>
        <v>0</v>
      </c>
      <c r="N5" s="320">
        <f t="shared" ref="N5:N25" si="3">IF(A5=47,1,ROUND(E5*V5/$BL$2,6))</f>
        <v>0</v>
      </c>
      <c r="O5" s="321">
        <v>0</v>
      </c>
      <c r="P5" s="322">
        <v>1</v>
      </c>
      <c r="Q5" s="331">
        <v>1</v>
      </c>
      <c r="R5" s="332" t="s">
        <v>1144</v>
      </c>
      <c r="S5" s="1"/>
      <c r="T5" s="320">
        <v>0</v>
      </c>
      <c r="U5" s="348">
        <v>0</v>
      </c>
      <c r="V5" s="348">
        <v>0</v>
      </c>
      <c r="W5" s="348">
        <v>0</v>
      </c>
      <c r="X5" s="1" t="s">
        <v>1145</v>
      </c>
      <c r="Y5" s="192" t="s">
        <v>1146</v>
      </c>
      <c r="Z5" s="192">
        <v>0</v>
      </c>
      <c r="AA5" s="192">
        <v>0</v>
      </c>
      <c r="AB5" s="354">
        <v>1</v>
      </c>
      <c r="AC5" s="1">
        <f t="shared" ref="AC5:AC23" si="4">IF(C5=4,1,IF(C5=6,2,-1))</f>
        <v>-1</v>
      </c>
      <c r="AD5" s="1">
        <v>0</v>
      </c>
      <c r="AE5" s="1"/>
      <c r="AF5" s="1"/>
      <c r="AG5" s="1">
        <v>1</v>
      </c>
      <c r="AH5" s="1">
        <v>1.5</v>
      </c>
      <c r="AI5" s="1">
        <v>1</v>
      </c>
      <c r="AJ5" s="1">
        <v>0.5</v>
      </c>
      <c r="AK5" s="1">
        <v>1</v>
      </c>
      <c r="AL5" s="1"/>
      <c r="AM5" s="1"/>
      <c r="AN5" s="1"/>
      <c r="AO5" s="356">
        <v>0.6</v>
      </c>
      <c r="AP5" s="1">
        <v>2</v>
      </c>
      <c r="AQ5" s="1">
        <v>0.18</v>
      </c>
      <c r="AR5" s="1">
        <v>0.8</v>
      </c>
      <c r="AS5" s="1">
        <v>1</v>
      </c>
      <c r="AT5" s="1" t="s">
        <v>1147</v>
      </c>
      <c r="AU5" s="358" t="s">
        <v>1148</v>
      </c>
      <c r="AV5" s="358" t="s">
        <v>1149</v>
      </c>
      <c r="AW5" s="360" t="s">
        <v>189</v>
      </c>
      <c r="AX5" s="360" t="s">
        <v>189</v>
      </c>
      <c r="AY5" s="1">
        <f t="shared" ref="AY5:AY25" si="5">IF(C5&lt;4,MIN($BC$1*$BC$3,BD5*$BC$2),BD5*0.1)</f>
        <v>1.5</v>
      </c>
      <c r="AZ5" s="362">
        <f t="shared" ref="AZ5:AZ36" si="6">IF(AY5=0,0,$BC$1/AY5)</f>
        <v>40</v>
      </c>
      <c r="BA5" s="1" t="s">
        <v>1150</v>
      </c>
      <c r="BB5" s="1">
        <f t="shared" ref="BB5:BB25" si="7">ROUND(IF(AD5=0,AH5/2/0.67,AH5),3)</f>
        <v>1.119</v>
      </c>
      <c r="BC5" s="1"/>
      <c r="BD5" s="1">
        <f t="shared" ref="BD5:BD36" si="8">(E5+H5+I5)</f>
        <v>2</v>
      </c>
      <c r="BE5" s="1">
        <f t="shared" ref="BE5:BE38" si="9">E5*(1+$BL$1)+H5+I5</f>
        <v>2.12</v>
      </c>
      <c r="BG5" s="1">
        <f t="shared" ref="BG5:BG36" si="10">IF(L5&lt;&gt;0,$BI$4/(0.96/BD5)/L5,0)</f>
        <v>0</v>
      </c>
      <c r="BH5" s="364" t="s">
        <v>1151</v>
      </c>
      <c r="BI5" s="364"/>
      <c r="BN5" s="190" t="s">
        <v>1152</v>
      </c>
      <c r="BR5" s="301">
        <f t="shared" ref="BR5:BR36" si="11">E5*(1+$BU$1)</f>
        <v>2.2000000000000002</v>
      </c>
      <c r="BS5" s="356">
        <f>BU1</f>
        <v>0.1</v>
      </c>
      <c r="BT5" s="297">
        <v>1</v>
      </c>
      <c r="BU5" s="1">
        <v>5</v>
      </c>
      <c r="BV5" s="297">
        <v>2</v>
      </c>
      <c r="BW5" s="1">
        <v>2</v>
      </c>
      <c r="BX5" s="297">
        <v>3</v>
      </c>
      <c r="BY5" s="1">
        <v>1</v>
      </c>
      <c r="BZ5" s="1">
        <f>(BT5*BU5+BV5*BW5+BX5*BY5)/(BU5+BW5+BY5)</f>
        <v>1.5</v>
      </c>
      <c r="CA5" s="1">
        <f>CA$3/10</f>
        <v>7.5</v>
      </c>
      <c r="CB5" s="389">
        <f t="shared" ref="CB5:CB19" si="12">ROUND(BD5*BS5/CA5/BZ5,6)</f>
        <v>1.7777999999999999E-2</v>
      </c>
      <c r="CC5" s="1">
        <f t="shared" ref="CC5:CE20" si="13">CC$3/10</f>
        <v>15</v>
      </c>
      <c r="CD5" s="391">
        <f t="shared" ref="CD5:CD19" si="14">ROUND(BD5*BS5/CC5/BZ5,6)</f>
        <v>8.8889999999999993E-3</v>
      </c>
      <c r="CE5" s="1">
        <f t="shared" si="13"/>
        <v>22.5</v>
      </c>
      <c r="CF5" s="392">
        <f t="shared" ref="CF5:CF19" si="15">ROUND(BD5*BS5/CE5/BZ5,6)</f>
        <v>5.9259999999999998E-3</v>
      </c>
      <c r="CH5" s="190">
        <v>2E-3</v>
      </c>
      <c r="CI5" s="401">
        <v>0</v>
      </c>
      <c r="CJ5" s="402">
        <f t="shared" ref="CJ5:CJ36" si="16">E5*CI5</f>
        <v>0</v>
      </c>
      <c r="CK5" s="411">
        <f t="shared" ref="CK5:CK36" si="17">$E5*$CI5/$CJ$2</f>
        <v>0</v>
      </c>
      <c r="CL5" s="411">
        <f t="shared" ref="CL5:CL59" si="18">$CK5*CL$3/CQ5</f>
        <v>0</v>
      </c>
      <c r="CM5" s="412">
        <f>IF(CL5&gt;$CM$3,CI5*$CM$3/CL5,$CI5)</f>
        <v>0</v>
      </c>
      <c r="CN5" s="413">
        <f t="shared" ref="CN5:CN36" si="19">$E5*CM5/$CJ$2</f>
        <v>0</v>
      </c>
      <c r="CO5" s="411">
        <f t="shared" ref="CO5:CO59" si="20">$CN5*CL$3/CQ5</f>
        <v>0</v>
      </c>
      <c r="CP5" s="429" t="e">
        <f t="shared" ref="CP5:CP36" si="21">1/($CI$2/($E5*(1+CM5))*CO5)</f>
        <v>#DIV/0!</v>
      </c>
      <c r="CQ5" s="430">
        <f>IF($CL$3&lt;$CT$2,CT5,CT5*INT($CL$3/$CT$2))</f>
        <v>1</v>
      </c>
      <c r="CR5" s="431">
        <f>IF($CL$3&lt;$CT$2,CU5,CU5*INT($CL$3/$CT$2))</f>
        <v>1</v>
      </c>
      <c r="CS5" s="332"/>
      <c r="CT5" s="322">
        <v>1</v>
      </c>
      <c r="CU5" s="331">
        <v>1</v>
      </c>
      <c r="CW5" s="118" t="s">
        <v>1153</v>
      </c>
      <c r="CX5" s="2">
        <v>1</v>
      </c>
      <c r="CY5" s="518" t="s">
        <v>1154</v>
      </c>
      <c r="CZ5" s="522">
        <f>CZ2/CX6</f>
        <v>8.0000000000000081E-6</v>
      </c>
      <c r="DB5" s="438"/>
      <c r="DC5" s="430">
        <v>1</v>
      </c>
      <c r="DD5" s="402">
        <v>1</v>
      </c>
      <c r="DE5" s="438">
        <f t="shared" ref="DE5:DE52" si="22">IF(DC5=0,0,DC$4*$E5/DC5*$CZ$2)</f>
        <v>3.200000000000003E-4</v>
      </c>
      <c r="DF5" s="430">
        <f t="shared" ref="DF5:DF59" si="23">DC5</f>
        <v>1</v>
      </c>
      <c r="DG5" s="402">
        <f t="shared" ref="DG5" si="24">DD5</f>
        <v>1</v>
      </c>
      <c r="DH5" s="438">
        <f t="shared" ref="DH5:DH52" si="25">IF(DF5=0,0,DF$4*$E5/DF5*$CZ$2)</f>
        <v>6.4000000000000059E-4</v>
      </c>
      <c r="DI5" s="430">
        <f t="shared" ref="DI5:DI59" si="26">DF5</f>
        <v>1</v>
      </c>
      <c r="DJ5" s="402">
        <f t="shared" ref="DJ5" si="27">DG5</f>
        <v>1</v>
      </c>
      <c r="DK5" s="438">
        <f t="shared" ref="DK5:DK52" si="28">IF(DI5=0,0,DI$4*$E5/DI5*$CZ$2)</f>
        <v>9.60000000000001E-4</v>
      </c>
      <c r="DL5" s="430">
        <f t="shared" ref="DL5" si="29">DI5</f>
        <v>1</v>
      </c>
      <c r="DM5" s="402">
        <f t="shared" ref="DM5" si="30">DJ5</f>
        <v>1</v>
      </c>
      <c r="DN5" s="438">
        <f t="shared" ref="DN5:DN52" si="31">IF(DL5=0,0,DL$4*$E5/DL5*$CZ$2)</f>
        <v>1.2800000000000012E-3</v>
      </c>
      <c r="DO5" s="430">
        <f t="shared" ref="DO5" si="32">DL5</f>
        <v>1</v>
      </c>
      <c r="DP5" s="402">
        <f t="shared" ref="DP5" si="33">DM5</f>
        <v>1</v>
      </c>
      <c r="DQ5" s="438">
        <f t="shared" ref="DQ5:DQ52" si="34">IF(DO5=0,0,DO$4*$E5/DO5*$CZ$2)</f>
        <v>1.6000000000000016E-3</v>
      </c>
      <c r="DR5" s="430">
        <f t="shared" ref="DR5" si="35">DO5</f>
        <v>1</v>
      </c>
      <c r="DS5" s="402">
        <f t="shared" ref="DS5" si="36">DP5</f>
        <v>1</v>
      </c>
      <c r="DT5" s="438">
        <f t="shared" ref="DT5:DT52" si="37">IF(DR5=0,0,DR$4*$E5/DR5*$CZ$2)</f>
        <v>3.2000000000000032E-3</v>
      </c>
      <c r="DU5" s="430">
        <f t="shared" ref="DU5" si="38">DR5</f>
        <v>1</v>
      </c>
      <c r="DV5" s="402">
        <f t="shared" ref="DV5" si="39">DS5</f>
        <v>1</v>
      </c>
      <c r="DW5" s="438">
        <f t="shared" ref="DW5:DW52" si="40">IF(DU5=0,0,DU$4*$E5/DU5*$CZ$2)</f>
        <v>6.4000000000000064E-3</v>
      </c>
      <c r="DX5" s="430">
        <f t="shared" ref="DX5" si="41">DU5</f>
        <v>1</v>
      </c>
      <c r="DY5" s="402">
        <f t="shared" ref="DY5" si="42">DV5</f>
        <v>1</v>
      </c>
      <c r="DZ5" s="438">
        <f t="shared" ref="DZ5:DZ52" si="43">IF(DX5=0,0,DX$4*$E5/DX5*$CZ$2)</f>
        <v>9.6000000000000096E-3</v>
      </c>
      <c r="EA5" s="430">
        <f t="shared" ref="EA5" si="44">DX5</f>
        <v>1</v>
      </c>
      <c r="EB5" s="402">
        <f t="shared" ref="EB5" si="45">DY5</f>
        <v>1</v>
      </c>
      <c r="EC5" s="438">
        <f t="shared" ref="EC5:EC52" si="46">IF(EA5=0,0,EA$4*$E5/EA5*$CZ$2)</f>
        <v>1.2800000000000013E-2</v>
      </c>
      <c r="ED5" s="430">
        <f t="shared" ref="ED5" si="47">EA5</f>
        <v>1</v>
      </c>
      <c r="EE5" s="402">
        <f t="shared" ref="EE5" si="48">EB5</f>
        <v>1</v>
      </c>
      <c r="EF5" s="438">
        <f t="shared" ref="EF5:EF52" si="49">IF(ED5=0,0,ED$4*$E5/ED5*$CZ$2)</f>
        <v>1.6000000000000018E-2</v>
      </c>
      <c r="EG5" s="430">
        <f t="shared" ref="EG5:EG45" si="50">$ED5*EG$4/$ED$4</f>
        <v>2</v>
      </c>
      <c r="EH5" s="402">
        <f t="shared" ref="EH5:EH59" si="51">$EE5*EG$4/$ED$4</f>
        <v>2</v>
      </c>
      <c r="EI5" s="438">
        <f t="shared" ref="EI5:EI52" si="52">IF(EG5=0,0,EG$4*$E5/EG5*$CZ$2)</f>
        <v>1.6000000000000018E-2</v>
      </c>
      <c r="EJ5" s="430">
        <f t="shared" ref="EJ5:EJ45" si="53">$ED5*EJ$4/$ED$4</f>
        <v>4</v>
      </c>
      <c r="EK5" s="402">
        <f t="shared" ref="EK5:EK59" si="54">$EE5*EJ$4/$ED$4</f>
        <v>4</v>
      </c>
      <c r="EL5" s="438">
        <f t="shared" ref="EL5:EL52" si="55">IF(EJ5=0,0,EJ$4*$E5/EJ5*$CZ$2)</f>
        <v>1.6000000000000018E-2</v>
      </c>
      <c r="EM5" s="430">
        <f t="shared" ref="EM5:EM45" si="56">$ED5*EM$4/$ED$4</f>
        <v>6</v>
      </c>
      <c r="EN5" s="402">
        <f t="shared" ref="EN5:EN59" si="57">$EE5*EM$4/$ED$4</f>
        <v>6</v>
      </c>
      <c r="EO5" s="438">
        <f t="shared" ref="EO5:EO52" si="58">IF(EM5=0,0,EM$4*$E5/EM5*$CZ$2)</f>
        <v>1.6000000000000018E-2</v>
      </c>
      <c r="EP5" s="430">
        <f t="shared" ref="EP5:EP45" si="59">$ED5*EP$4/$ED$4</f>
        <v>8</v>
      </c>
      <c r="EQ5" s="402">
        <f t="shared" ref="EQ5:EQ59" si="60">$EE5*EP$4/$ED$4</f>
        <v>8</v>
      </c>
      <c r="ER5" s="438">
        <f t="shared" ref="ER5:ER52" si="61">IF(EP5=0,0,EP$4*$E5/EP5*$CZ$2)</f>
        <v>1.6000000000000018E-2</v>
      </c>
      <c r="ES5" s="430">
        <f t="shared" ref="ES5:ES45" si="62">$ED5*ES$4/$ED$4</f>
        <v>10</v>
      </c>
      <c r="ET5" s="402">
        <f t="shared" ref="ET5:ET59" si="63">$EE5*ES$4/$ED$4</f>
        <v>10</v>
      </c>
      <c r="EU5" s="438">
        <f t="shared" ref="EU5:EU52" si="64">IF(ES5=0,0,ES$4*$E5/ES5*$CZ$2)</f>
        <v>1.6000000000000018E-2</v>
      </c>
      <c r="EV5" s="430">
        <f t="shared" ref="EV5:EV45" si="65">$ED5*EV$4/$ED$4</f>
        <v>20</v>
      </c>
      <c r="EW5" s="402">
        <f t="shared" ref="EW5:EW59" si="66">$EE5*EV$4/$ED$4</f>
        <v>20</v>
      </c>
      <c r="EX5" s="438">
        <f t="shared" ref="EX5:EX52" si="67">IF(EV5=0,0,EV$4*$E5/EV5*$CZ$2)</f>
        <v>1.6000000000000018E-2</v>
      </c>
      <c r="EY5" s="430">
        <f t="shared" ref="EY5:EY45" si="68">$ED5*EY$4/$ED$4</f>
        <v>40</v>
      </c>
      <c r="EZ5" s="402">
        <f t="shared" ref="EZ5:EZ59" si="69">$EE5*EY$4/$ED$4</f>
        <v>40</v>
      </c>
      <c r="FA5" s="438">
        <f t="shared" ref="FA5:FA52" si="70">IF(EY5=0,0,EY$4*$E5/EY5*$CZ$2)</f>
        <v>1.6000000000000018E-2</v>
      </c>
      <c r="FB5" s="430">
        <f t="shared" ref="FB5:FB45" si="71">$ED5*FB$4/$ED$4</f>
        <v>60</v>
      </c>
      <c r="FC5" s="402">
        <f t="shared" ref="FC5:FC59" si="72">$EE5*FB$4/$ED$4</f>
        <v>60</v>
      </c>
      <c r="FD5" s="438">
        <f t="shared" ref="FD5:FD52" si="73">IF(FB5=0,0,FB$4*$E5/FB5*$CZ$2)</f>
        <v>1.6000000000000018E-2</v>
      </c>
      <c r="FE5" s="430">
        <f t="shared" ref="FE5:FE45" si="74">$ED5*FE$4/$ED$4</f>
        <v>80</v>
      </c>
      <c r="FF5" s="402">
        <f t="shared" ref="FF5:FF59" si="75">$EE5*FE$4/$ED$4</f>
        <v>80</v>
      </c>
      <c r="FG5" s="438">
        <f t="shared" ref="FG5:FG52" si="76">IF(FE5=0,0,FE$4*$E5/FE5*$CZ$2)</f>
        <v>1.6000000000000018E-2</v>
      </c>
      <c r="FH5" s="430">
        <f t="shared" ref="FH5:FH45" si="77">$ED5*FH$4/$ED$4</f>
        <v>100</v>
      </c>
      <c r="FI5" s="402">
        <f t="shared" ref="FI5:FI59" si="78">$EE5*FH$4/$ED$4</f>
        <v>100</v>
      </c>
      <c r="FJ5" s="438">
        <f t="shared" ref="FJ5:FJ52" si="79">IF(FH5=0,0,FH$4*$E5/FH5*$CZ$2)</f>
        <v>1.6000000000000018E-2</v>
      </c>
    </row>
    <row r="6" spans="1:208" x14ac:dyDescent="0.45">
      <c r="A6" s="1">
        <v>2</v>
      </c>
      <c r="B6" s="306" t="s">
        <v>1155</v>
      </c>
      <c r="C6" s="1">
        <v>1</v>
      </c>
      <c r="D6" s="1">
        <v>-1</v>
      </c>
      <c r="E6" s="1">
        <v>2</v>
      </c>
      <c r="F6" s="1">
        <f t="shared" si="0"/>
        <v>2</v>
      </c>
      <c r="G6" s="1"/>
      <c r="H6" s="1">
        <f t="shared" si="1"/>
        <v>0</v>
      </c>
      <c r="I6" s="1">
        <f t="shared" si="2"/>
        <v>0</v>
      </c>
      <c r="J6" s="1">
        <v>0</v>
      </c>
      <c r="K6" s="313">
        <v>0</v>
      </c>
      <c r="L6" s="314">
        <v>1</v>
      </c>
      <c r="M6" s="320">
        <f>ROUND(IF(L6&lt;&gt;0,$BI$4/('全局参数|GlobalPar'!$B$18/10000/E6)/L6,0),6)</f>
        <v>0</v>
      </c>
      <c r="N6" s="320">
        <f t="shared" si="3"/>
        <v>0</v>
      </c>
      <c r="O6" s="323">
        <v>0</v>
      </c>
      <c r="P6" s="322">
        <v>1</v>
      </c>
      <c r="Q6" s="331">
        <v>1</v>
      </c>
      <c r="R6" s="332" t="s">
        <v>1144</v>
      </c>
      <c r="S6" s="1"/>
      <c r="T6" s="320">
        <v>0</v>
      </c>
      <c r="U6" s="348">
        <v>0</v>
      </c>
      <c r="V6" s="348">
        <v>0</v>
      </c>
      <c r="W6" s="348">
        <v>0</v>
      </c>
      <c r="X6" s="1" t="s">
        <v>1145</v>
      </c>
      <c r="Y6" s="192" t="s">
        <v>1146</v>
      </c>
      <c r="Z6" s="192">
        <v>0</v>
      </c>
      <c r="AA6" s="192">
        <v>0</v>
      </c>
      <c r="AB6" s="354">
        <v>2</v>
      </c>
      <c r="AC6" s="1">
        <f t="shared" si="4"/>
        <v>-1</v>
      </c>
      <c r="AD6" s="1">
        <v>0</v>
      </c>
      <c r="AE6" s="1"/>
      <c r="AF6" s="1"/>
      <c r="AG6" s="1">
        <v>1</v>
      </c>
      <c r="AH6" s="1">
        <v>1.5</v>
      </c>
      <c r="AI6" s="1">
        <v>1</v>
      </c>
      <c r="AJ6" s="1">
        <v>0.5</v>
      </c>
      <c r="AK6" s="1">
        <v>1</v>
      </c>
      <c r="AL6" s="1"/>
      <c r="AM6" s="1"/>
      <c r="AN6" s="1"/>
      <c r="AO6" s="356">
        <v>0.6</v>
      </c>
      <c r="AP6" s="1">
        <v>2</v>
      </c>
      <c r="AQ6" s="1">
        <v>0.18</v>
      </c>
      <c r="AR6" s="1">
        <v>0.8</v>
      </c>
      <c r="AS6" s="1">
        <v>1</v>
      </c>
      <c r="AT6" s="1" t="s">
        <v>1147</v>
      </c>
      <c r="AU6" s="358" t="s">
        <v>1156</v>
      </c>
      <c r="AV6" s="358" t="s">
        <v>1157</v>
      </c>
      <c r="AW6" s="360" t="s">
        <v>333</v>
      </c>
      <c r="AX6" s="360" t="s">
        <v>189</v>
      </c>
      <c r="AY6" s="1">
        <f t="shared" si="5"/>
        <v>1.5</v>
      </c>
      <c r="AZ6" s="362">
        <f t="shared" si="6"/>
        <v>40</v>
      </c>
      <c r="BA6" s="1" t="s">
        <v>1150</v>
      </c>
      <c r="BB6" s="1">
        <f t="shared" si="7"/>
        <v>1.119</v>
      </c>
      <c r="BC6" s="1"/>
      <c r="BD6" s="1">
        <f t="shared" si="8"/>
        <v>2</v>
      </c>
      <c r="BE6" s="1">
        <f t="shared" si="9"/>
        <v>2.12</v>
      </c>
      <c r="BG6" s="1">
        <f t="shared" si="10"/>
        <v>0</v>
      </c>
      <c r="BH6" s="370" t="s">
        <v>1158</v>
      </c>
      <c r="BI6" s="377">
        <f>1/7</f>
        <v>0.14285714285714285</v>
      </c>
      <c r="BR6" s="301">
        <f t="shared" si="11"/>
        <v>2.2000000000000002</v>
      </c>
      <c r="BS6" s="356">
        <f>BS5</f>
        <v>0.1</v>
      </c>
      <c r="BT6" s="297">
        <v>1</v>
      </c>
      <c r="BU6" s="1">
        <v>5</v>
      </c>
      <c r="BV6" s="297">
        <v>2</v>
      </c>
      <c r="BW6" s="1">
        <v>2</v>
      </c>
      <c r="BX6" s="297">
        <v>3</v>
      </c>
      <c r="BY6" s="1">
        <v>1</v>
      </c>
      <c r="BZ6" s="1">
        <f t="shared" ref="BZ6:BZ59" si="80">(BT6*BU6+BV6*BW6+BX6*BY6)/(BU6+BW6+BY6)</f>
        <v>1.5</v>
      </c>
      <c r="CA6" s="1">
        <f t="shared" ref="CA6:CE37" si="81">CA$3/10</f>
        <v>7.5</v>
      </c>
      <c r="CB6" s="389">
        <f t="shared" si="12"/>
        <v>1.7777999999999999E-2</v>
      </c>
      <c r="CC6" s="1">
        <f t="shared" si="13"/>
        <v>15</v>
      </c>
      <c r="CD6" s="391">
        <f t="shared" si="14"/>
        <v>8.8889999999999993E-3</v>
      </c>
      <c r="CE6" s="1">
        <f t="shared" si="13"/>
        <v>22.5</v>
      </c>
      <c r="CF6" s="392">
        <f t="shared" si="15"/>
        <v>5.9259999999999998E-3</v>
      </c>
      <c r="CH6" s="190">
        <v>2E-3</v>
      </c>
      <c r="CI6" s="403">
        <f>CI5</f>
        <v>0</v>
      </c>
      <c r="CJ6" s="402">
        <f t="shared" si="16"/>
        <v>0</v>
      </c>
      <c r="CK6" s="411">
        <f t="shared" si="17"/>
        <v>0</v>
      </c>
      <c r="CL6" s="411">
        <f t="shared" si="18"/>
        <v>0</v>
      </c>
      <c r="CM6" s="412">
        <f t="shared" ref="CM6:CM59" si="82">IF(CL6&gt;$CM$3,CI6*$CM$3/CL6,$CI6)</f>
        <v>0</v>
      </c>
      <c r="CN6" s="413">
        <f t="shared" si="19"/>
        <v>0</v>
      </c>
      <c r="CO6" s="411">
        <f t="shared" si="20"/>
        <v>0</v>
      </c>
      <c r="CP6" s="429" t="e">
        <f t="shared" si="21"/>
        <v>#DIV/0!</v>
      </c>
      <c r="CQ6" s="430">
        <f t="shared" ref="CQ6:CQ59" si="83">IF($CL$3&lt;$CT$2,CT6,CT6*INT($CL$3/$CT$2))</f>
        <v>1</v>
      </c>
      <c r="CR6" s="431">
        <f t="shared" ref="CR6:CR59" si="84">IF($CL$3&lt;$CT$2,CU6,CU6*INT($CL$3/$CT$2))</f>
        <v>1</v>
      </c>
      <c r="CS6" s="332"/>
      <c r="CT6" s="322">
        <v>1</v>
      </c>
      <c r="CU6" s="331">
        <v>1</v>
      </c>
      <c r="CW6" s="119" t="s">
        <v>1159</v>
      </c>
      <c r="CX6" s="116">
        <v>1</v>
      </c>
      <c r="CY6" s="519"/>
      <c r="CZ6" s="523"/>
      <c r="DB6" s="438"/>
      <c r="DC6" s="430">
        <v>1</v>
      </c>
      <c r="DD6" s="402">
        <v>1</v>
      </c>
      <c r="DE6" s="438">
        <f t="shared" si="22"/>
        <v>3.200000000000003E-4</v>
      </c>
      <c r="DF6" s="430">
        <f t="shared" si="23"/>
        <v>1</v>
      </c>
      <c r="DG6" s="402">
        <f t="shared" ref="DG6:DG59" si="85">DD6</f>
        <v>1</v>
      </c>
      <c r="DH6" s="438">
        <f t="shared" si="25"/>
        <v>6.4000000000000059E-4</v>
      </c>
      <c r="DI6" s="430">
        <f t="shared" si="26"/>
        <v>1</v>
      </c>
      <c r="DJ6" s="402">
        <f t="shared" ref="DJ6:DJ59" si="86">DG6</f>
        <v>1</v>
      </c>
      <c r="DK6" s="438">
        <f t="shared" si="28"/>
        <v>9.60000000000001E-4</v>
      </c>
      <c r="DL6" s="430">
        <f t="shared" ref="DL6:DL59" si="87">DI6</f>
        <v>1</v>
      </c>
      <c r="DM6" s="402">
        <f t="shared" ref="DM6:DM59" si="88">DJ6</f>
        <v>1</v>
      </c>
      <c r="DN6" s="438">
        <f t="shared" si="31"/>
        <v>1.2800000000000012E-3</v>
      </c>
      <c r="DO6" s="430">
        <f t="shared" ref="DO6:DO59" si="89">DL6</f>
        <v>1</v>
      </c>
      <c r="DP6" s="402">
        <f t="shared" ref="DP6:DP59" si="90">DM6</f>
        <v>1</v>
      </c>
      <c r="DQ6" s="438">
        <f t="shared" si="34"/>
        <v>1.6000000000000016E-3</v>
      </c>
      <c r="DR6" s="430">
        <f t="shared" ref="DR6:DR59" si="91">DO6</f>
        <v>1</v>
      </c>
      <c r="DS6" s="402">
        <f t="shared" ref="DS6:DS59" si="92">DP6</f>
        <v>1</v>
      </c>
      <c r="DT6" s="438">
        <f t="shared" si="37"/>
        <v>3.2000000000000032E-3</v>
      </c>
      <c r="DU6" s="430">
        <f t="shared" ref="DU6:DU59" si="93">DR6</f>
        <v>1</v>
      </c>
      <c r="DV6" s="402">
        <f t="shared" ref="DV6:DV59" si="94">DS6</f>
        <v>1</v>
      </c>
      <c r="DW6" s="438">
        <f t="shared" si="40"/>
        <v>6.4000000000000064E-3</v>
      </c>
      <c r="DX6" s="430">
        <f t="shared" ref="DX6:DX59" si="95">DU6</f>
        <v>1</v>
      </c>
      <c r="DY6" s="402">
        <f t="shared" ref="DY6:DY59" si="96">DV6</f>
        <v>1</v>
      </c>
      <c r="DZ6" s="438">
        <f t="shared" si="43"/>
        <v>9.6000000000000096E-3</v>
      </c>
      <c r="EA6" s="430">
        <f t="shared" ref="EA6:EA59" si="97">DX6</f>
        <v>1</v>
      </c>
      <c r="EB6" s="402">
        <f t="shared" ref="EB6:EB59" si="98">DY6</f>
        <v>1</v>
      </c>
      <c r="EC6" s="438">
        <f t="shared" si="46"/>
        <v>1.2800000000000013E-2</v>
      </c>
      <c r="ED6" s="430">
        <f t="shared" ref="ED6:ED59" si="99">EA6</f>
        <v>1</v>
      </c>
      <c r="EE6" s="402">
        <f t="shared" ref="EE6:EE59" si="100">EB6</f>
        <v>1</v>
      </c>
      <c r="EF6" s="438">
        <f t="shared" si="49"/>
        <v>1.6000000000000018E-2</v>
      </c>
      <c r="EG6" s="430">
        <f t="shared" si="50"/>
        <v>2</v>
      </c>
      <c r="EH6" s="402">
        <f t="shared" si="51"/>
        <v>2</v>
      </c>
      <c r="EI6" s="438">
        <f t="shared" si="52"/>
        <v>1.6000000000000018E-2</v>
      </c>
      <c r="EJ6" s="430">
        <f t="shared" si="53"/>
        <v>4</v>
      </c>
      <c r="EK6" s="402">
        <f t="shared" si="54"/>
        <v>4</v>
      </c>
      <c r="EL6" s="438">
        <f t="shared" si="55"/>
        <v>1.6000000000000018E-2</v>
      </c>
      <c r="EM6" s="430">
        <f t="shared" si="56"/>
        <v>6</v>
      </c>
      <c r="EN6" s="402">
        <f t="shared" si="57"/>
        <v>6</v>
      </c>
      <c r="EO6" s="438">
        <f t="shared" si="58"/>
        <v>1.6000000000000018E-2</v>
      </c>
      <c r="EP6" s="430">
        <f t="shared" si="59"/>
        <v>8</v>
      </c>
      <c r="EQ6" s="402">
        <f t="shared" si="60"/>
        <v>8</v>
      </c>
      <c r="ER6" s="438">
        <f t="shared" si="61"/>
        <v>1.6000000000000018E-2</v>
      </c>
      <c r="ES6" s="430">
        <f t="shared" si="62"/>
        <v>10</v>
      </c>
      <c r="ET6" s="402">
        <f t="shared" si="63"/>
        <v>10</v>
      </c>
      <c r="EU6" s="438">
        <f t="shared" si="64"/>
        <v>1.6000000000000018E-2</v>
      </c>
      <c r="EV6" s="430">
        <f t="shared" si="65"/>
        <v>20</v>
      </c>
      <c r="EW6" s="402">
        <f t="shared" si="66"/>
        <v>20</v>
      </c>
      <c r="EX6" s="438">
        <f t="shared" si="67"/>
        <v>1.6000000000000018E-2</v>
      </c>
      <c r="EY6" s="430">
        <f t="shared" si="68"/>
        <v>40</v>
      </c>
      <c r="EZ6" s="402">
        <f t="shared" si="69"/>
        <v>40</v>
      </c>
      <c r="FA6" s="438">
        <f t="shared" si="70"/>
        <v>1.6000000000000018E-2</v>
      </c>
      <c r="FB6" s="430">
        <f t="shared" si="71"/>
        <v>60</v>
      </c>
      <c r="FC6" s="402">
        <f t="shared" si="72"/>
        <v>60</v>
      </c>
      <c r="FD6" s="438">
        <f t="shared" si="73"/>
        <v>1.6000000000000018E-2</v>
      </c>
      <c r="FE6" s="430">
        <f t="shared" si="74"/>
        <v>80</v>
      </c>
      <c r="FF6" s="402">
        <f t="shared" si="75"/>
        <v>80</v>
      </c>
      <c r="FG6" s="438">
        <f t="shared" si="76"/>
        <v>1.6000000000000018E-2</v>
      </c>
      <c r="FH6" s="430">
        <f t="shared" si="77"/>
        <v>100</v>
      </c>
      <c r="FI6" s="402">
        <f t="shared" si="78"/>
        <v>100</v>
      </c>
      <c r="FJ6" s="438">
        <f t="shared" si="79"/>
        <v>1.6000000000000018E-2</v>
      </c>
    </row>
    <row r="7" spans="1:208" x14ac:dyDescent="0.45">
      <c r="A7" s="1">
        <v>3</v>
      </c>
      <c r="B7" s="306" t="s">
        <v>1160</v>
      </c>
      <c r="C7" s="1">
        <v>1</v>
      </c>
      <c r="D7" s="1">
        <v>-1</v>
      </c>
      <c r="E7" s="1">
        <v>2</v>
      </c>
      <c r="F7" s="1">
        <f t="shared" si="0"/>
        <v>2</v>
      </c>
      <c r="G7" s="1"/>
      <c r="H7" s="1">
        <f t="shared" si="1"/>
        <v>0</v>
      </c>
      <c r="I7" s="1">
        <f t="shared" si="2"/>
        <v>0</v>
      </c>
      <c r="J7" s="1">
        <v>0</v>
      </c>
      <c r="K7" s="313">
        <v>0</v>
      </c>
      <c r="L7" s="314">
        <v>1</v>
      </c>
      <c r="M7" s="320">
        <f>ROUND(IF(L7&lt;&gt;0,$BI$4/('全局参数|GlobalPar'!$B$18/10000/E7)/L7,0),6)</f>
        <v>0</v>
      </c>
      <c r="N7" s="320">
        <f t="shared" si="3"/>
        <v>0</v>
      </c>
      <c r="O7" s="323">
        <v>0</v>
      </c>
      <c r="P7" s="322">
        <v>1</v>
      </c>
      <c r="Q7" s="331">
        <v>1</v>
      </c>
      <c r="R7" s="332" t="s">
        <v>1144</v>
      </c>
      <c r="S7" s="1"/>
      <c r="T7" s="320">
        <v>0</v>
      </c>
      <c r="U7" s="348">
        <v>0</v>
      </c>
      <c r="V7" s="348">
        <v>0</v>
      </c>
      <c r="W7" s="348">
        <v>0</v>
      </c>
      <c r="X7" s="1" t="s">
        <v>1145</v>
      </c>
      <c r="Y7" s="192" t="s">
        <v>1146</v>
      </c>
      <c r="Z7" s="192">
        <v>0</v>
      </c>
      <c r="AA7" s="192">
        <v>0</v>
      </c>
      <c r="AB7" s="354">
        <v>2</v>
      </c>
      <c r="AC7" s="1">
        <f t="shared" si="4"/>
        <v>-1</v>
      </c>
      <c r="AD7" s="1">
        <v>0</v>
      </c>
      <c r="AE7" s="1"/>
      <c r="AF7" s="1"/>
      <c r="AG7" s="1">
        <v>1</v>
      </c>
      <c r="AH7" s="1">
        <v>1.5</v>
      </c>
      <c r="AI7" s="1">
        <v>1</v>
      </c>
      <c r="AJ7" s="1">
        <v>0.5</v>
      </c>
      <c r="AK7" s="1">
        <v>1</v>
      </c>
      <c r="AL7" s="1"/>
      <c r="AM7" s="1"/>
      <c r="AN7" s="1"/>
      <c r="AO7" s="356">
        <v>0.6</v>
      </c>
      <c r="AP7" s="1">
        <v>3</v>
      </c>
      <c r="AQ7" s="1">
        <v>0.18</v>
      </c>
      <c r="AR7" s="1">
        <v>0.8</v>
      </c>
      <c r="AS7" s="1">
        <v>1</v>
      </c>
      <c r="AT7" s="1" t="s">
        <v>1147</v>
      </c>
      <c r="AU7" s="358" t="s">
        <v>1161</v>
      </c>
      <c r="AV7" s="358" t="s">
        <v>1162</v>
      </c>
      <c r="AW7" s="360" t="s">
        <v>179</v>
      </c>
      <c r="AX7" s="360" t="s">
        <v>189</v>
      </c>
      <c r="AY7" s="1">
        <f t="shared" si="5"/>
        <v>1.5</v>
      </c>
      <c r="AZ7" s="362">
        <f t="shared" si="6"/>
        <v>40</v>
      </c>
      <c r="BA7" s="1" t="s">
        <v>1150</v>
      </c>
      <c r="BB7" s="1">
        <f t="shared" si="7"/>
        <v>1.119</v>
      </c>
      <c r="BC7" s="1"/>
      <c r="BD7" s="1">
        <f t="shared" si="8"/>
        <v>2</v>
      </c>
      <c r="BE7" s="1">
        <f t="shared" si="9"/>
        <v>2.12</v>
      </c>
      <c r="BG7" s="1">
        <f t="shared" si="10"/>
        <v>0</v>
      </c>
      <c r="BH7" s="371" t="s">
        <v>1163</v>
      </c>
      <c r="BI7" s="378">
        <f>BI6/BI3</f>
        <v>4.7619047619047619E-4</v>
      </c>
      <c r="BR7" s="301">
        <f t="shared" si="11"/>
        <v>2.2000000000000002</v>
      </c>
      <c r="BS7" s="356">
        <f t="shared" ref="BS7:BS62" si="101">BS6</f>
        <v>0.1</v>
      </c>
      <c r="BT7" s="297">
        <v>1</v>
      </c>
      <c r="BU7" s="1">
        <v>5</v>
      </c>
      <c r="BV7" s="297">
        <v>2</v>
      </c>
      <c r="BW7" s="1">
        <v>2</v>
      </c>
      <c r="BX7" s="297">
        <v>3</v>
      </c>
      <c r="BY7" s="1">
        <v>1</v>
      </c>
      <c r="BZ7" s="1">
        <f t="shared" si="80"/>
        <v>1.5</v>
      </c>
      <c r="CA7" s="1">
        <f t="shared" si="81"/>
        <v>7.5</v>
      </c>
      <c r="CB7" s="389">
        <f t="shared" si="12"/>
        <v>1.7777999999999999E-2</v>
      </c>
      <c r="CC7" s="1">
        <f t="shared" si="13"/>
        <v>15</v>
      </c>
      <c r="CD7" s="391">
        <f t="shared" si="14"/>
        <v>8.8889999999999993E-3</v>
      </c>
      <c r="CE7" s="1">
        <f t="shared" si="13"/>
        <v>22.5</v>
      </c>
      <c r="CF7" s="392">
        <f t="shared" si="15"/>
        <v>5.9259999999999998E-3</v>
      </c>
      <c r="CH7" s="190">
        <v>2E-3</v>
      </c>
      <c r="CI7" s="403">
        <f t="shared" ref="CI7:CI62" si="102">CI6</f>
        <v>0</v>
      </c>
      <c r="CJ7" s="402">
        <f t="shared" si="16"/>
        <v>0</v>
      </c>
      <c r="CK7" s="411">
        <f t="shared" si="17"/>
        <v>0</v>
      </c>
      <c r="CL7" s="411">
        <f t="shared" si="18"/>
        <v>0</v>
      </c>
      <c r="CM7" s="412">
        <f t="shared" si="82"/>
        <v>0</v>
      </c>
      <c r="CN7" s="413">
        <f t="shared" si="19"/>
        <v>0</v>
      </c>
      <c r="CO7" s="411">
        <f t="shared" si="20"/>
        <v>0</v>
      </c>
      <c r="CP7" s="429" t="e">
        <f t="shared" si="21"/>
        <v>#DIV/0!</v>
      </c>
      <c r="CQ7" s="430">
        <f t="shared" si="83"/>
        <v>1</v>
      </c>
      <c r="CR7" s="431">
        <f t="shared" si="84"/>
        <v>1</v>
      </c>
      <c r="CS7" s="332"/>
      <c r="CT7" s="322">
        <v>1</v>
      </c>
      <c r="CU7" s="331">
        <v>1</v>
      </c>
      <c r="CX7" s="2"/>
      <c r="CY7" s="2"/>
      <c r="CZ7" s="2"/>
      <c r="DB7" s="438"/>
      <c r="DC7" s="430">
        <v>1</v>
      </c>
      <c r="DD7" s="402">
        <v>1</v>
      </c>
      <c r="DE7" s="438">
        <f t="shared" si="22"/>
        <v>3.200000000000003E-4</v>
      </c>
      <c r="DF7" s="430">
        <f t="shared" si="23"/>
        <v>1</v>
      </c>
      <c r="DG7" s="402">
        <f t="shared" si="85"/>
        <v>1</v>
      </c>
      <c r="DH7" s="438">
        <f t="shared" si="25"/>
        <v>6.4000000000000059E-4</v>
      </c>
      <c r="DI7" s="430">
        <f t="shared" si="26"/>
        <v>1</v>
      </c>
      <c r="DJ7" s="402">
        <f t="shared" si="86"/>
        <v>1</v>
      </c>
      <c r="DK7" s="438">
        <f t="shared" si="28"/>
        <v>9.60000000000001E-4</v>
      </c>
      <c r="DL7" s="430">
        <f t="shared" si="87"/>
        <v>1</v>
      </c>
      <c r="DM7" s="402">
        <f t="shared" si="88"/>
        <v>1</v>
      </c>
      <c r="DN7" s="438">
        <f t="shared" si="31"/>
        <v>1.2800000000000012E-3</v>
      </c>
      <c r="DO7" s="430">
        <f t="shared" si="89"/>
        <v>1</v>
      </c>
      <c r="DP7" s="402">
        <f t="shared" si="90"/>
        <v>1</v>
      </c>
      <c r="DQ7" s="438">
        <f t="shared" si="34"/>
        <v>1.6000000000000016E-3</v>
      </c>
      <c r="DR7" s="430">
        <f t="shared" si="91"/>
        <v>1</v>
      </c>
      <c r="DS7" s="402">
        <f t="shared" si="92"/>
        <v>1</v>
      </c>
      <c r="DT7" s="438">
        <f t="shared" si="37"/>
        <v>3.2000000000000032E-3</v>
      </c>
      <c r="DU7" s="430">
        <f t="shared" si="93"/>
        <v>1</v>
      </c>
      <c r="DV7" s="402">
        <f t="shared" si="94"/>
        <v>1</v>
      </c>
      <c r="DW7" s="438">
        <f t="shared" si="40"/>
        <v>6.4000000000000064E-3</v>
      </c>
      <c r="DX7" s="430">
        <f t="shared" si="95"/>
        <v>1</v>
      </c>
      <c r="DY7" s="402">
        <f t="shared" si="96"/>
        <v>1</v>
      </c>
      <c r="DZ7" s="438">
        <f t="shared" si="43"/>
        <v>9.6000000000000096E-3</v>
      </c>
      <c r="EA7" s="430">
        <f t="shared" si="97"/>
        <v>1</v>
      </c>
      <c r="EB7" s="402">
        <f t="shared" si="98"/>
        <v>1</v>
      </c>
      <c r="EC7" s="438">
        <f t="shared" si="46"/>
        <v>1.2800000000000013E-2</v>
      </c>
      <c r="ED7" s="430">
        <f t="shared" si="99"/>
        <v>1</v>
      </c>
      <c r="EE7" s="402">
        <f t="shared" si="100"/>
        <v>1</v>
      </c>
      <c r="EF7" s="438">
        <f t="shared" si="49"/>
        <v>1.6000000000000018E-2</v>
      </c>
      <c r="EG7" s="430">
        <f t="shared" si="50"/>
        <v>2</v>
      </c>
      <c r="EH7" s="402">
        <f t="shared" si="51"/>
        <v>2</v>
      </c>
      <c r="EI7" s="438">
        <f t="shared" si="52"/>
        <v>1.6000000000000018E-2</v>
      </c>
      <c r="EJ7" s="430">
        <f t="shared" si="53"/>
        <v>4</v>
      </c>
      <c r="EK7" s="402">
        <f t="shared" si="54"/>
        <v>4</v>
      </c>
      <c r="EL7" s="438">
        <f t="shared" si="55"/>
        <v>1.6000000000000018E-2</v>
      </c>
      <c r="EM7" s="430">
        <f t="shared" si="56"/>
        <v>6</v>
      </c>
      <c r="EN7" s="402">
        <f t="shared" si="57"/>
        <v>6</v>
      </c>
      <c r="EO7" s="438">
        <f t="shared" si="58"/>
        <v>1.6000000000000018E-2</v>
      </c>
      <c r="EP7" s="430">
        <f t="shared" si="59"/>
        <v>8</v>
      </c>
      <c r="EQ7" s="402">
        <f t="shared" si="60"/>
        <v>8</v>
      </c>
      <c r="ER7" s="438">
        <f t="shared" si="61"/>
        <v>1.6000000000000018E-2</v>
      </c>
      <c r="ES7" s="430">
        <f t="shared" si="62"/>
        <v>10</v>
      </c>
      <c r="ET7" s="402">
        <f t="shared" si="63"/>
        <v>10</v>
      </c>
      <c r="EU7" s="438">
        <f t="shared" si="64"/>
        <v>1.6000000000000018E-2</v>
      </c>
      <c r="EV7" s="430">
        <f t="shared" si="65"/>
        <v>20</v>
      </c>
      <c r="EW7" s="402">
        <f t="shared" si="66"/>
        <v>20</v>
      </c>
      <c r="EX7" s="438">
        <f t="shared" si="67"/>
        <v>1.6000000000000018E-2</v>
      </c>
      <c r="EY7" s="430">
        <f t="shared" si="68"/>
        <v>40</v>
      </c>
      <c r="EZ7" s="402">
        <f t="shared" si="69"/>
        <v>40</v>
      </c>
      <c r="FA7" s="438">
        <f t="shared" si="70"/>
        <v>1.6000000000000018E-2</v>
      </c>
      <c r="FB7" s="430">
        <f t="shared" si="71"/>
        <v>60</v>
      </c>
      <c r="FC7" s="402">
        <f t="shared" si="72"/>
        <v>60</v>
      </c>
      <c r="FD7" s="438">
        <f t="shared" si="73"/>
        <v>1.6000000000000018E-2</v>
      </c>
      <c r="FE7" s="430">
        <f t="shared" si="74"/>
        <v>80</v>
      </c>
      <c r="FF7" s="402">
        <f t="shared" si="75"/>
        <v>80</v>
      </c>
      <c r="FG7" s="438">
        <f t="shared" si="76"/>
        <v>1.6000000000000018E-2</v>
      </c>
      <c r="FH7" s="430">
        <f t="shared" si="77"/>
        <v>100</v>
      </c>
      <c r="FI7" s="402">
        <f t="shared" si="78"/>
        <v>100</v>
      </c>
      <c r="FJ7" s="438">
        <f t="shared" si="79"/>
        <v>1.6000000000000018E-2</v>
      </c>
    </row>
    <row r="8" spans="1:208" x14ac:dyDescent="0.45">
      <c r="A8" s="1">
        <v>4</v>
      </c>
      <c r="B8" s="305"/>
      <c r="C8" s="1">
        <v>1</v>
      </c>
      <c r="D8" s="1">
        <v>-1</v>
      </c>
      <c r="E8" s="1">
        <v>2</v>
      </c>
      <c r="F8" s="1">
        <f t="shared" si="0"/>
        <v>2</v>
      </c>
      <c r="G8" s="1"/>
      <c r="H8" s="1">
        <f t="shared" si="1"/>
        <v>0</v>
      </c>
      <c r="I8" s="1">
        <f t="shared" si="2"/>
        <v>0</v>
      </c>
      <c r="J8" s="1">
        <v>0</v>
      </c>
      <c r="K8" s="313">
        <v>0</v>
      </c>
      <c r="L8" s="314">
        <v>1</v>
      </c>
      <c r="M8" s="320">
        <f>ROUND(IF(L8&lt;&gt;0,$BI$4/('全局参数|GlobalPar'!$B$18/10000/E8)/L8,0),6)</f>
        <v>0</v>
      </c>
      <c r="N8" s="320">
        <f t="shared" si="3"/>
        <v>0</v>
      </c>
      <c r="O8" s="323">
        <v>0</v>
      </c>
      <c r="P8" s="322">
        <v>1</v>
      </c>
      <c r="Q8" s="331">
        <v>1</v>
      </c>
      <c r="R8" s="332" t="s">
        <v>1144</v>
      </c>
      <c r="S8" s="1"/>
      <c r="T8" s="320">
        <v>0</v>
      </c>
      <c r="U8" s="348">
        <v>0</v>
      </c>
      <c r="V8" s="348">
        <v>0</v>
      </c>
      <c r="W8" s="348">
        <v>0</v>
      </c>
      <c r="X8" s="1" t="s">
        <v>1145</v>
      </c>
      <c r="Y8" s="192" t="s">
        <v>1146</v>
      </c>
      <c r="Z8" s="192">
        <v>0</v>
      </c>
      <c r="AA8" s="192">
        <v>0</v>
      </c>
      <c r="AB8" s="354">
        <v>2</v>
      </c>
      <c r="AC8" s="1">
        <f t="shared" si="4"/>
        <v>-1</v>
      </c>
      <c r="AD8" s="1">
        <v>0</v>
      </c>
      <c r="AE8" s="1"/>
      <c r="AF8" s="1"/>
      <c r="AG8" s="1">
        <v>1</v>
      </c>
      <c r="AH8" s="1">
        <v>1.5</v>
      </c>
      <c r="AI8" s="1">
        <v>1</v>
      </c>
      <c r="AJ8" s="1">
        <v>0.5</v>
      </c>
      <c r="AK8" s="1">
        <v>1</v>
      </c>
      <c r="AL8" s="1"/>
      <c r="AM8" s="1"/>
      <c r="AN8" s="1"/>
      <c r="AO8" s="356">
        <v>0.6</v>
      </c>
      <c r="AP8" s="1">
        <v>4</v>
      </c>
      <c r="AQ8" s="1">
        <v>0.18</v>
      </c>
      <c r="AR8" s="1">
        <v>0.8</v>
      </c>
      <c r="AS8" s="1">
        <v>1</v>
      </c>
      <c r="AT8" s="1" t="s">
        <v>1147</v>
      </c>
      <c r="AU8" s="358" t="s">
        <v>1164</v>
      </c>
      <c r="AV8" s="358" t="s">
        <v>1165</v>
      </c>
      <c r="AW8" s="360" t="s">
        <v>454</v>
      </c>
      <c r="AX8" s="360" t="s">
        <v>189</v>
      </c>
      <c r="AY8" s="1">
        <f t="shared" si="5"/>
        <v>1.5</v>
      </c>
      <c r="AZ8" s="362">
        <f t="shared" si="6"/>
        <v>40</v>
      </c>
      <c r="BA8" s="1" t="s">
        <v>1150</v>
      </c>
      <c r="BB8" s="1">
        <f t="shared" si="7"/>
        <v>1.119</v>
      </c>
      <c r="BC8" s="1"/>
      <c r="BD8" s="1">
        <f t="shared" si="8"/>
        <v>2</v>
      </c>
      <c r="BE8" s="1">
        <f t="shared" si="9"/>
        <v>2.12</v>
      </c>
      <c r="BG8" s="1">
        <f t="shared" si="10"/>
        <v>0</v>
      </c>
      <c r="BN8" s="299"/>
      <c r="BR8" s="301">
        <f t="shared" si="11"/>
        <v>2.2000000000000002</v>
      </c>
      <c r="BS8" s="356">
        <f t="shared" si="101"/>
        <v>0.1</v>
      </c>
      <c r="BT8" s="297">
        <v>1</v>
      </c>
      <c r="BU8" s="1">
        <v>5</v>
      </c>
      <c r="BV8" s="297">
        <v>2</v>
      </c>
      <c r="BW8" s="1">
        <v>2</v>
      </c>
      <c r="BX8" s="297">
        <v>3</v>
      </c>
      <c r="BY8" s="1">
        <v>1</v>
      </c>
      <c r="BZ8" s="1">
        <f t="shared" si="80"/>
        <v>1.5</v>
      </c>
      <c r="CA8" s="1">
        <f t="shared" si="81"/>
        <v>7.5</v>
      </c>
      <c r="CB8" s="389">
        <f t="shared" si="12"/>
        <v>1.7777999999999999E-2</v>
      </c>
      <c r="CC8" s="1">
        <f t="shared" si="13"/>
        <v>15</v>
      </c>
      <c r="CD8" s="391">
        <f t="shared" si="14"/>
        <v>8.8889999999999993E-3</v>
      </c>
      <c r="CE8" s="1">
        <f t="shared" si="13"/>
        <v>22.5</v>
      </c>
      <c r="CF8" s="392">
        <f t="shared" si="15"/>
        <v>5.9259999999999998E-3</v>
      </c>
      <c r="CH8" s="190">
        <v>2E-3</v>
      </c>
      <c r="CI8" s="403">
        <f t="shared" si="102"/>
        <v>0</v>
      </c>
      <c r="CJ8" s="402">
        <f t="shared" si="16"/>
        <v>0</v>
      </c>
      <c r="CK8" s="411">
        <f t="shared" si="17"/>
        <v>0</v>
      </c>
      <c r="CL8" s="411">
        <f t="shared" si="18"/>
        <v>0</v>
      </c>
      <c r="CM8" s="412">
        <f t="shared" si="82"/>
        <v>0</v>
      </c>
      <c r="CN8" s="413">
        <f t="shared" si="19"/>
        <v>0</v>
      </c>
      <c r="CO8" s="411">
        <f t="shared" si="20"/>
        <v>0</v>
      </c>
      <c r="CP8" s="429" t="e">
        <f t="shared" si="21"/>
        <v>#DIV/0!</v>
      </c>
      <c r="CQ8" s="430">
        <f t="shared" si="83"/>
        <v>1</v>
      </c>
      <c r="CR8" s="431">
        <f t="shared" si="84"/>
        <v>1</v>
      </c>
      <c r="CS8" s="332"/>
      <c r="CT8" s="322">
        <v>1</v>
      </c>
      <c r="CU8" s="331">
        <v>1</v>
      </c>
      <c r="CW8" s="436"/>
      <c r="DB8" s="438"/>
      <c r="DC8" s="430">
        <v>1</v>
      </c>
      <c r="DD8" s="402">
        <v>1</v>
      </c>
      <c r="DE8" s="438">
        <f t="shared" si="22"/>
        <v>3.200000000000003E-4</v>
      </c>
      <c r="DF8" s="430">
        <f t="shared" si="23"/>
        <v>1</v>
      </c>
      <c r="DG8" s="402">
        <f t="shared" si="85"/>
        <v>1</v>
      </c>
      <c r="DH8" s="438">
        <f t="shared" si="25"/>
        <v>6.4000000000000059E-4</v>
      </c>
      <c r="DI8" s="430">
        <f t="shared" si="26"/>
        <v>1</v>
      </c>
      <c r="DJ8" s="402">
        <f t="shared" si="86"/>
        <v>1</v>
      </c>
      <c r="DK8" s="438">
        <f t="shared" si="28"/>
        <v>9.60000000000001E-4</v>
      </c>
      <c r="DL8" s="430">
        <f t="shared" si="87"/>
        <v>1</v>
      </c>
      <c r="DM8" s="402">
        <f t="shared" si="88"/>
        <v>1</v>
      </c>
      <c r="DN8" s="438">
        <f t="shared" si="31"/>
        <v>1.2800000000000012E-3</v>
      </c>
      <c r="DO8" s="430">
        <f t="shared" si="89"/>
        <v>1</v>
      </c>
      <c r="DP8" s="402">
        <f t="shared" si="90"/>
        <v>1</v>
      </c>
      <c r="DQ8" s="438">
        <f t="shared" si="34"/>
        <v>1.6000000000000016E-3</v>
      </c>
      <c r="DR8" s="430">
        <f t="shared" si="91"/>
        <v>1</v>
      </c>
      <c r="DS8" s="402">
        <f t="shared" si="92"/>
        <v>1</v>
      </c>
      <c r="DT8" s="438">
        <f t="shared" si="37"/>
        <v>3.2000000000000032E-3</v>
      </c>
      <c r="DU8" s="430">
        <f t="shared" si="93"/>
        <v>1</v>
      </c>
      <c r="DV8" s="402">
        <f t="shared" si="94"/>
        <v>1</v>
      </c>
      <c r="DW8" s="438">
        <f t="shared" si="40"/>
        <v>6.4000000000000064E-3</v>
      </c>
      <c r="DX8" s="430">
        <f t="shared" si="95"/>
        <v>1</v>
      </c>
      <c r="DY8" s="402">
        <f t="shared" si="96"/>
        <v>1</v>
      </c>
      <c r="DZ8" s="438">
        <f t="shared" si="43"/>
        <v>9.6000000000000096E-3</v>
      </c>
      <c r="EA8" s="430">
        <f t="shared" si="97"/>
        <v>1</v>
      </c>
      <c r="EB8" s="402">
        <f t="shared" si="98"/>
        <v>1</v>
      </c>
      <c r="EC8" s="438">
        <f t="shared" si="46"/>
        <v>1.2800000000000013E-2</v>
      </c>
      <c r="ED8" s="430">
        <f t="shared" si="99"/>
        <v>1</v>
      </c>
      <c r="EE8" s="402">
        <f t="shared" si="100"/>
        <v>1</v>
      </c>
      <c r="EF8" s="438">
        <f t="shared" si="49"/>
        <v>1.6000000000000018E-2</v>
      </c>
      <c r="EG8" s="430">
        <f t="shared" si="50"/>
        <v>2</v>
      </c>
      <c r="EH8" s="402">
        <f t="shared" si="51"/>
        <v>2</v>
      </c>
      <c r="EI8" s="438">
        <f t="shared" si="52"/>
        <v>1.6000000000000018E-2</v>
      </c>
      <c r="EJ8" s="430">
        <f t="shared" si="53"/>
        <v>4</v>
      </c>
      <c r="EK8" s="402">
        <f t="shared" si="54"/>
        <v>4</v>
      </c>
      <c r="EL8" s="438">
        <f t="shared" si="55"/>
        <v>1.6000000000000018E-2</v>
      </c>
      <c r="EM8" s="430">
        <f t="shared" si="56"/>
        <v>6</v>
      </c>
      <c r="EN8" s="402">
        <f t="shared" si="57"/>
        <v>6</v>
      </c>
      <c r="EO8" s="438">
        <f t="shared" si="58"/>
        <v>1.6000000000000018E-2</v>
      </c>
      <c r="EP8" s="430">
        <f t="shared" si="59"/>
        <v>8</v>
      </c>
      <c r="EQ8" s="402">
        <f t="shared" si="60"/>
        <v>8</v>
      </c>
      <c r="ER8" s="438">
        <f t="shared" si="61"/>
        <v>1.6000000000000018E-2</v>
      </c>
      <c r="ES8" s="430">
        <f t="shared" si="62"/>
        <v>10</v>
      </c>
      <c r="ET8" s="402">
        <f t="shared" si="63"/>
        <v>10</v>
      </c>
      <c r="EU8" s="438">
        <f t="shared" si="64"/>
        <v>1.6000000000000018E-2</v>
      </c>
      <c r="EV8" s="430">
        <f t="shared" si="65"/>
        <v>20</v>
      </c>
      <c r="EW8" s="402">
        <f t="shared" si="66"/>
        <v>20</v>
      </c>
      <c r="EX8" s="438">
        <f t="shared" si="67"/>
        <v>1.6000000000000018E-2</v>
      </c>
      <c r="EY8" s="430">
        <f t="shared" si="68"/>
        <v>40</v>
      </c>
      <c r="EZ8" s="402">
        <f t="shared" si="69"/>
        <v>40</v>
      </c>
      <c r="FA8" s="438">
        <f t="shared" si="70"/>
        <v>1.6000000000000018E-2</v>
      </c>
      <c r="FB8" s="430">
        <f t="shared" si="71"/>
        <v>60</v>
      </c>
      <c r="FC8" s="402">
        <f t="shared" si="72"/>
        <v>60</v>
      </c>
      <c r="FD8" s="438">
        <f t="shared" si="73"/>
        <v>1.6000000000000018E-2</v>
      </c>
      <c r="FE8" s="430">
        <f t="shared" si="74"/>
        <v>80</v>
      </c>
      <c r="FF8" s="402">
        <f t="shared" si="75"/>
        <v>80</v>
      </c>
      <c r="FG8" s="438">
        <f t="shared" si="76"/>
        <v>1.6000000000000018E-2</v>
      </c>
      <c r="FH8" s="430">
        <f t="shared" si="77"/>
        <v>100</v>
      </c>
      <c r="FI8" s="402">
        <f t="shared" si="78"/>
        <v>100</v>
      </c>
      <c r="FJ8" s="438">
        <f t="shared" si="79"/>
        <v>1.6000000000000018E-2</v>
      </c>
    </row>
    <row r="9" spans="1:208" x14ac:dyDescent="0.45">
      <c r="A9" s="1">
        <v>5</v>
      </c>
      <c r="B9" s="305"/>
      <c r="C9" s="1">
        <v>1</v>
      </c>
      <c r="D9" s="1">
        <v>-1</v>
      </c>
      <c r="E9" s="1">
        <v>2</v>
      </c>
      <c r="F9" s="1">
        <f t="shared" si="0"/>
        <v>2</v>
      </c>
      <c r="G9" s="1"/>
      <c r="H9" s="1">
        <f t="shared" si="1"/>
        <v>0</v>
      </c>
      <c r="I9" s="1">
        <f t="shared" si="2"/>
        <v>0</v>
      </c>
      <c r="J9" s="1">
        <v>0</v>
      </c>
      <c r="K9" s="313">
        <v>0</v>
      </c>
      <c r="L9" s="314">
        <v>1</v>
      </c>
      <c r="M9" s="320">
        <f>ROUND(IF(L9&lt;&gt;0,$BI$4/('全局参数|GlobalPar'!$B$18/10000/E9)/L9,0),6)</f>
        <v>0</v>
      </c>
      <c r="N9" s="320">
        <f t="shared" si="3"/>
        <v>0</v>
      </c>
      <c r="O9" s="323">
        <v>0</v>
      </c>
      <c r="P9" s="322">
        <v>1</v>
      </c>
      <c r="Q9" s="331">
        <v>1</v>
      </c>
      <c r="R9" s="332" t="s">
        <v>1144</v>
      </c>
      <c r="S9" s="1"/>
      <c r="T9" s="320">
        <v>0</v>
      </c>
      <c r="U9" s="348">
        <v>0</v>
      </c>
      <c r="V9" s="348">
        <v>0</v>
      </c>
      <c r="W9" s="348">
        <v>0</v>
      </c>
      <c r="X9" s="1" t="s">
        <v>1145</v>
      </c>
      <c r="Y9" s="192" t="s">
        <v>1146</v>
      </c>
      <c r="Z9" s="192">
        <v>0</v>
      </c>
      <c r="AA9" s="192">
        <v>0</v>
      </c>
      <c r="AB9" s="354">
        <v>3</v>
      </c>
      <c r="AC9" s="1">
        <f t="shared" si="4"/>
        <v>-1</v>
      </c>
      <c r="AD9" s="1">
        <v>0</v>
      </c>
      <c r="AE9" s="1"/>
      <c r="AF9" s="1"/>
      <c r="AG9" s="1">
        <v>1</v>
      </c>
      <c r="AH9" s="1">
        <v>1.5</v>
      </c>
      <c r="AI9" s="1">
        <v>1</v>
      </c>
      <c r="AJ9" s="1">
        <v>0.5</v>
      </c>
      <c r="AK9" s="1">
        <v>1</v>
      </c>
      <c r="AL9" s="1"/>
      <c r="AM9" s="1"/>
      <c r="AN9" s="1"/>
      <c r="AO9" s="356">
        <v>0.6</v>
      </c>
      <c r="AP9" s="1">
        <v>5</v>
      </c>
      <c r="AQ9" s="1">
        <v>0.18</v>
      </c>
      <c r="AR9" s="1">
        <v>1</v>
      </c>
      <c r="AS9" s="1">
        <v>1</v>
      </c>
      <c r="AT9" s="1" t="s">
        <v>1147</v>
      </c>
      <c r="AU9" s="358" t="s">
        <v>1166</v>
      </c>
      <c r="AV9" s="358" t="s">
        <v>1167</v>
      </c>
      <c r="AW9" s="360" t="s">
        <v>275</v>
      </c>
      <c r="AX9" s="360" t="s">
        <v>189</v>
      </c>
      <c r="AY9" s="1">
        <f t="shared" si="5"/>
        <v>1.5</v>
      </c>
      <c r="AZ9" s="362">
        <f t="shared" si="6"/>
        <v>40</v>
      </c>
      <c r="BA9" s="1" t="s">
        <v>1150</v>
      </c>
      <c r="BB9" s="1">
        <f t="shared" si="7"/>
        <v>1.119</v>
      </c>
      <c r="BC9" s="1"/>
      <c r="BD9" s="1">
        <f t="shared" si="8"/>
        <v>2</v>
      </c>
      <c r="BE9" s="1">
        <f t="shared" si="9"/>
        <v>2.12</v>
      </c>
      <c r="BG9" s="1">
        <f t="shared" si="10"/>
        <v>0</v>
      </c>
      <c r="BR9" s="301">
        <f t="shared" si="11"/>
        <v>2.2000000000000002</v>
      </c>
      <c r="BS9" s="356">
        <f t="shared" si="101"/>
        <v>0.1</v>
      </c>
      <c r="BT9" s="297">
        <v>1</v>
      </c>
      <c r="BU9" s="1">
        <v>5</v>
      </c>
      <c r="BV9" s="297">
        <v>2</v>
      </c>
      <c r="BW9" s="1">
        <v>2</v>
      </c>
      <c r="BX9" s="297">
        <v>3</v>
      </c>
      <c r="BY9" s="1">
        <v>1</v>
      </c>
      <c r="BZ9" s="1">
        <f t="shared" si="80"/>
        <v>1.5</v>
      </c>
      <c r="CA9" s="1">
        <f t="shared" si="81"/>
        <v>7.5</v>
      </c>
      <c r="CB9" s="389">
        <f t="shared" si="12"/>
        <v>1.7777999999999999E-2</v>
      </c>
      <c r="CC9" s="1">
        <f t="shared" si="13"/>
        <v>15</v>
      </c>
      <c r="CD9" s="391">
        <f t="shared" si="14"/>
        <v>8.8889999999999993E-3</v>
      </c>
      <c r="CE9" s="1">
        <f t="shared" si="13"/>
        <v>22.5</v>
      </c>
      <c r="CF9" s="392">
        <f t="shared" si="15"/>
        <v>5.9259999999999998E-3</v>
      </c>
      <c r="CH9" s="190">
        <v>2E-3</v>
      </c>
      <c r="CI9" s="403">
        <f t="shared" si="102"/>
        <v>0</v>
      </c>
      <c r="CJ9" s="402">
        <f t="shared" si="16"/>
        <v>0</v>
      </c>
      <c r="CK9" s="411">
        <f t="shared" si="17"/>
        <v>0</v>
      </c>
      <c r="CL9" s="411">
        <f t="shared" si="18"/>
        <v>0</v>
      </c>
      <c r="CM9" s="412">
        <f t="shared" si="82"/>
        <v>0</v>
      </c>
      <c r="CN9" s="413">
        <f t="shared" si="19"/>
        <v>0</v>
      </c>
      <c r="CO9" s="411">
        <f t="shared" si="20"/>
        <v>0</v>
      </c>
      <c r="CP9" s="429" t="e">
        <f t="shared" si="21"/>
        <v>#DIV/0!</v>
      </c>
      <c r="CQ9" s="430">
        <f t="shared" si="83"/>
        <v>1</v>
      </c>
      <c r="CR9" s="431">
        <f t="shared" si="84"/>
        <v>1</v>
      </c>
      <c r="CS9" s="332"/>
      <c r="CT9" s="322">
        <v>1</v>
      </c>
      <c r="CU9" s="331">
        <v>1</v>
      </c>
      <c r="CW9" s="436"/>
      <c r="DB9" s="438"/>
      <c r="DC9" s="430">
        <v>1</v>
      </c>
      <c r="DD9" s="402">
        <v>1</v>
      </c>
      <c r="DE9" s="438">
        <f t="shared" si="22"/>
        <v>3.200000000000003E-4</v>
      </c>
      <c r="DF9" s="430">
        <f t="shared" si="23"/>
        <v>1</v>
      </c>
      <c r="DG9" s="402">
        <f t="shared" si="85"/>
        <v>1</v>
      </c>
      <c r="DH9" s="438">
        <f t="shared" si="25"/>
        <v>6.4000000000000059E-4</v>
      </c>
      <c r="DI9" s="430">
        <f t="shared" si="26"/>
        <v>1</v>
      </c>
      <c r="DJ9" s="402">
        <f t="shared" si="86"/>
        <v>1</v>
      </c>
      <c r="DK9" s="438">
        <f t="shared" si="28"/>
        <v>9.60000000000001E-4</v>
      </c>
      <c r="DL9" s="430">
        <f t="shared" si="87"/>
        <v>1</v>
      </c>
      <c r="DM9" s="402">
        <f t="shared" si="88"/>
        <v>1</v>
      </c>
      <c r="DN9" s="438">
        <f t="shared" si="31"/>
        <v>1.2800000000000012E-3</v>
      </c>
      <c r="DO9" s="430">
        <f t="shared" si="89"/>
        <v>1</v>
      </c>
      <c r="DP9" s="402">
        <f t="shared" si="90"/>
        <v>1</v>
      </c>
      <c r="DQ9" s="438">
        <f t="shared" si="34"/>
        <v>1.6000000000000016E-3</v>
      </c>
      <c r="DR9" s="430">
        <f t="shared" si="91"/>
        <v>1</v>
      </c>
      <c r="DS9" s="402">
        <f t="shared" si="92"/>
        <v>1</v>
      </c>
      <c r="DT9" s="438">
        <f t="shared" si="37"/>
        <v>3.2000000000000032E-3</v>
      </c>
      <c r="DU9" s="430">
        <f t="shared" si="93"/>
        <v>1</v>
      </c>
      <c r="DV9" s="402">
        <f t="shared" si="94"/>
        <v>1</v>
      </c>
      <c r="DW9" s="438">
        <f t="shared" si="40"/>
        <v>6.4000000000000064E-3</v>
      </c>
      <c r="DX9" s="430">
        <f t="shared" si="95"/>
        <v>1</v>
      </c>
      <c r="DY9" s="402">
        <f t="shared" si="96"/>
        <v>1</v>
      </c>
      <c r="DZ9" s="438">
        <f t="shared" si="43"/>
        <v>9.6000000000000096E-3</v>
      </c>
      <c r="EA9" s="430">
        <f t="shared" si="97"/>
        <v>1</v>
      </c>
      <c r="EB9" s="402">
        <f t="shared" si="98"/>
        <v>1</v>
      </c>
      <c r="EC9" s="438">
        <f t="shared" si="46"/>
        <v>1.2800000000000013E-2</v>
      </c>
      <c r="ED9" s="430">
        <f t="shared" si="99"/>
        <v>1</v>
      </c>
      <c r="EE9" s="402">
        <f t="shared" si="100"/>
        <v>1</v>
      </c>
      <c r="EF9" s="438">
        <f t="shared" si="49"/>
        <v>1.6000000000000018E-2</v>
      </c>
      <c r="EG9" s="430">
        <f t="shared" si="50"/>
        <v>2</v>
      </c>
      <c r="EH9" s="402">
        <f t="shared" si="51"/>
        <v>2</v>
      </c>
      <c r="EI9" s="438">
        <f t="shared" si="52"/>
        <v>1.6000000000000018E-2</v>
      </c>
      <c r="EJ9" s="430">
        <f t="shared" si="53"/>
        <v>4</v>
      </c>
      <c r="EK9" s="402">
        <f t="shared" si="54"/>
        <v>4</v>
      </c>
      <c r="EL9" s="438">
        <f t="shared" si="55"/>
        <v>1.6000000000000018E-2</v>
      </c>
      <c r="EM9" s="430">
        <f t="shared" si="56"/>
        <v>6</v>
      </c>
      <c r="EN9" s="402">
        <f t="shared" si="57"/>
        <v>6</v>
      </c>
      <c r="EO9" s="438">
        <f t="shared" si="58"/>
        <v>1.6000000000000018E-2</v>
      </c>
      <c r="EP9" s="430">
        <f t="shared" si="59"/>
        <v>8</v>
      </c>
      <c r="EQ9" s="402">
        <f t="shared" si="60"/>
        <v>8</v>
      </c>
      <c r="ER9" s="438">
        <f t="shared" si="61"/>
        <v>1.6000000000000018E-2</v>
      </c>
      <c r="ES9" s="430">
        <f t="shared" si="62"/>
        <v>10</v>
      </c>
      <c r="ET9" s="402">
        <f t="shared" si="63"/>
        <v>10</v>
      </c>
      <c r="EU9" s="438">
        <f t="shared" si="64"/>
        <v>1.6000000000000018E-2</v>
      </c>
      <c r="EV9" s="430">
        <f t="shared" si="65"/>
        <v>20</v>
      </c>
      <c r="EW9" s="402">
        <f t="shared" si="66"/>
        <v>20</v>
      </c>
      <c r="EX9" s="438">
        <f t="shared" si="67"/>
        <v>1.6000000000000018E-2</v>
      </c>
      <c r="EY9" s="430">
        <f t="shared" si="68"/>
        <v>40</v>
      </c>
      <c r="EZ9" s="402">
        <f t="shared" si="69"/>
        <v>40</v>
      </c>
      <c r="FA9" s="438">
        <f t="shared" si="70"/>
        <v>1.6000000000000018E-2</v>
      </c>
      <c r="FB9" s="430">
        <f t="shared" si="71"/>
        <v>60</v>
      </c>
      <c r="FC9" s="402">
        <f t="shared" si="72"/>
        <v>60</v>
      </c>
      <c r="FD9" s="438">
        <f t="shared" si="73"/>
        <v>1.6000000000000018E-2</v>
      </c>
      <c r="FE9" s="430">
        <f t="shared" si="74"/>
        <v>80</v>
      </c>
      <c r="FF9" s="402">
        <f t="shared" si="75"/>
        <v>80</v>
      </c>
      <c r="FG9" s="438">
        <f t="shared" si="76"/>
        <v>1.6000000000000018E-2</v>
      </c>
      <c r="FH9" s="430">
        <f t="shared" si="77"/>
        <v>100</v>
      </c>
      <c r="FI9" s="402">
        <f t="shared" si="78"/>
        <v>100</v>
      </c>
      <c r="FJ9" s="438">
        <f t="shared" si="79"/>
        <v>1.6000000000000018E-2</v>
      </c>
    </row>
    <row r="10" spans="1:208" x14ac:dyDescent="0.45">
      <c r="A10" s="1">
        <v>6</v>
      </c>
      <c r="B10" s="306" t="s">
        <v>1168</v>
      </c>
      <c r="C10" s="1">
        <v>1</v>
      </c>
      <c r="D10" s="1">
        <v>-1</v>
      </c>
      <c r="E10" s="1">
        <v>3</v>
      </c>
      <c r="F10" s="1">
        <f t="shared" si="0"/>
        <v>3</v>
      </c>
      <c r="G10" s="1"/>
      <c r="H10" s="1">
        <f t="shared" si="1"/>
        <v>0</v>
      </c>
      <c r="I10" s="1">
        <f t="shared" si="2"/>
        <v>0</v>
      </c>
      <c r="J10" s="1">
        <v>0</v>
      </c>
      <c r="K10" s="313">
        <v>0</v>
      </c>
      <c r="L10" s="314">
        <v>1</v>
      </c>
      <c r="M10" s="320">
        <f>ROUND(IF(L10&lt;&gt;0,$BI$4/('全局参数|GlobalPar'!$B$18/10000/E10)/L10,0),6)</f>
        <v>0</v>
      </c>
      <c r="N10" s="320">
        <f t="shared" si="3"/>
        <v>0</v>
      </c>
      <c r="O10" s="323">
        <v>0</v>
      </c>
      <c r="P10" s="322">
        <v>2</v>
      </c>
      <c r="Q10" s="331">
        <v>1</v>
      </c>
      <c r="R10" s="332" t="s">
        <v>1144</v>
      </c>
      <c r="S10" s="1"/>
      <c r="T10" s="320">
        <v>0</v>
      </c>
      <c r="U10" s="348">
        <v>0</v>
      </c>
      <c r="V10" s="348">
        <v>0</v>
      </c>
      <c r="W10" s="348">
        <v>0</v>
      </c>
      <c r="X10" s="1" t="s">
        <v>1145</v>
      </c>
      <c r="Y10" s="192" t="s">
        <v>1146</v>
      </c>
      <c r="Z10" s="192">
        <v>0</v>
      </c>
      <c r="AA10" s="192">
        <v>0</v>
      </c>
      <c r="AB10" s="354">
        <v>3</v>
      </c>
      <c r="AC10" s="1">
        <f t="shared" si="4"/>
        <v>-1</v>
      </c>
      <c r="AD10" s="1">
        <v>0</v>
      </c>
      <c r="AE10" s="1"/>
      <c r="AF10" s="1"/>
      <c r="AG10" s="1">
        <v>1</v>
      </c>
      <c r="AH10" s="1">
        <v>1.5</v>
      </c>
      <c r="AI10" s="1">
        <v>1</v>
      </c>
      <c r="AJ10" s="1">
        <v>0.5</v>
      </c>
      <c r="AK10" s="1">
        <v>1</v>
      </c>
      <c r="AL10" s="1"/>
      <c r="AM10" s="1"/>
      <c r="AN10" s="1"/>
      <c r="AO10" s="356">
        <v>0.6</v>
      </c>
      <c r="AP10" s="1">
        <v>5</v>
      </c>
      <c r="AQ10" s="1">
        <v>0.18</v>
      </c>
      <c r="AR10" s="1">
        <v>0.8</v>
      </c>
      <c r="AS10" s="1">
        <v>1</v>
      </c>
      <c r="AT10" s="1" t="s">
        <v>1147</v>
      </c>
      <c r="AU10" s="358" t="s">
        <v>1169</v>
      </c>
      <c r="AV10" s="358" t="s">
        <v>1170</v>
      </c>
      <c r="AW10" s="360" t="s">
        <v>449</v>
      </c>
      <c r="AX10" s="360" t="s">
        <v>189</v>
      </c>
      <c r="AY10" s="1">
        <f t="shared" si="5"/>
        <v>2.25</v>
      </c>
      <c r="AZ10" s="362">
        <f t="shared" si="6"/>
        <v>26.666666666666668</v>
      </c>
      <c r="BA10" s="1" t="s">
        <v>1150</v>
      </c>
      <c r="BB10" s="1">
        <f t="shared" si="7"/>
        <v>1.119</v>
      </c>
      <c r="BC10" s="1"/>
      <c r="BD10" s="1">
        <f t="shared" si="8"/>
        <v>3</v>
      </c>
      <c r="BE10" s="1">
        <f t="shared" si="9"/>
        <v>3.18</v>
      </c>
      <c r="BG10" s="1">
        <f t="shared" si="10"/>
        <v>0</v>
      </c>
      <c r="BR10" s="301">
        <f t="shared" si="11"/>
        <v>3.3000000000000003</v>
      </c>
      <c r="BS10" s="356">
        <f t="shared" si="101"/>
        <v>0.1</v>
      </c>
      <c r="BT10" s="297">
        <v>1</v>
      </c>
      <c r="BU10" s="1">
        <v>5</v>
      </c>
      <c r="BV10" s="297">
        <v>2</v>
      </c>
      <c r="BW10" s="1">
        <v>2</v>
      </c>
      <c r="BX10" s="297">
        <v>3</v>
      </c>
      <c r="BY10" s="1">
        <v>1</v>
      </c>
      <c r="BZ10" s="1">
        <f t="shared" si="80"/>
        <v>1.5</v>
      </c>
      <c r="CA10" s="1">
        <f t="shared" si="81"/>
        <v>7.5</v>
      </c>
      <c r="CB10" s="389">
        <f t="shared" si="12"/>
        <v>2.6667E-2</v>
      </c>
      <c r="CC10" s="1">
        <f t="shared" si="13"/>
        <v>15</v>
      </c>
      <c r="CD10" s="391">
        <f t="shared" si="14"/>
        <v>1.3332999999999999E-2</v>
      </c>
      <c r="CE10" s="1">
        <f t="shared" si="13"/>
        <v>22.5</v>
      </c>
      <c r="CF10" s="392">
        <f t="shared" si="15"/>
        <v>8.8889999999999993E-3</v>
      </c>
      <c r="CH10" s="190">
        <v>2E-3</v>
      </c>
      <c r="CI10" s="403">
        <f t="shared" si="102"/>
        <v>0</v>
      </c>
      <c r="CJ10" s="402">
        <f t="shared" si="16"/>
        <v>0</v>
      </c>
      <c r="CK10" s="411">
        <f t="shared" si="17"/>
        <v>0</v>
      </c>
      <c r="CL10" s="411">
        <f t="shared" si="18"/>
        <v>0</v>
      </c>
      <c r="CM10" s="412">
        <f t="shared" si="82"/>
        <v>0</v>
      </c>
      <c r="CN10" s="413">
        <f t="shared" si="19"/>
        <v>0</v>
      </c>
      <c r="CO10" s="411">
        <f t="shared" si="20"/>
        <v>0</v>
      </c>
      <c r="CP10" s="429" t="e">
        <f t="shared" si="21"/>
        <v>#DIV/0!</v>
      </c>
      <c r="CQ10" s="430">
        <f t="shared" si="83"/>
        <v>2</v>
      </c>
      <c r="CR10" s="431">
        <f t="shared" si="84"/>
        <v>1</v>
      </c>
      <c r="CS10" s="332"/>
      <c r="CT10" s="322">
        <v>2</v>
      </c>
      <c r="CU10" s="331">
        <v>1</v>
      </c>
      <c r="CW10" s="436"/>
      <c r="CX10" s="437"/>
      <c r="DB10" s="438"/>
      <c r="DC10" s="430">
        <v>2</v>
      </c>
      <c r="DD10" s="402">
        <v>1</v>
      </c>
      <c r="DE10" s="438">
        <f t="shared" si="22"/>
        <v>2.4000000000000025E-4</v>
      </c>
      <c r="DF10" s="430">
        <f t="shared" si="23"/>
        <v>2</v>
      </c>
      <c r="DG10" s="402">
        <f t="shared" si="85"/>
        <v>1</v>
      </c>
      <c r="DH10" s="438">
        <f t="shared" si="25"/>
        <v>4.800000000000005E-4</v>
      </c>
      <c r="DI10" s="430">
        <f t="shared" si="26"/>
        <v>2</v>
      </c>
      <c r="DJ10" s="402">
        <f t="shared" si="86"/>
        <v>1</v>
      </c>
      <c r="DK10" s="438">
        <f t="shared" si="28"/>
        <v>7.200000000000007E-4</v>
      </c>
      <c r="DL10" s="430">
        <f t="shared" si="87"/>
        <v>2</v>
      </c>
      <c r="DM10" s="402">
        <f t="shared" si="88"/>
        <v>1</v>
      </c>
      <c r="DN10" s="438">
        <f t="shared" si="31"/>
        <v>9.60000000000001E-4</v>
      </c>
      <c r="DO10" s="430">
        <f t="shared" si="89"/>
        <v>2</v>
      </c>
      <c r="DP10" s="402">
        <f t="shared" si="90"/>
        <v>1</v>
      </c>
      <c r="DQ10" s="438">
        <f t="shared" si="34"/>
        <v>1.2000000000000012E-3</v>
      </c>
      <c r="DR10" s="430">
        <f t="shared" si="91"/>
        <v>2</v>
      </c>
      <c r="DS10" s="402">
        <f t="shared" si="92"/>
        <v>1</v>
      </c>
      <c r="DT10" s="438">
        <f t="shared" si="37"/>
        <v>2.4000000000000024E-3</v>
      </c>
      <c r="DU10" s="430">
        <f t="shared" si="93"/>
        <v>2</v>
      </c>
      <c r="DV10" s="402">
        <f t="shared" si="94"/>
        <v>1</v>
      </c>
      <c r="DW10" s="438">
        <f t="shared" si="40"/>
        <v>4.8000000000000048E-3</v>
      </c>
      <c r="DX10" s="430">
        <f t="shared" si="95"/>
        <v>2</v>
      </c>
      <c r="DY10" s="402">
        <f t="shared" si="96"/>
        <v>1</v>
      </c>
      <c r="DZ10" s="438">
        <f t="shared" si="43"/>
        <v>7.2000000000000076E-3</v>
      </c>
      <c r="EA10" s="430">
        <f t="shared" si="97"/>
        <v>2</v>
      </c>
      <c r="EB10" s="402">
        <f t="shared" si="98"/>
        <v>1</v>
      </c>
      <c r="EC10" s="438">
        <f t="shared" si="46"/>
        <v>9.6000000000000096E-3</v>
      </c>
      <c r="ED10" s="430">
        <f t="shared" si="99"/>
        <v>2</v>
      </c>
      <c r="EE10" s="402">
        <f t="shared" si="100"/>
        <v>1</v>
      </c>
      <c r="EF10" s="438">
        <f t="shared" si="49"/>
        <v>1.2000000000000012E-2</v>
      </c>
      <c r="EG10" s="430">
        <f t="shared" si="50"/>
        <v>4</v>
      </c>
      <c r="EH10" s="402">
        <f t="shared" si="51"/>
        <v>2</v>
      </c>
      <c r="EI10" s="438">
        <f t="shared" si="52"/>
        <v>1.2000000000000012E-2</v>
      </c>
      <c r="EJ10" s="430">
        <f t="shared" si="53"/>
        <v>8</v>
      </c>
      <c r="EK10" s="402">
        <f t="shared" si="54"/>
        <v>4</v>
      </c>
      <c r="EL10" s="438">
        <f t="shared" si="55"/>
        <v>1.2000000000000012E-2</v>
      </c>
      <c r="EM10" s="430">
        <f t="shared" si="56"/>
        <v>12</v>
      </c>
      <c r="EN10" s="402">
        <f t="shared" si="57"/>
        <v>6</v>
      </c>
      <c r="EO10" s="438">
        <f t="shared" si="58"/>
        <v>1.2000000000000012E-2</v>
      </c>
      <c r="EP10" s="430">
        <f t="shared" si="59"/>
        <v>16</v>
      </c>
      <c r="EQ10" s="402">
        <f t="shared" si="60"/>
        <v>8</v>
      </c>
      <c r="ER10" s="438">
        <f t="shared" si="61"/>
        <v>1.2000000000000012E-2</v>
      </c>
      <c r="ES10" s="430">
        <f t="shared" si="62"/>
        <v>20</v>
      </c>
      <c r="ET10" s="402">
        <f t="shared" si="63"/>
        <v>10</v>
      </c>
      <c r="EU10" s="438">
        <f t="shared" si="64"/>
        <v>1.2000000000000012E-2</v>
      </c>
      <c r="EV10" s="430">
        <f t="shared" si="65"/>
        <v>40</v>
      </c>
      <c r="EW10" s="402">
        <f t="shared" si="66"/>
        <v>20</v>
      </c>
      <c r="EX10" s="438">
        <f t="shared" si="67"/>
        <v>1.2000000000000012E-2</v>
      </c>
      <c r="EY10" s="430">
        <f t="shared" si="68"/>
        <v>80</v>
      </c>
      <c r="EZ10" s="402">
        <f t="shared" si="69"/>
        <v>40</v>
      </c>
      <c r="FA10" s="438">
        <f t="shared" si="70"/>
        <v>1.2000000000000012E-2</v>
      </c>
      <c r="FB10" s="430">
        <f t="shared" si="71"/>
        <v>120</v>
      </c>
      <c r="FC10" s="402">
        <f t="shared" si="72"/>
        <v>60</v>
      </c>
      <c r="FD10" s="438">
        <f t="shared" si="73"/>
        <v>1.2000000000000012E-2</v>
      </c>
      <c r="FE10" s="430">
        <f t="shared" si="74"/>
        <v>160</v>
      </c>
      <c r="FF10" s="402">
        <f t="shared" si="75"/>
        <v>80</v>
      </c>
      <c r="FG10" s="438">
        <f t="shared" si="76"/>
        <v>1.2000000000000012E-2</v>
      </c>
      <c r="FH10" s="430">
        <f t="shared" si="77"/>
        <v>200</v>
      </c>
      <c r="FI10" s="402">
        <f t="shared" si="78"/>
        <v>100</v>
      </c>
      <c r="FJ10" s="438">
        <f t="shared" si="79"/>
        <v>1.2000000000000012E-2</v>
      </c>
    </row>
    <row r="11" spans="1:208" s="298" customFormat="1" x14ac:dyDescent="0.45">
      <c r="A11" s="1">
        <v>7</v>
      </c>
      <c r="B11" s="306" t="s">
        <v>1171</v>
      </c>
      <c r="C11" s="1">
        <v>1</v>
      </c>
      <c r="D11" s="1">
        <v>-1</v>
      </c>
      <c r="E11" s="1">
        <v>3</v>
      </c>
      <c r="F11" s="1">
        <f t="shared" si="0"/>
        <v>3</v>
      </c>
      <c r="G11" s="1"/>
      <c r="H11" s="1">
        <f t="shared" si="1"/>
        <v>0</v>
      </c>
      <c r="I11" s="1">
        <f t="shared" si="2"/>
        <v>0</v>
      </c>
      <c r="J11" s="1">
        <v>0</v>
      </c>
      <c r="K11" s="313">
        <v>0</v>
      </c>
      <c r="L11" s="314">
        <v>1</v>
      </c>
      <c r="M11" s="320">
        <f>ROUND(IF(L11&lt;&gt;0,$BI$4/('全局参数|GlobalPar'!$B$18/10000/E11)/L11,0),6)</f>
        <v>0</v>
      </c>
      <c r="N11" s="320">
        <f t="shared" si="3"/>
        <v>0</v>
      </c>
      <c r="O11" s="323">
        <v>0</v>
      </c>
      <c r="P11" s="322">
        <v>2</v>
      </c>
      <c r="Q11" s="331">
        <v>1</v>
      </c>
      <c r="R11" s="332" t="s">
        <v>1144</v>
      </c>
      <c r="S11" s="1"/>
      <c r="T11" s="320">
        <v>0</v>
      </c>
      <c r="U11" s="348">
        <v>0</v>
      </c>
      <c r="V11" s="348">
        <v>0</v>
      </c>
      <c r="W11" s="348">
        <v>0</v>
      </c>
      <c r="X11" s="1" t="s">
        <v>1145</v>
      </c>
      <c r="Y11" s="192" t="s">
        <v>1146</v>
      </c>
      <c r="Z11" s="192">
        <v>0</v>
      </c>
      <c r="AA11" s="192">
        <v>0</v>
      </c>
      <c r="AB11" s="354">
        <v>3</v>
      </c>
      <c r="AC11" s="1">
        <f t="shared" si="4"/>
        <v>-1</v>
      </c>
      <c r="AD11" s="1">
        <v>0</v>
      </c>
      <c r="AE11" s="1"/>
      <c r="AF11" s="1"/>
      <c r="AG11" s="1">
        <v>1</v>
      </c>
      <c r="AH11" s="1">
        <v>1.5</v>
      </c>
      <c r="AI11" s="1">
        <v>1</v>
      </c>
      <c r="AJ11" s="1">
        <v>0.5</v>
      </c>
      <c r="AK11" s="1">
        <v>1</v>
      </c>
      <c r="AL11" s="1"/>
      <c r="AM11" s="1"/>
      <c r="AN11" s="1"/>
      <c r="AO11" s="356">
        <v>0.6</v>
      </c>
      <c r="AP11" s="1">
        <v>7</v>
      </c>
      <c r="AQ11" s="1">
        <v>0.18</v>
      </c>
      <c r="AR11" s="1">
        <v>0.8</v>
      </c>
      <c r="AS11" s="1">
        <v>1</v>
      </c>
      <c r="AT11" s="1" t="s">
        <v>1147</v>
      </c>
      <c r="AU11" s="358" t="s">
        <v>1172</v>
      </c>
      <c r="AV11" s="358" t="s">
        <v>1173</v>
      </c>
      <c r="AW11" s="360" t="s">
        <v>307</v>
      </c>
      <c r="AX11" s="360" t="s">
        <v>189</v>
      </c>
      <c r="AY11" s="1">
        <f t="shared" si="5"/>
        <v>2.25</v>
      </c>
      <c r="AZ11" s="362">
        <f t="shared" si="6"/>
        <v>26.666666666666668</v>
      </c>
      <c r="BA11" s="1" t="s">
        <v>1150</v>
      </c>
      <c r="BB11" s="1">
        <f t="shared" si="7"/>
        <v>1.119</v>
      </c>
      <c r="BC11" s="1"/>
      <c r="BD11" s="1">
        <f t="shared" si="8"/>
        <v>3</v>
      </c>
      <c r="BE11" s="1">
        <f t="shared" si="9"/>
        <v>3.18</v>
      </c>
      <c r="BG11" s="1">
        <f t="shared" si="10"/>
        <v>0</v>
      </c>
      <c r="BR11" s="301">
        <f t="shared" si="11"/>
        <v>3.3000000000000003</v>
      </c>
      <c r="BS11" s="356">
        <f t="shared" si="101"/>
        <v>0.1</v>
      </c>
      <c r="BT11" s="297">
        <v>1</v>
      </c>
      <c r="BU11" s="1">
        <v>5</v>
      </c>
      <c r="BV11" s="297">
        <v>2</v>
      </c>
      <c r="BW11" s="1">
        <v>2</v>
      </c>
      <c r="BX11" s="297">
        <v>3</v>
      </c>
      <c r="BY11" s="1">
        <v>1</v>
      </c>
      <c r="BZ11" s="1">
        <f t="shared" si="80"/>
        <v>1.5</v>
      </c>
      <c r="CA11" s="1">
        <f t="shared" si="81"/>
        <v>7.5</v>
      </c>
      <c r="CB11" s="389">
        <f t="shared" si="12"/>
        <v>2.6667E-2</v>
      </c>
      <c r="CC11" s="1">
        <f t="shared" si="13"/>
        <v>15</v>
      </c>
      <c r="CD11" s="391">
        <f t="shared" si="14"/>
        <v>1.3332999999999999E-2</v>
      </c>
      <c r="CE11" s="1">
        <f t="shared" si="13"/>
        <v>22.5</v>
      </c>
      <c r="CF11" s="392">
        <f t="shared" si="15"/>
        <v>8.8889999999999993E-3</v>
      </c>
      <c r="CG11" s="190"/>
      <c r="CH11" s="190">
        <v>2E-3</v>
      </c>
      <c r="CI11" s="403">
        <f t="shared" si="102"/>
        <v>0</v>
      </c>
      <c r="CJ11" s="402">
        <f t="shared" si="16"/>
        <v>0</v>
      </c>
      <c r="CK11" s="411">
        <f t="shared" si="17"/>
        <v>0</v>
      </c>
      <c r="CL11" s="411">
        <f t="shared" si="18"/>
        <v>0</v>
      </c>
      <c r="CM11" s="412">
        <f t="shared" si="82"/>
        <v>0</v>
      </c>
      <c r="CN11" s="413">
        <f t="shared" si="19"/>
        <v>0</v>
      </c>
      <c r="CO11" s="411">
        <f t="shared" si="20"/>
        <v>0</v>
      </c>
      <c r="CP11" s="429" t="e">
        <f t="shared" si="21"/>
        <v>#DIV/0!</v>
      </c>
      <c r="CQ11" s="430">
        <f t="shared" si="83"/>
        <v>2</v>
      </c>
      <c r="CR11" s="431">
        <f t="shared" si="84"/>
        <v>1</v>
      </c>
      <c r="CS11" s="332"/>
      <c r="CT11" s="322">
        <v>2</v>
      </c>
      <c r="CU11" s="331">
        <v>1</v>
      </c>
      <c r="CV11" s="190"/>
      <c r="CW11" s="436"/>
      <c r="CX11" s="190"/>
      <c r="CY11" s="190"/>
      <c r="CZ11" s="190"/>
      <c r="DA11" s="190"/>
      <c r="DB11" s="438"/>
      <c r="DC11" s="430">
        <v>2</v>
      </c>
      <c r="DD11" s="402">
        <v>1</v>
      </c>
      <c r="DE11" s="438">
        <f t="shared" si="22"/>
        <v>2.4000000000000025E-4</v>
      </c>
      <c r="DF11" s="430">
        <f t="shared" si="23"/>
        <v>2</v>
      </c>
      <c r="DG11" s="402">
        <f t="shared" si="85"/>
        <v>1</v>
      </c>
      <c r="DH11" s="438">
        <f t="shared" si="25"/>
        <v>4.800000000000005E-4</v>
      </c>
      <c r="DI11" s="430">
        <f t="shared" si="26"/>
        <v>2</v>
      </c>
      <c r="DJ11" s="402">
        <f t="shared" si="86"/>
        <v>1</v>
      </c>
      <c r="DK11" s="438">
        <f t="shared" si="28"/>
        <v>7.200000000000007E-4</v>
      </c>
      <c r="DL11" s="430">
        <f t="shared" si="87"/>
        <v>2</v>
      </c>
      <c r="DM11" s="402">
        <f t="shared" si="88"/>
        <v>1</v>
      </c>
      <c r="DN11" s="438">
        <f t="shared" si="31"/>
        <v>9.60000000000001E-4</v>
      </c>
      <c r="DO11" s="430">
        <f t="shared" si="89"/>
        <v>2</v>
      </c>
      <c r="DP11" s="402">
        <f t="shared" si="90"/>
        <v>1</v>
      </c>
      <c r="DQ11" s="438">
        <f t="shared" si="34"/>
        <v>1.2000000000000012E-3</v>
      </c>
      <c r="DR11" s="430">
        <f t="shared" si="91"/>
        <v>2</v>
      </c>
      <c r="DS11" s="402">
        <f t="shared" si="92"/>
        <v>1</v>
      </c>
      <c r="DT11" s="438">
        <f t="shared" si="37"/>
        <v>2.4000000000000024E-3</v>
      </c>
      <c r="DU11" s="430">
        <f t="shared" si="93"/>
        <v>2</v>
      </c>
      <c r="DV11" s="402">
        <f t="shared" si="94"/>
        <v>1</v>
      </c>
      <c r="DW11" s="438">
        <f t="shared" si="40"/>
        <v>4.8000000000000048E-3</v>
      </c>
      <c r="DX11" s="430">
        <f t="shared" si="95"/>
        <v>2</v>
      </c>
      <c r="DY11" s="402">
        <f t="shared" si="96"/>
        <v>1</v>
      </c>
      <c r="DZ11" s="438">
        <f t="shared" si="43"/>
        <v>7.2000000000000076E-3</v>
      </c>
      <c r="EA11" s="430">
        <f t="shared" si="97"/>
        <v>2</v>
      </c>
      <c r="EB11" s="402">
        <f t="shared" si="98"/>
        <v>1</v>
      </c>
      <c r="EC11" s="438">
        <f t="shared" si="46"/>
        <v>9.6000000000000096E-3</v>
      </c>
      <c r="ED11" s="430">
        <f t="shared" si="99"/>
        <v>2</v>
      </c>
      <c r="EE11" s="402">
        <f t="shared" si="100"/>
        <v>1</v>
      </c>
      <c r="EF11" s="438">
        <f t="shared" si="49"/>
        <v>1.2000000000000012E-2</v>
      </c>
      <c r="EG11" s="430">
        <f t="shared" si="50"/>
        <v>4</v>
      </c>
      <c r="EH11" s="402">
        <f t="shared" si="51"/>
        <v>2</v>
      </c>
      <c r="EI11" s="438">
        <f t="shared" si="52"/>
        <v>1.2000000000000012E-2</v>
      </c>
      <c r="EJ11" s="430">
        <f t="shared" si="53"/>
        <v>8</v>
      </c>
      <c r="EK11" s="402">
        <f t="shared" si="54"/>
        <v>4</v>
      </c>
      <c r="EL11" s="438">
        <f t="shared" si="55"/>
        <v>1.2000000000000012E-2</v>
      </c>
      <c r="EM11" s="430">
        <f t="shared" si="56"/>
        <v>12</v>
      </c>
      <c r="EN11" s="402">
        <f t="shared" si="57"/>
        <v>6</v>
      </c>
      <c r="EO11" s="438">
        <f t="shared" si="58"/>
        <v>1.2000000000000012E-2</v>
      </c>
      <c r="EP11" s="430">
        <f t="shared" si="59"/>
        <v>16</v>
      </c>
      <c r="EQ11" s="402">
        <f t="shared" si="60"/>
        <v>8</v>
      </c>
      <c r="ER11" s="438">
        <f t="shared" si="61"/>
        <v>1.2000000000000012E-2</v>
      </c>
      <c r="ES11" s="430">
        <f t="shared" si="62"/>
        <v>20</v>
      </c>
      <c r="ET11" s="402">
        <f t="shared" si="63"/>
        <v>10</v>
      </c>
      <c r="EU11" s="438">
        <f t="shared" si="64"/>
        <v>1.2000000000000012E-2</v>
      </c>
      <c r="EV11" s="430">
        <f t="shared" si="65"/>
        <v>40</v>
      </c>
      <c r="EW11" s="402">
        <f t="shared" si="66"/>
        <v>20</v>
      </c>
      <c r="EX11" s="438">
        <f t="shared" si="67"/>
        <v>1.2000000000000012E-2</v>
      </c>
      <c r="EY11" s="430">
        <f t="shared" si="68"/>
        <v>80</v>
      </c>
      <c r="EZ11" s="402">
        <f t="shared" si="69"/>
        <v>40</v>
      </c>
      <c r="FA11" s="438">
        <f t="shared" si="70"/>
        <v>1.2000000000000012E-2</v>
      </c>
      <c r="FB11" s="430">
        <f t="shared" si="71"/>
        <v>120</v>
      </c>
      <c r="FC11" s="402">
        <f t="shared" si="72"/>
        <v>60</v>
      </c>
      <c r="FD11" s="438">
        <f t="shared" si="73"/>
        <v>1.2000000000000012E-2</v>
      </c>
      <c r="FE11" s="430">
        <f t="shared" si="74"/>
        <v>160</v>
      </c>
      <c r="FF11" s="402">
        <f t="shared" si="75"/>
        <v>80</v>
      </c>
      <c r="FG11" s="438">
        <f t="shared" si="76"/>
        <v>1.2000000000000012E-2</v>
      </c>
      <c r="FH11" s="430">
        <f t="shared" si="77"/>
        <v>200</v>
      </c>
      <c r="FI11" s="402">
        <f t="shared" si="78"/>
        <v>100</v>
      </c>
      <c r="FJ11" s="438">
        <f t="shared" si="79"/>
        <v>1.2000000000000012E-2</v>
      </c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</row>
    <row r="12" spans="1:208" x14ac:dyDescent="0.45">
      <c r="A12" s="1">
        <v>8</v>
      </c>
      <c r="B12" s="306" t="s">
        <v>1174</v>
      </c>
      <c r="C12" s="1">
        <v>1</v>
      </c>
      <c r="D12" s="1">
        <v>-1</v>
      </c>
      <c r="E12" s="1">
        <v>4</v>
      </c>
      <c r="F12" s="1">
        <f t="shared" si="0"/>
        <v>4</v>
      </c>
      <c r="G12" s="1"/>
      <c r="H12" s="1">
        <f t="shared" si="1"/>
        <v>0</v>
      </c>
      <c r="I12" s="1">
        <f t="shared" si="2"/>
        <v>0</v>
      </c>
      <c r="J12" s="1">
        <v>0</v>
      </c>
      <c r="K12" s="313">
        <v>0</v>
      </c>
      <c r="L12" s="314">
        <v>1</v>
      </c>
      <c r="M12" s="320">
        <f>ROUND(IF(L12&lt;&gt;0,$BI$4/('全局参数|GlobalPar'!$B$18/10000/E12)/L12,0),6)</f>
        <v>0</v>
      </c>
      <c r="N12" s="320">
        <f t="shared" si="3"/>
        <v>0</v>
      </c>
      <c r="O12" s="323">
        <v>0</v>
      </c>
      <c r="P12" s="322">
        <v>2</v>
      </c>
      <c r="Q12" s="331">
        <v>1</v>
      </c>
      <c r="R12" s="332" t="s">
        <v>1144</v>
      </c>
      <c r="S12" s="1"/>
      <c r="T12" s="320">
        <v>0</v>
      </c>
      <c r="U12" s="348">
        <v>0</v>
      </c>
      <c r="V12" s="348">
        <v>0</v>
      </c>
      <c r="W12" s="348">
        <v>0</v>
      </c>
      <c r="X12" s="1" t="s">
        <v>1145</v>
      </c>
      <c r="Y12" s="192" t="s">
        <v>1146</v>
      </c>
      <c r="Z12" s="192">
        <v>0</v>
      </c>
      <c r="AA12" s="192">
        <v>0</v>
      </c>
      <c r="AB12" s="354">
        <v>4</v>
      </c>
      <c r="AC12" s="1">
        <f t="shared" si="4"/>
        <v>-1</v>
      </c>
      <c r="AD12" s="1">
        <v>0</v>
      </c>
      <c r="AE12" s="1"/>
      <c r="AF12" s="1"/>
      <c r="AG12" s="1">
        <v>1</v>
      </c>
      <c r="AH12" s="1">
        <v>1.5</v>
      </c>
      <c r="AI12" s="1">
        <v>1</v>
      </c>
      <c r="AJ12" s="1">
        <v>0.5</v>
      </c>
      <c r="AK12" s="1">
        <v>1</v>
      </c>
      <c r="AL12" s="1"/>
      <c r="AM12" s="1"/>
      <c r="AN12" s="1"/>
      <c r="AO12" s="356">
        <v>0.6</v>
      </c>
      <c r="AP12" s="1">
        <v>8</v>
      </c>
      <c r="AQ12" s="1">
        <v>0.18</v>
      </c>
      <c r="AR12" s="1">
        <v>0.8</v>
      </c>
      <c r="AS12" s="1">
        <v>1</v>
      </c>
      <c r="AT12" s="1" t="s">
        <v>1147</v>
      </c>
      <c r="AU12" s="359" t="s">
        <v>1175</v>
      </c>
      <c r="AV12" s="359" t="s">
        <v>1176</v>
      </c>
      <c r="AW12" s="360" t="s">
        <v>1177</v>
      </c>
      <c r="AX12" s="360" t="s">
        <v>189</v>
      </c>
      <c r="AY12" s="1">
        <f t="shared" si="5"/>
        <v>3</v>
      </c>
      <c r="AZ12" s="362">
        <f t="shared" si="6"/>
        <v>20</v>
      </c>
      <c r="BA12" s="1" t="s">
        <v>1150</v>
      </c>
      <c r="BB12" s="1">
        <f t="shared" si="7"/>
        <v>1.119</v>
      </c>
      <c r="BC12" s="1"/>
      <c r="BD12" s="1">
        <f t="shared" si="8"/>
        <v>4</v>
      </c>
      <c r="BE12" s="1">
        <f t="shared" si="9"/>
        <v>4.24</v>
      </c>
      <c r="BG12" s="1">
        <f t="shared" si="10"/>
        <v>0</v>
      </c>
      <c r="BR12" s="301">
        <f t="shared" si="11"/>
        <v>4.4000000000000004</v>
      </c>
      <c r="BS12" s="356">
        <f t="shared" si="101"/>
        <v>0.1</v>
      </c>
      <c r="BT12" s="297">
        <v>1</v>
      </c>
      <c r="BU12" s="1">
        <v>5</v>
      </c>
      <c r="BV12" s="297">
        <v>2</v>
      </c>
      <c r="BW12" s="1">
        <v>2</v>
      </c>
      <c r="BX12" s="297">
        <v>3</v>
      </c>
      <c r="BY12" s="1">
        <v>1</v>
      </c>
      <c r="BZ12" s="1">
        <f t="shared" si="80"/>
        <v>1.5</v>
      </c>
      <c r="CA12" s="1">
        <f t="shared" si="81"/>
        <v>7.5</v>
      </c>
      <c r="CB12" s="389">
        <f t="shared" si="12"/>
        <v>3.5555999999999997E-2</v>
      </c>
      <c r="CC12" s="1">
        <f t="shared" si="13"/>
        <v>15</v>
      </c>
      <c r="CD12" s="391">
        <f t="shared" si="14"/>
        <v>1.7777999999999999E-2</v>
      </c>
      <c r="CE12" s="1">
        <f t="shared" si="13"/>
        <v>22.5</v>
      </c>
      <c r="CF12" s="392">
        <f t="shared" si="15"/>
        <v>1.1852E-2</v>
      </c>
      <c r="CH12" s="190">
        <v>2E-3</v>
      </c>
      <c r="CI12" s="403">
        <f t="shared" si="102"/>
        <v>0</v>
      </c>
      <c r="CJ12" s="402">
        <f t="shared" si="16"/>
        <v>0</v>
      </c>
      <c r="CK12" s="411">
        <f t="shared" si="17"/>
        <v>0</v>
      </c>
      <c r="CL12" s="411">
        <f t="shared" si="18"/>
        <v>0</v>
      </c>
      <c r="CM12" s="412">
        <f t="shared" si="82"/>
        <v>0</v>
      </c>
      <c r="CN12" s="413">
        <f t="shared" si="19"/>
        <v>0</v>
      </c>
      <c r="CO12" s="411">
        <f t="shared" si="20"/>
        <v>0</v>
      </c>
      <c r="CP12" s="429" t="e">
        <f t="shared" si="21"/>
        <v>#DIV/0!</v>
      </c>
      <c r="CQ12" s="430">
        <f t="shared" si="83"/>
        <v>2</v>
      </c>
      <c r="CR12" s="431">
        <f t="shared" si="84"/>
        <v>1</v>
      </c>
      <c r="CS12" s="332"/>
      <c r="CT12" s="322">
        <v>2</v>
      </c>
      <c r="CU12" s="331">
        <v>1</v>
      </c>
      <c r="CW12" s="436"/>
      <c r="DB12" s="438"/>
      <c r="DC12" s="430">
        <v>2</v>
      </c>
      <c r="DD12" s="402">
        <v>1</v>
      </c>
      <c r="DE12" s="438">
        <f t="shared" si="22"/>
        <v>3.200000000000003E-4</v>
      </c>
      <c r="DF12" s="430">
        <f t="shared" si="23"/>
        <v>2</v>
      </c>
      <c r="DG12" s="402">
        <f t="shared" si="85"/>
        <v>1</v>
      </c>
      <c r="DH12" s="438">
        <f t="shared" si="25"/>
        <v>6.4000000000000059E-4</v>
      </c>
      <c r="DI12" s="430">
        <f t="shared" si="26"/>
        <v>2</v>
      </c>
      <c r="DJ12" s="402">
        <f t="shared" si="86"/>
        <v>1</v>
      </c>
      <c r="DK12" s="438">
        <f t="shared" si="28"/>
        <v>9.60000000000001E-4</v>
      </c>
      <c r="DL12" s="430">
        <f t="shared" si="87"/>
        <v>2</v>
      </c>
      <c r="DM12" s="402">
        <f t="shared" si="88"/>
        <v>1</v>
      </c>
      <c r="DN12" s="438">
        <f t="shared" si="31"/>
        <v>1.2800000000000012E-3</v>
      </c>
      <c r="DO12" s="430">
        <f t="shared" si="89"/>
        <v>2</v>
      </c>
      <c r="DP12" s="402">
        <f t="shared" si="90"/>
        <v>1</v>
      </c>
      <c r="DQ12" s="438">
        <f t="shared" si="34"/>
        <v>1.6000000000000016E-3</v>
      </c>
      <c r="DR12" s="430">
        <f t="shared" si="91"/>
        <v>2</v>
      </c>
      <c r="DS12" s="402">
        <f t="shared" si="92"/>
        <v>1</v>
      </c>
      <c r="DT12" s="438">
        <f t="shared" si="37"/>
        <v>3.2000000000000032E-3</v>
      </c>
      <c r="DU12" s="430">
        <f t="shared" si="93"/>
        <v>2</v>
      </c>
      <c r="DV12" s="402">
        <f t="shared" si="94"/>
        <v>1</v>
      </c>
      <c r="DW12" s="438">
        <f t="shared" si="40"/>
        <v>6.4000000000000064E-3</v>
      </c>
      <c r="DX12" s="430">
        <f t="shared" si="95"/>
        <v>2</v>
      </c>
      <c r="DY12" s="402">
        <f t="shared" si="96"/>
        <v>1</v>
      </c>
      <c r="DZ12" s="438">
        <f t="shared" si="43"/>
        <v>9.6000000000000096E-3</v>
      </c>
      <c r="EA12" s="430">
        <f t="shared" si="97"/>
        <v>2</v>
      </c>
      <c r="EB12" s="402">
        <f t="shared" si="98"/>
        <v>1</v>
      </c>
      <c r="EC12" s="438">
        <f t="shared" si="46"/>
        <v>1.2800000000000013E-2</v>
      </c>
      <c r="ED12" s="430">
        <f t="shared" si="99"/>
        <v>2</v>
      </c>
      <c r="EE12" s="402">
        <f t="shared" si="100"/>
        <v>1</v>
      </c>
      <c r="EF12" s="438">
        <f t="shared" si="49"/>
        <v>1.6000000000000018E-2</v>
      </c>
      <c r="EG12" s="430">
        <f t="shared" si="50"/>
        <v>4</v>
      </c>
      <c r="EH12" s="402">
        <f t="shared" si="51"/>
        <v>2</v>
      </c>
      <c r="EI12" s="438">
        <f t="shared" si="52"/>
        <v>1.6000000000000018E-2</v>
      </c>
      <c r="EJ12" s="430">
        <f t="shared" si="53"/>
        <v>8</v>
      </c>
      <c r="EK12" s="402">
        <f t="shared" si="54"/>
        <v>4</v>
      </c>
      <c r="EL12" s="438">
        <f t="shared" si="55"/>
        <v>1.6000000000000018E-2</v>
      </c>
      <c r="EM12" s="430">
        <f t="shared" si="56"/>
        <v>12</v>
      </c>
      <c r="EN12" s="402">
        <f t="shared" si="57"/>
        <v>6</v>
      </c>
      <c r="EO12" s="438">
        <f t="shared" si="58"/>
        <v>1.6000000000000018E-2</v>
      </c>
      <c r="EP12" s="430">
        <f t="shared" si="59"/>
        <v>16</v>
      </c>
      <c r="EQ12" s="402">
        <f t="shared" si="60"/>
        <v>8</v>
      </c>
      <c r="ER12" s="438">
        <f t="shared" si="61"/>
        <v>1.6000000000000018E-2</v>
      </c>
      <c r="ES12" s="430">
        <f t="shared" si="62"/>
        <v>20</v>
      </c>
      <c r="ET12" s="402">
        <f t="shared" si="63"/>
        <v>10</v>
      </c>
      <c r="EU12" s="438">
        <f t="shared" si="64"/>
        <v>1.6000000000000018E-2</v>
      </c>
      <c r="EV12" s="430">
        <f t="shared" si="65"/>
        <v>40</v>
      </c>
      <c r="EW12" s="402">
        <f t="shared" si="66"/>
        <v>20</v>
      </c>
      <c r="EX12" s="438">
        <f t="shared" si="67"/>
        <v>1.6000000000000018E-2</v>
      </c>
      <c r="EY12" s="430">
        <f t="shared" si="68"/>
        <v>80</v>
      </c>
      <c r="EZ12" s="402">
        <f t="shared" si="69"/>
        <v>40</v>
      </c>
      <c r="FA12" s="438">
        <f t="shared" si="70"/>
        <v>1.6000000000000018E-2</v>
      </c>
      <c r="FB12" s="430">
        <f t="shared" si="71"/>
        <v>120</v>
      </c>
      <c r="FC12" s="402">
        <f t="shared" si="72"/>
        <v>60</v>
      </c>
      <c r="FD12" s="438">
        <f t="shared" si="73"/>
        <v>1.6000000000000018E-2</v>
      </c>
      <c r="FE12" s="430">
        <f t="shared" si="74"/>
        <v>160</v>
      </c>
      <c r="FF12" s="402">
        <f t="shared" si="75"/>
        <v>80</v>
      </c>
      <c r="FG12" s="438">
        <f t="shared" si="76"/>
        <v>1.6000000000000018E-2</v>
      </c>
      <c r="FH12" s="430">
        <f t="shared" si="77"/>
        <v>200</v>
      </c>
      <c r="FI12" s="402">
        <f t="shared" si="78"/>
        <v>100</v>
      </c>
      <c r="FJ12" s="438">
        <f t="shared" si="79"/>
        <v>1.6000000000000018E-2</v>
      </c>
    </row>
    <row r="13" spans="1:208" x14ac:dyDescent="0.45">
      <c r="A13" s="1">
        <v>9</v>
      </c>
      <c r="B13" s="306" t="s">
        <v>1178</v>
      </c>
      <c r="C13" s="1">
        <v>1</v>
      </c>
      <c r="D13" s="1">
        <v>-1</v>
      </c>
      <c r="E13" s="1">
        <v>4</v>
      </c>
      <c r="F13" s="1">
        <f t="shared" si="0"/>
        <v>4</v>
      </c>
      <c r="G13" s="1"/>
      <c r="H13" s="1">
        <f t="shared" si="1"/>
        <v>0</v>
      </c>
      <c r="I13" s="1">
        <f t="shared" si="2"/>
        <v>0</v>
      </c>
      <c r="J13" s="1">
        <v>0</v>
      </c>
      <c r="K13" s="313">
        <v>0</v>
      </c>
      <c r="L13" s="314">
        <v>1</v>
      </c>
      <c r="M13" s="320">
        <f>ROUND(IF(L13&lt;&gt;0,$BI$4/('全局参数|GlobalPar'!$B$18/10000/E13)/L13,0),6)</f>
        <v>0</v>
      </c>
      <c r="N13" s="320">
        <f t="shared" si="3"/>
        <v>0</v>
      </c>
      <c r="O13" s="323">
        <v>0</v>
      </c>
      <c r="P13" s="322">
        <v>2</v>
      </c>
      <c r="Q13" s="331">
        <v>1</v>
      </c>
      <c r="R13" s="332" t="s">
        <v>1144</v>
      </c>
      <c r="S13" s="1"/>
      <c r="T13" s="333">
        <v>0</v>
      </c>
      <c r="U13" s="348">
        <v>0</v>
      </c>
      <c r="V13" s="348">
        <v>0</v>
      </c>
      <c r="W13" s="348">
        <v>0</v>
      </c>
      <c r="X13" s="1" t="s">
        <v>1145</v>
      </c>
      <c r="Y13" s="192" t="s">
        <v>1146</v>
      </c>
      <c r="Z13" s="192">
        <v>0</v>
      </c>
      <c r="AA13" s="192">
        <v>0</v>
      </c>
      <c r="AB13" s="354">
        <v>4</v>
      </c>
      <c r="AC13" s="1">
        <f t="shared" si="4"/>
        <v>-1</v>
      </c>
      <c r="AD13" s="1">
        <v>0</v>
      </c>
      <c r="AE13" s="1"/>
      <c r="AF13" s="1"/>
      <c r="AG13" s="1">
        <v>1</v>
      </c>
      <c r="AH13" s="1">
        <v>1.5</v>
      </c>
      <c r="AI13" s="1">
        <v>1</v>
      </c>
      <c r="AJ13" s="1">
        <v>0.5</v>
      </c>
      <c r="AK13" s="1">
        <v>1</v>
      </c>
      <c r="AL13" s="1"/>
      <c r="AM13" s="1"/>
      <c r="AN13" s="1"/>
      <c r="AO13" s="356">
        <v>0.6</v>
      </c>
      <c r="AP13" s="1">
        <v>10</v>
      </c>
      <c r="AQ13" s="1">
        <v>0.18</v>
      </c>
      <c r="AR13" s="1">
        <v>0.8</v>
      </c>
      <c r="AS13" s="1">
        <v>1</v>
      </c>
      <c r="AT13" s="1" t="s">
        <v>1179</v>
      </c>
      <c r="AU13" s="358" t="s">
        <v>1180</v>
      </c>
      <c r="AV13" s="358" t="s">
        <v>1181</v>
      </c>
      <c r="AW13" s="360" t="s">
        <v>85</v>
      </c>
      <c r="AX13" s="360" t="s">
        <v>189</v>
      </c>
      <c r="AY13" s="1">
        <f t="shared" si="5"/>
        <v>3</v>
      </c>
      <c r="AZ13" s="362">
        <f t="shared" si="6"/>
        <v>20</v>
      </c>
      <c r="BA13" s="1" t="s">
        <v>1150</v>
      </c>
      <c r="BB13" s="1">
        <f t="shared" si="7"/>
        <v>1.119</v>
      </c>
      <c r="BC13" s="1"/>
      <c r="BD13" s="1">
        <f t="shared" si="8"/>
        <v>4</v>
      </c>
      <c r="BE13" s="1">
        <f t="shared" si="9"/>
        <v>4.24</v>
      </c>
      <c r="BG13" s="1">
        <f t="shared" si="10"/>
        <v>0</v>
      </c>
      <c r="BR13" s="301">
        <f t="shared" si="11"/>
        <v>4.4000000000000004</v>
      </c>
      <c r="BS13" s="356">
        <f t="shared" si="101"/>
        <v>0.1</v>
      </c>
      <c r="BT13" s="297">
        <v>1</v>
      </c>
      <c r="BU13" s="1">
        <v>5</v>
      </c>
      <c r="BV13" s="297">
        <v>2</v>
      </c>
      <c r="BW13" s="1">
        <v>2</v>
      </c>
      <c r="BX13" s="297">
        <v>3</v>
      </c>
      <c r="BY13" s="1">
        <v>1</v>
      </c>
      <c r="BZ13" s="1">
        <f t="shared" si="80"/>
        <v>1.5</v>
      </c>
      <c r="CA13" s="1">
        <f t="shared" si="81"/>
        <v>7.5</v>
      </c>
      <c r="CB13" s="389">
        <f t="shared" si="12"/>
        <v>3.5555999999999997E-2</v>
      </c>
      <c r="CC13" s="1">
        <f t="shared" si="13"/>
        <v>15</v>
      </c>
      <c r="CD13" s="391">
        <f t="shared" si="14"/>
        <v>1.7777999999999999E-2</v>
      </c>
      <c r="CE13" s="1">
        <f t="shared" si="13"/>
        <v>22.5</v>
      </c>
      <c r="CF13" s="392">
        <f t="shared" si="15"/>
        <v>1.1852E-2</v>
      </c>
      <c r="CH13" s="190">
        <v>2E-3</v>
      </c>
      <c r="CI13" s="403">
        <f t="shared" si="102"/>
        <v>0</v>
      </c>
      <c r="CJ13" s="402">
        <f t="shared" si="16"/>
        <v>0</v>
      </c>
      <c r="CK13" s="411">
        <f t="shared" si="17"/>
        <v>0</v>
      </c>
      <c r="CL13" s="411">
        <f t="shared" si="18"/>
        <v>0</v>
      </c>
      <c r="CM13" s="412">
        <f t="shared" si="82"/>
        <v>0</v>
      </c>
      <c r="CN13" s="413">
        <f t="shared" si="19"/>
        <v>0</v>
      </c>
      <c r="CO13" s="411">
        <f t="shared" si="20"/>
        <v>0</v>
      </c>
      <c r="CP13" s="429" t="e">
        <f t="shared" si="21"/>
        <v>#DIV/0!</v>
      </c>
      <c r="CQ13" s="430">
        <f t="shared" si="83"/>
        <v>2</v>
      </c>
      <c r="CR13" s="431">
        <f t="shared" si="84"/>
        <v>1</v>
      </c>
      <c r="CS13" s="332"/>
      <c r="CT13" s="322">
        <v>2</v>
      </c>
      <c r="CU13" s="331">
        <v>1</v>
      </c>
      <c r="CW13" s="436"/>
      <c r="DB13" s="438"/>
      <c r="DC13" s="430">
        <v>2</v>
      </c>
      <c r="DD13" s="402">
        <v>1</v>
      </c>
      <c r="DE13" s="438">
        <f t="shared" si="22"/>
        <v>3.200000000000003E-4</v>
      </c>
      <c r="DF13" s="430">
        <f t="shared" si="23"/>
        <v>2</v>
      </c>
      <c r="DG13" s="402">
        <f t="shared" si="85"/>
        <v>1</v>
      </c>
      <c r="DH13" s="438">
        <f t="shared" si="25"/>
        <v>6.4000000000000059E-4</v>
      </c>
      <c r="DI13" s="430">
        <f t="shared" si="26"/>
        <v>2</v>
      </c>
      <c r="DJ13" s="402">
        <f t="shared" si="86"/>
        <v>1</v>
      </c>
      <c r="DK13" s="438">
        <f t="shared" si="28"/>
        <v>9.60000000000001E-4</v>
      </c>
      <c r="DL13" s="430">
        <f t="shared" si="87"/>
        <v>2</v>
      </c>
      <c r="DM13" s="402">
        <f t="shared" si="88"/>
        <v>1</v>
      </c>
      <c r="DN13" s="438">
        <f t="shared" si="31"/>
        <v>1.2800000000000012E-3</v>
      </c>
      <c r="DO13" s="430">
        <f t="shared" si="89"/>
        <v>2</v>
      </c>
      <c r="DP13" s="402">
        <f t="shared" si="90"/>
        <v>1</v>
      </c>
      <c r="DQ13" s="438">
        <f t="shared" si="34"/>
        <v>1.6000000000000016E-3</v>
      </c>
      <c r="DR13" s="430">
        <f t="shared" si="91"/>
        <v>2</v>
      </c>
      <c r="DS13" s="402">
        <f t="shared" si="92"/>
        <v>1</v>
      </c>
      <c r="DT13" s="438">
        <f t="shared" si="37"/>
        <v>3.2000000000000032E-3</v>
      </c>
      <c r="DU13" s="430">
        <f t="shared" si="93"/>
        <v>2</v>
      </c>
      <c r="DV13" s="402">
        <f t="shared" si="94"/>
        <v>1</v>
      </c>
      <c r="DW13" s="438">
        <f t="shared" si="40"/>
        <v>6.4000000000000064E-3</v>
      </c>
      <c r="DX13" s="430">
        <f t="shared" si="95"/>
        <v>2</v>
      </c>
      <c r="DY13" s="402">
        <f t="shared" si="96"/>
        <v>1</v>
      </c>
      <c r="DZ13" s="438">
        <f t="shared" si="43"/>
        <v>9.6000000000000096E-3</v>
      </c>
      <c r="EA13" s="430">
        <f t="shared" si="97"/>
        <v>2</v>
      </c>
      <c r="EB13" s="402">
        <f t="shared" si="98"/>
        <v>1</v>
      </c>
      <c r="EC13" s="438">
        <f t="shared" si="46"/>
        <v>1.2800000000000013E-2</v>
      </c>
      <c r="ED13" s="430">
        <f t="shared" si="99"/>
        <v>2</v>
      </c>
      <c r="EE13" s="402">
        <f t="shared" si="100"/>
        <v>1</v>
      </c>
      <c r="EF13" s="438">
        <f t="shared" si="49"/>
        <v>1.6000000000000018E-2</v>
      </c>
      <c r="EG13" s="430">
        <f t="shared" si="50"/>
        <v>4</v>
      </c>
      <c r="EH13" s="402">
        <f t="shared" si="51"/>
        <v>2</v>
      </c>
      <c r="EI13" s="438">
        <f t="shared" si="52"/>
        <v>1.6000000000000018E-2</v>
      </c>
      <c r="EJ13" s="430">
        <f t="shared" si="53"/>
        <v>8</v>
      </c>
      <c r="EK13" s="402">
        <f t="shared" si="54"/>
        <v>4</v>
      </c>
      <c r="EL13" s="438">
        <f t="shared" si="55"/>
        <v>1.6000000000000018E-2</v>
      </c>
      <c r="EM13" s="430">
        <f t="shared" si="56"/>
        <v>12</v>
      </c>
      <c r="EN13" s="402">
        <f t="shared" si="57"/>
        <v>6</v>
      </c>
      <c r="EO13" s="438">
        <f t="shared" si="58"/>
        <v>1.6000000000000018E-2</v>
      </c>
      <c r="EP13" s="430">
        <f t="shared" si="59"/>
        <v>16</v>
      </c>
      <c r="EQ13" s="402">
        <f t="shared" si="60"/>
        <v>8</v>
      </c>
      <c r="ER13" s="438">
        <f t="shared" si="61"/>
        <v>1.6000000000000018E-2</v>
      </c>
      <c r="ES13" s="430">
        <f t="shared" si="62"/>
        <v>20</v>
      </c>
      <c r="ET13" s="402">
        <f t="shared" si="63"/>
        <v>10</v>
      </c>
      <c r="EU13" s="438">
        <f t="shared" si="64"/>
        <v>1.6000000000000018E-2</v>
      </c>
      <c r="EV13" s="430">
        <f t="shared" si="65"/>
        <v>40</v>
      </c>
      <c r="EW13" s="402">
        <f t="shared" si="66"/>
        <v>20</v>
      </c>
      <c r="EX13" s="438">
        <f t="shared" si="67"/>
        <v>1.6000000000000018E-2</v>
      </c>
      <c r="EY13" s="430">
        <f t="shared" si="68"/>
        <v>80</v>
      </c>
      <c r="EZ13" s="402">
        <f t="shared" si="69"/>
        <v>40</v>
      </c>
      <c r="FA13" s="438">
        <f t="shared" si="70"/>
        <v>1.6000000000000018E-2</v>
      </c>
      <c r="FB13" s="430">
        <f t="shared" si="71"/>
        <v>120</v>
      </c>
      <c r="FC13" s="402">
        <f t="shared" si="72"/>
        <v>60</v>
      </c>
      <c r="FD13" s="438">
        <f t="shared" si="73"/>
        <v>1.6000000000000018E-2</v>
      </c>
      <c r="FE13" s="430">
        <f t="shared" si="74"/>
        <v>160</v>
      </c>
      <c r="FF13" s="402">
        <f t="shared" si="75"/>
        <v>80</v>
      </c>
      <c r="FG13" s="438">
        <f t="shared" si="76"/>
        <v>1.6000000000000018E-2</v>
      </c>
      <c r="FH13" s="430">
        <f t="shared" si="77"/>
        <v>200</v>
      </c>
      <c r="FI13" s="402">
        <f t="shared" si="78"/>
        <v>100</v>
      </c>
      <c r="FJ13" s="438">
        <f t="shared" si="79"/>
        <v>1.6000000000000018E-2</v>
      </c>
    </row>
    <row r="14" spans="1:208" x14ac:dyDescent="0.45">
      <c r="A14" s="1">
        <v>10</v>
      </c>
      <c r="B14" s="306" t="s">
        <v>1182</v>
      </c>
      <c r="C14" s="1">
        <v>1</v>
      </c>
      <c r="D14" s="1">
        <v>-1</v>
      </c>
      <c r="E14" s="1">
        <v>5</v>
      </c>
      <c r="F14" s="1">
        <f t="shared" si="0"/>
        <v>5</v>
      </c>
      <c r="G14" s="1"/>
      <c r="H14" s="1">
        <f t="shared" si="1"/>
        <v>0</v>
      </c>
      <c r="I14" s="1">
        <f t="shared" si="2"/>
        <v>0</v>
      </c>
      <c r="J14" s="1">
        <v>0</v>
      </c>
      <c r="K14" s="313">
        <v>0</v>
      </c>
      <c r="L14" s="314">
        <v>1</v>
      </c>
      <c r="M14" s="320">
        <f>ROUND(IF(L14&lt;&gt;0,$BI$4/('全局参数|GlobalPar'!$B$18/10000/E14)/L14,0),6)</f>
        <v>0</v>
      </c>
      <c r="N14" s="320">
        <f t="shared" si="3"/>
        <v>0</v>
      </c>
      <c r="O14" s="323">
        <v>0</v>
      </c>
      <c r="P14" s="322">
        <v>3</v>
      </c>
      <c r="Q14" s="331">
        <v>1</v>
      </c>
      <c r="R14" s="332" t="s">
        <v>1144</v>
      </c>
      <c r="S14" s="1"/>
      <c r="T14" s="333">
        <v>0</v>
      </c>
      <c r="U14" s="348">
        <v>0</v>
      </c>
      <c r="V14" s="348">
        <v>0</v>
      </c>
      <c r="W14" s="348">
        <v>0</v>
      </c>
      <c r="X14" s="1" t="s">
        <v>1145</v>
      </c>
      <c r="Y14" s="192" t="s">
        <v>1146</v>
      </c>
      <c r="Z14" s="192">
        <v>0</v>
      </c>
      <c r="AA14" s="192">
        <v>0</v>
      </c>
      <c r="AB14" s="354">
        <v>4</v>
      </c>
      <c r="AC14" s="1">
        <f t="shared" si="4"/>
        <v>-1</v>
      </c>
      <c r="AD14" s="1">
        <v>0</v>
      </c>
      <c r="AE14" s="1"/>
      <c r="AF14" s="1"/>
      <c r="AG14" s="1">
        <v>1</v>
      </c>
      <c r="AH14" s="1">
        <v>1.5</v>
      </c>
      <c r="AI14" s="1">
        <v>1</v>
      </c>
      <c r="AJ14" s="1">
        <v>0.5</v>
      </c>
      <c r="AK14" s="1">
        <v>1</v>
      </c>
      <c r="AL14" s="1"/>
      <c r="AM14" s="1"/>
      <c r="AN14" s="1"/>
      <c r="AO14" s="356">
        <v>0.6</v>
      </c>
      <c r="AP14" s="1">
        <v>12</v>
      </c>
      <c r="AQ14" s="1">
        <v>0.18</v>
      </c>
      <c r="AR14" s="1">
        <v>1</v>
      </c>
      <c r="AS14" s="1">
        <v>1</v>
      </c>
      <c r="AT14" s="1" t="s">
        <v>1147</v>
      </c>
      <c r="AU14" s="358" t="s">
        <v>1183</v>
      </c>
      <c r="AV14" s="358" t="s">
        <v>1184</v>
      </c>
      <c r="AW14" s="360" t="s">
        <v>320</v>
      </c>
      <c r="AX14" s="360" t="s">
        <v>189</v>
      </c>
      <c r="AY14" s="1">
        <f t="shared" si="5"/>
        <v>3.75</v>
      </c>
      <c r="AZ14" s="362">
        <f t="shared" si="6"/>
        <v>16</v>
      </c>
      <c r="BA14" s="1" t="s">
        <v>1150</v>
      </c>
      <c r="BB14" s="1">
        <f t="shared" si="7"/>
        <v>1.119</v>
      </c>
      <c r="BC14" s="1"/>
      <c r="BD14" s="1">
        <f t="shared" si="8"/>
        <v>5</v>
      </c>
      <c r="BE14" s="1">
        <f t="shared" si="9"/>
        <v>5.3000000000000007</v>
      </c>
      <c r="BG14" s="1">
        <f t="shared" si="10"/>
        <v>0</v>
      </c>
      <c r="BR14" s="301">
        <f t="shared" si="11"/>
        <v>5.5</v>
      </c>
      <c r="BS14" s="356">
        <f t="shared" si="101"/>
        <v>0.1</v>
      </c>
      <c r="BT14" s="297">
        <v>1</v>
      </c>
      <c r="BU14" s="1">
        <v>5</v>
      </c>
      <c r="BV14" s="297">
        <v>2</v>
      </c>
      <c r="BW14" s="1">
        <v>2</v>
      </c>
      <c r="BX14" s="297">
        <v>3</v>
      </c>
      <c r="BY14" s="1">
        <v>1</v>
      </c>
      <c r="BZ14" s="1">
        <f t="shared" si="80"/>
        <v>1.5</v>
      </c>
      <c r="CA14" s="1">
        <f t="shared" si="81"/>
        <v>7.5</v>
      </c>
      <c r="CB14" s="389">
        <f t="shared" si="12"/>
        <v>4.4443999999999997E-2</v>
      </c>
      <c r="CC14" s="1">
        <f t="shared" si="13"/>
        <v>15</v>
      </c>
      <c r="CD14" s="391">
        <f t="shared" si="14"/>
        <v>2.2221999999999999E-2</v>
      </c>
      <c r="CE14" s="1">
        <f t="shared" si="13"/>
        <v>22.5</v>
      </c>
      <c r="CF14" s="392">
        <f t="shared" si="15"/>
        <v>1.4815E-2</v>
      </c>
      <c r="CH14" s="190">
        <v>2E-3</v>
      </c>
      <c r="CI14" s="403">
        <f t="shared" si="102"/>
        <v>0</v>
      </c>
      <c r="CJ14" s="402">
        <f t="shared" si="16"/>
        <v>0</v>
      </c>
      <c r="CK14" s="411">
        <f t="shared" si="17"/>
        <v>0</v>
      </c>
      <c r="CL14" s="411">
        <f t="shared" si="18"/>
        <v>0</v>
      </c>
      <c r="CM14" s="412">
        <f t="shared" si="82"/>
        <v>0</v>
      </c>
      <c r="CN14" s="413">
        <f t="shared" si="19"/>
        <v>0</v>
      </c>
      <c r="CO14" s="411">
        <f t="shared" si="20"/>
        <v>0</v>
      </c>
      <c r="CP14" s="429" t="e">
        <f t="shared" si="21"/>
        <v>#DIV/0!</v>
      </c>
      <c r="CQ14" s="430">
        <f t="shared" si="83"/>
        <v>3</v>
      </c>
      <c r="CR14" s="431">
        <f t="shared" si="84"/>
        <v>1</v>
      </c>
      <c r="CS14" s="332"/>
      <c r="CT14" s="322">
        <v>3</v>
      </c>
      <c r="CU14" s="331">
        <v>1</v>
      </c>
      <c r="CW14" s="436"/>
      <c r="DB14" s="438"/>
      <c r="DC14" s="430">
        <v>3</v>
      </c>
      <c r="DD14" s="402">
        <v>1</v>
      </c>
      <c r="DE14" s="438">
        <f t="shared" si="22"/>
        <v>2.6666666666666695E-4</v>
      </c>
      <c r="DF14" s="430">
        <f t="shared" si="23"/>
        <v>3</v>
      </c>
      <c r="DG14" s="402">
        <f t="shared" si="85"/>
        <v>1</v>
      </c>
      <c r="DH14" s="438">
        <f t="shared" si="25"/>
        <v>5.333333333333339E-4</v>
      </c>
      <c r="DI14" s="430">
        <f t="shared" si="26"/>
        <v>3</v>
      </c>
      <c r="DJ14" s="402">
        <f t="shared" si="86"/>
        <v>1</v>
      </c>
      <c r="DK14" s="438">
        <f t="shared" si="28"/>
        <v>8.000000000000008E-4</v>
      </c>
      <c r="DL14" s="430">
        <f t="shared" si="87"/>
        <v>3</v>
      </c>
      <c r="DM14" s="402">
        <f t="shared" si="88"/>
        <v>1</v>
      </c>
      <c r="DN14" s="438">
        <f t="shared" si="31"/>
        <v>1.0666666666666678E-3</v>
      </c>
      <c r="DO14" s="430">
        <f t="shared" si="89"/>
        <v>3</v>
      </c>
      <c r="DP14" s="402">
        <f t="shared" si="90"/>
        <v>1</v>
      </c>
      <c r="DQ14" s="438">
        <f t="shared" si="34"/>
        <v>1.3333333333333346E-3</v>
      </c>
      <c r="DR14" s="430">
        <f t="shared" si="91"/>
        <v>3</v>
      </c>
      <c r="DS14" s="402">
        <f t="shared" si="92"/>
        <v>1</v>
      </c>
      <c r="DT14" s="438">
        <f t="shared" si="37"/>
        <v>2.6666666666666692E-3</v>
      </c>
      <c r="DU14" s="430">
        <f t="shared" si="93"/>
        <v>3</v>
      </c>
      <c r="DV14" s="402">
        <f t="shared" si="94"/>
        <v>1</v>
      </c>
      <c r="DW14" s="438">
        <f t="shared" si="40"/>
        <v>5.3333333333333384E-3</v>
      </c>
      <c r="DX14" s="430">
        <f t="shared" si="95"/>
        <v>3</v>
      </c>
      <c r="DY14" s="402">
        <f t="shared" si="96"/>
        <v>1</v>
      </c>
      <c r="DZ14" s="438">
        <f t="shared" si="43"/>
        <v>8.0000000000000088E-3</v>
      </c>
      <c r="EA14" s="430">
        <f t="shared" si="97"/>
        <v>3</v>
      </c>
      <c r="EB14" s="402">
        <f t="shared" si="98"/>
        <v>1</v>
      </c>
      <c r="EC14" s="438">
        <f t="shared" si="46"/>
        <v>1.0666666666666677E-2</v>
      </c>
      <c r="ED14" s="430">
        <f t="shared" si="99"/>
        <v>3</v>
      </c>
      <c r="EE14" s="402">
        <f t="shared" si="100"/>
        <v>1</v>
      </c>
      <c r="EF14" s="438">
        <f t="shared" si="49"/>
        <v>1.3333333333333348E-2</v>
      </c>
      <c r="EG14" s="430">
        <f t="shared" si="50"/>
        <v>6</v>
      </c>
      <c r="EH14" s="402">
        <f t="shared" si="51"/>
        <v>2</v>
      </c>
      <c r="EI14" s="438">
        <f t="shared" si="52"/>
        <v>1.3333333333333348E-2</v>
      </c>
      <c r="EJ14" s="430">
        <f t="shared" si="53"/>
        <v>12</v>
      </c>
      <c r="EK14" s="402">
        <f t="shared" si="54"/>
        <v>4</v>
      </c>
      <c r="EL14" s="438">
        <f t="shared" si="55"/>
        <v>1.3333333333333348E-2</v>
      </c>
      <c r="EM14" s="430">
        <f t="shared" si="56"/>
        <v>18</v>
      </c>
      <c r="EN14" s="402">
        <f t="shared" si="57"/>
        <v>6</v>
      </c>
      <c r="EO14" s="438">
        <f t="shared" si="58"/>
        <v>1.3333333333333348E-2</v>
      </c>
      <c r="EP14" s="430">
        <f t="shared" si="59"/>
        <v>24</v>
      </c>
      <c r="EQ14" s="402">
        <f t="shared" si="60"/>
        <v>8</v>
      </c>
      <c r="ER14" s="438">
        <f t="shared" si="61"/>
        <v>1.3333333333333348E-2</v>
      </c>
      <c r="ES14" s="430">
        <f t="shared" si="62"/>
        <v>30</v>
      </c>
      <c r="ET14" s="402">
        <f t="shared" si="63"/>
        <v>10</v>
      </c>
      <c r="EU14" s="438">
        <f t="shared" si="64"/>
        <v>1.3333333333333348E-2</v>
      </c>
      <c r="EV14" s="430">
        <f t="shared" si="65"/>
        <v>60</v>
      </c>
      <c r="EW14" s="402">
        <f t="shared" si="66"/>
        <v>20</v>
      </c>
      <c r="EX14" s="438">
        <f t="shared" si="67"/>
        <v>1.3333333333333348E-2</v>
      </c>
      <c r="EY14" s="430">
        <f t="shared" si="68"/>
        <v>120</v>
      </c>
      <c r="EZ14" s="402">
        <f t="shared" si="69"/>
        <v>40</v>
      </c>
      <c r="FA14" s="438">
        <f t="shared" si="70"/>
        <v>1.3333333333333348E-2</v>
      </c>
      <c r="FB14" s="430">
        <f t="shared" si="71"/>
        <v>180</v>
      </c>
      <c r="FC14" s="402">
        <f t="shared" si="72"/>
        <v>60</v>
      </c>
      <c r="FD14" s="438">
        <f t="shared" si="73"/>
        <v>1.3333333333333348E-2</v>
      </c>
      <c r="FE14" s="430">
        <f t="shared" si="74"/>
        <v>240</v>
      </c>
      <c r="FF14" s="402">
        <f t="shared" si="75"/>
        <v>80</v>
      </c>
      <c r="FG14" s="438">
        <f t="shared" si="76"/>
        <v>1.3333333333333348E-2</v>
      </c>
      <c r="FH14" s="430">
        <f t="shared" si="77"/>
        <v>300</v>
      </c>
      <c r="FI14" s="402">
        <f t="shared" si="78"/>
        <v>100</v>
      </c>
      <c r="FJ14" s="438">
        <f t="shared" si="79"/>
        <v>1.3333333333333348E-2</v>
      </c>
    </row>
    <row r="15" spans="1:208" x14ac:dyDescent="0.45">
      <c r="A15" s="1">
        <v>11</v>
      </c>
      <c r="B15" s="305"/>
      <c r="C15" s="1">
        <v>1</v>
      </c>
      <c r="D15" s="1">
        <v>-1</v>
      </c>
      <c r="E15" s="1">
        <v>5</v>
      </c>
      <c r="F15" s="1">
        <f t="shared" si="0"/>
        <v>5</v>
      </c>
      <c r="G15" s="1"/>
      <c r="H15" s="1">
        <v>0</v>
      </c>
      <c r="I15" s="1">
        <f t="shared" si="2"/>
        <v>0</v>
      </c>
      <c r="J15" s="1">
        <v>0</v>
      </c>
      <c r="K15" s="313">
        <v>0</v>
      </c>
      <c r="L15" s="314">
        <v>1</v>
      </c>
      <c r="M15" s="320">
        <f>ROUND(IF(L15&lt;&gt;0,$BI$4/('全局参数|GlobalPar'!$B$18/10000/E15)/L15,0),6)</f>
        <v>0</v>
      </c>
      <c r="N15" s="320">
        <f t="shared" si="3"/>
        <v>0</v>
      </c>
      <c r="O15" s="323">
        <v>0</v>
      </c>
      <c r="P15" s="322">
        <v>3</v>
      </c>
      <c r="Q15" s="331">
        <v>1</v>
      </c>
      <c r="R15" s="332" t="s">
        <v>1144</v>
      </c>
      <c r="S15" s="1"/>
      <c r="T15" s="333">
        <v>0</v>
      </c>
      <c r="U15" s="348">
        <v>0</v>
      </c>
      <c r="V15" s="348">
        <v>0</v>
      </c>
      <c r="W15" s="348">
        <v>0</v>
      </c>
      <c r="X15" s="1" t="s">
        <v>1145</v>
      </c>
      <c r="Y15" s="192" t="s">
        <v>1146</v>
      </c>
      <c r="Z15" s="192">
        <v>0</v>
      </c>
      <c r="AA15" s="192">
        <v>0</v>
      </c>
      <c r="AB15" s="354">
        <v>5</v>
      </c>
      <c r="AC15" s="1">
        <f t="shared" si="4"/>
        <v>-1</v>
      </c>
      <c r="AD15" s="1">
        <v>0</v>
      </c>
      <c r="AE15" s="1"/>
      <c r="AF15" s="1"/>
      <c r="AG15" s="1">
        <v>1</v>
      </c>
      <c r="AH15" s="1">
        <v>1.5</v>
      </c>
      <c r="AI15" s="1">
        <v>1</v>
      </c>
      <c r="AJ15" s="1">
        <v>0.5</v>
      </c>
      <c r="AK15" s="1">
        <v>1</v>
      </c>
      <c r="AL15" s="1"/>
      <c r="AM15" s="1"/>
      <c r="AN15" s="1"/>
      <c r="AO15" s="356">
        <v>0.6</v>
      </c>
      <c r="AP15" s="1">
        <v>14</v>
      </c>
      <c r="AQ15" s="1">
        <v>0.18</v>
      </c>
      <c r="AR15" s="1">
        <v>0.8</v>
      </c>
      <c r="AS15" s="1">
        <v>1</v>
      </c>
      <c r="AT15" s="1" t="s">
        <v>1147</v>
      </c>
      <c r="AU15" s="358" t="s">
        <v>1185</v>
      </c>
      <c r="AV15" s="358" t="s">
        <v>1186</v>
      </c>
      <c r="AW15" s="360" t="s">
        <v>1187</v>
      </c>
      <c r="AX15" s="360" t="s">
        <v>189</v>
      </c>
      <c r="AY15" s="1">
        <f t="shared" si="5"/>
        <v>3.75</v>
      </c>
      <c r="AZ15" s="362">
        <f t="shared" si="6"/>
        <v>16</v>
      </c>
      <c r="BA15" s="1" t="s">
        <v>1150</v>
      </c>
      <c r="BB15" s="1">
        <f t="shared" si="7"/>
        <v>1.119</v>
      </c>
      <c r="BC15" s="1"/>
      <c r="BD15" s="1">
        <f t="shared" si="8"/>
        <v>5</v>
      </c>
      <c r="BE15" s="1">
        <f t="shared" si="9"/>
        <v>5.3000000000000007</v>
      </c>
      <c r="BG15" s="1">
        <f t="shared" si="10"/>
        <v>0</v>
      </c>
      <c r="BM15"/>
      <c r="BR15" s="301">
        <f t="shared" si="11"/>
        <v>5.5</v>
      </c>
      <c r="BS15" s="356">
        <f t="shared" si="101"/>
        <v>0.1</v>
      </c>
      <c r="BT15" s="297">
        <v>1</v>
      </c>
      <c r="BU15" s="1">
        <v>5</v>
      </c>
      <c r="BV15" s="297">
        <v>2</v>
      </c>
      <c r="BW15" s="1">
        <v>2</v>
      </c>
      <c r="BX15" s="297">
        <v>3</v>
      </c>
      <c r="BY15" s="1">
        <v>1</v>
      </c>
      <c r="BZ15" s="1">
        <f t="shared" si="80"/>
        <v>1.5</v>
      </c>
      <c r="CA15" s="1">
        <f t="shared" si="81"/>
        <v>7.5</v>
      </c>
      <c r="CB15" s="389">
        <f t="shared" si="12"/>
        <v>4.4443999999999997E-2</v>
      </c>
      <c r="CC15" s="1">
        <f t="shared" si="13"/>
        <v>15</v>
      </c>
      <c r="CD15" s="391">
        <f t="shared" si="14"/>
        <v>2.2221999999999999E-2</v>
      </c>
      <c r="CE15" s="1">
        <f t="shared" si="13"/>
        <v>22.5</v>
      </c>
      <c r="CF15" s="392">
        <f t="shared" si="15"/>
        <v>1.4815E-2</v>
      </c>
      <c r="CH15" s="190">
        <v>2E-3</v>
      </c>
      <c r="CI15" s="403">
        <f t="shared" si="102"/>
        <v>0</v>
      </c>
      <c r="CJ15" s="402">
        <f t="shared" si="16"/>
        <v>0</v>
      </c>
      <c r="CK15" s="411">
        <f t="shared" si="17"/>
        <v>0</v>
      </c>
      <c r="CL15" s="411">
        <f t="shared" si="18"/>
        <v>0</v>
      </c>
      <c r="CM15" s="412">
        <f t="shared" si="82"/>
        <v>0</v>
      </c>
      <c r="CN15" s="413">
        <f t="shared" si="19"/>
        <v>0</v>
      </c>
      <c r="CO15" s="411">
        <f t="shared" si="20"/>
        <v>0</v>
      </c>
      <c r="CP15" s="429" t="e">
        <f t="shared" si="21"/>
        <v>#DIV/0!</v>
      </c>
      <c r="CQ15" s="430">
        <f t="shared" si="83"/>
        <v>3</v>
      </c>
      <c r="CR15" s="431">
        <f t="shared" si="84"/>
        <v>1</v>
      </c>
      <c r="CS15" s="332"/>
      <c r="CT15" s="322">
        <v>3</v>
      </c>
      <c r="CU15" s="331">
        <v>1</v>
      </c>
      <c r="CW15" s="436"/>
      <c r="DB15" s="438"/>
      <c r="DC15" s="430">
        <v>3</v>
      </c>
      <c r="DD15" s="402">
        <v>1</v>
      </c>
      <c r="DE15" s="438">
        <f t="shared" si="22"/>
        <v>2.6666666666666695E-4</v>
      </c>
      <c r="DF15" s="430">
        <f t="shared" si="23"/>
        <v>3</v>
      </c>
      <c r="DG15" s="402">
        <f t="shared" si="85"/>
        <v>1</v>
      </c>
      <c r="DH15" s="438">
        <f t="shared" si="25"/>
        <v>5.333333333333339E-4</v>
      </c>
      <c r="DI15" s="430">
        <f t="shared" si="26"/>
        <v>3</v>
      </c>
      <c r="DJ15" s="402">
        <f t="shared" si="86"/>
        <v>1</v>
      </c>
      <c r="DK15" s="438">
        <f t="shared" si="28"/>
        <v>8.000000000000008E-4</v>
      </c>
      <c r="DL15" s="430">
        <f t="shared" si="87"/>
        <v>3</v>
      </c>
      <c r="DM15" s="402">
        <f t="shared" si="88"/>
        <v>1</v>
      </c>
      <c r="DN15" s="438">
        <f t="shared" si="31"/>
        <v>1.0666666666666678E-3</v>
      </c>
      <c r="DO15" s="430">
        <f t="shared" si="89"/>
        <v>3</v>
      </c>
      <c r="DP15" s="402">
        <f t="shared" si="90"/>
        <v>1</v>
      </c>
      <c r="DQ15" s="438">
        <f t="shared" si="34"/>
        <v>1.3333333333333346E-3</v>
      </c>
      <c r="DR15" s="430">
        <f t="shared" si="91"/>
        <v>3</v>
      </c>
      <c r="DS15" s="402">
        <f t="shared" si="92"/>
        <v>1</v>
      </c>
      <c r="DT15" s="438">
        <f t="shared" si="37"/>
        <v>2.6666666666666692E-3</v>
      </c>
      <c r="DU15" s="430">
        <f t="shared" si="93"/>
        <v>3</v>
      </c>
      <c r="DV15" s="402">
        <f t="shared" si="94"/>
        <v>1</v>
      </c>
      <c r="DW15" s="438">
        <f t="shared" si="40"/>
        <v>5.3333333333333384E-3</v>
      </c>
      <c r="DX15" s="430">
        <f t="shared" si="95"/>
        <v>3</v>
      </c>
      <c r="DY15" s="402">
        <f t="shared" si="96"/>
        <v>1</v>
      </c>
      <c r="DZ15" s="438">
        <f t="shared" si="43"/>
        <v>8.0000000000000088E-3</v>
      </c>
      <c r="EA15" s="430">
        <f t="shared" si="97"/>
        <v>3</v>
      </c>
      <c r="EB15" s="402">
        <f t="shared" si="98"/>
        <v>1</v>
      </c>
      <c r="EC15" s="438">
        <f t="shared" si="46"/>
        <v>1.0666666666666677E-2</v>
      </c>
      <c r="ED15" s="430">
        <f t="shared" si="99"/>
        <v>3</v>
      </c>
      <c r="EE15" s="402">
        <f t="shared" si="100"/>
        <v>1</v>
      </c>
      <c r="EF15" s="438">
        <f t="shared" si="49"/>
        <v>1.3333333333333348E-2</v>
      </c>
      <c r="EG15" s="430">
        <f t="shared" si="50"/>
        <v>6</v>
      </c>
      <c r="EH15" s="402">
        <f t="shared" si="51"/>
        <v>2</v>
      </c>
      <c r="EI15" s="438">
        <f t="shared" si="52"/>
        <v>1.3333333333333348E-2</v>
      </c>
      <c r="EJ15" s="430">
        <f t="shared" si="53"/>
        <v>12</v>
      </c>
      <c r="EK15" s="402">
        <f t="shared" si="54"/>
        <v>4</v>
      </c>
      <c r="EL15" s="438">
        <f t="shared" si="55"/>
        <v>1.3333333333333348E-2</v>
      </c>
      <c r="EM15" s="430">
        <f t="shared" si="56"/>
        <v>18</v>
      </c>
      <c r="EN15" s="402">
        <f t="shared" si="57"/>
        <v>6</v>
      </c>
      <c r="EO15" s="438">
        <f t="shared" si="58"/>
        <v>1.3333333333333348E-2</v>
      </c>
      <c r="EP15" s="430">
        <f t="shared" si="59"/>
        <v>24</v>
      </c>
      <c r="EQ15" s="402">
        <f t="shared" si="60"/>
        <v>8</v>
      </c>
      <c r="ER15" s="438">
        <f t="shared" si="61"/>
        <v>1.3333333333333348E-2</v>
      </c>
      <c r="ES15" s="430">
        <f t="shared" si="62"/>
        <v>30</v>
      </c>
      <c r="ET15" s="402">
        <f t="shared" si="63"/>
        <v>10</v>
      </c>
      <c r="EU15" s="438">
        <f t="shared" si="64"/>
        <v>1.3333333333333348E-2</v>
      </c>
      <c r="EV15" s="430">
        <f t="shared" si="65"/>
        <v>60</v>
      </c>
      <c r="EW15" s="402">
        <f t="shared" si="66"/>
        <v>20</v>
      </c>
      <c r="EX15" s="438">
        <f t="shared" si="67"/>
        <v>1.3333333333333348E-2</v>
      </c>
      <c r="EY15" s="430">
        <f t="shared" si="68"/>
        <v>120</v>
      </c>
      <c r="EZ15" s="402">
        <f t="shared" si="69"/>
        <v>40</v>
      </c>
      <c r="FA15" s="438">
        <f t="shared" si="70"/>
        <v>1.3333333333333348E-2</v>
      </c>
      <c r="FB15" s="430">
        <f t="shared" si="71"/>
        <v>180</v>
      </c>
      <c r="FC15" s="402">
        <f t="shared" si="72"/>
        <v>60</v>
      </c>
      <c r="FD15" s="438">
        <f t="shared" si="73"/>
        <v>1.3333333333333348E-2</v>
      </c>
      <c r="FE15" s="430">
        <f t="shared" si="74"/>
        <v>240</v>
      </c>
      <c r="FF15" s="402">
        <f t="shared" si="75"/>
        <v>80</v>
      </c>
      <c r="FG15" s="438">
        <f t="shared" si="76"/>
        <v>1.3333333333333348E-2</v>
      </c>
      <c r="FH15" s="430">
        <f t="shared" si="77"/>
        <v>300</v>
      </c>
      <c r="FI15" s="402">
        <f t="shared" si="78"/>
        <v>100</v>
      </c>
      <c r="FJ15" s="438">
        <f t="shared" si="79"/>
        <v>1.3333333333333348E-2</v>
      </c>
    </row>
    <row r="16" spans="1:208" x14ac:dyDescent="0.45">
      <c r="A16" s="1">
        <v>12</v>
      </c>
      <c r="B16" s="306" t="s">
        <v>1188</v>
      </c>
      <c r="C16" s="1">
        <v>1</v>
      </c>
      <c r="D16" s="1">
        <v>-1</v>
      </c>
      <c r="E16" s="1">
        <v>5</v>
      </c>
      <c r="F16" s="1">
        <f t="shared" si="0"/>
        <v>5</v>
      </c>
      <c r="G16" s="1"/>
      <c r="H16" s="1">
        <f t="shared" ref="H16:H29" si="103">ROUND(IF(C16=4,E16*10%,0),0)</f>
        <v>0</v>
      </c>
      <c r="I16" s="1">
        <f t="shared" si="2"/>
        <v>0</v>
      </c>
      <c r="J16" s="1">
        <v>0</v>
      </c>
      <c r="K16" s="313">
        <v>0</v>
      </c>
      <c r="L16" s="314">
        <v>1</v>
      </c>
      <c r="M16" s="320">
        <f>ROUND(IF(L16&lt;&gt;0,$BI$4/('全局参数|GlobalPar'!$B$18/10000/E16)/L16,0),6)</f>
        <v>0</v>
      </c>
      <c r="N16" s="320">
        <f t="shared" si="3"/>
        <v>0</v>
      </c>
      <c r="O16" s="323">
        <v>0</v>
      </c>
      <c r="P16" s="322">
        <v>3</v>
      </c>
      <c r="Q16" s="331">
        <v>1</v>
      </c>
      <c r="R16" s="332" t="s">
        <v>1144</v>
      </c>
      <c r="S16" s="1"/>
      <c r="T16" s="333">
        <v>0</v>
      </c>
      <c r="U16" s="348">
        <v>0</v>
      </c>
      <c r="V16" s="348">
        <v>0</v>
      </c>
      <c r="W16" s="348">
        <v>0</v>
      </c>
      <c r="X16" s="1" t="s">
        <v>1145</v>
      </c>
      <c r="Y16" s="192" t="s">
        <v>1146</v>
      </c>
      <c r="Z16" s="192">
        <v>0</v>
      </c>
      <c r="AA16" s="192">
        <v>0</v>
      </c>
      <c r="AB16" s="354">
        <v>5</v>
      </c>
      <c r="AC16" s="1">
        <f t="shared" si="4"/>
        <v>-1</v>
      </c>
      <c r="AD16" s="1">
        <v>0</v>
      </c>
      <c r="AE16" s="1"/>
      <c r="AF16" s="1"/>
      <c r="AG16" s="1">
        <v>1</v>
      </c>
      <c r="AH16" s="1">
        <v>1.5</v>
      </c>
      <c r="AI16" s="1">
        <v>1</v>
      </c>
      <c r="AJ16" s="1">
        <v>0.5</v>
      </c>
      <c r="AK16" s="1">
        <v>1</v>
      </c>
      <c r="AL16" s="1"/>
      <c r="AM16" s="1"/>
      <c r="AN16" s="1"/>
      <c r="AO16" s="356">
        <v>0.6</v>
      </c>
      <c r="AP16" s="1">
        <v>16</v>
      </c>
      <c r="AQ16" s="1">
        <v>0.18</v>
      </c>
      <c r="AR16" s="1">
        <v>1</v>
      </c>
      <c r="AS16" s="1">
        <v>1</v>
      </c>
      <c r="AT16" s="1" t="s">
        <v>1147</v>
      </c>
      <c r="AU16" s="358" t="s">
        <v>1189</v>
      </c>
      <c r="AV16" s="358" t="s">
        <v>1190</v>
      </c>
      <c r="AW16" s="360" t="s">
        <v>301</v>
      </c>
      <c r="AX16" s="360" t="s">
        <v>189</v>
      </c>
      <c r="AY16" s="1">
        <f t="shared" si="5"/>
        <v>3.75</v>
      </c>
      <c r="AZ16" s="362">
        <f t="shared" si="6"/>
        <v>16</v>
      </c>
      <c r="BA16" s="1" t="s">
        <v>1150</v>
      </c>
      <c r="BB16" s="1">
        <f t="shared" si="7"/>
        <v>1.119</v>
      </c>
      <c r="BC16" s="1"/>
      <c r="BD16" s="1">
        <f t="shared" si="8"/>
        <v>5</v>
      </c>
      <c r="BE16" s="1">
        <f t="shared" si="9"/>
        <v>5.3000000000000007</v>
      </c>
      <c r="BG16" s="1">
        <f t="shared" si="10"/>
        <v>0</v>
      </c>
      <c r="BR16" s="301">
        <f t="shared" si="11"/>
        <v>5.5</v>
      </c>
      <c r="BS16" s="356">
        <f t="shared" si="101"/>
        <v>0.1</v>
      </c>
      <c r="BT16" s="297">
        <v>1</v>
      </c>
      <c r="BU16" s="1">
        <v>5</v>
      </c>
      <c r="BV16" s="297">
        <v>2</v>
      </c>
      <c r="BW16" s="1">
        <v>2</v>
      </c>
      <c r="BX16" s="297">
        <v>3</v>
      </c>
      <c r="BY16" s="1">
        <v>1</v>
      </c>
      <c r="BZ16" s="1">
        <f t="shared" si="80"/>
        <v>1.5</v>
      </c>
      <c r="CA16" s="1">
        <f t="shared" si="81"/>
        <v>7.5</v>
      </c>
      <c r="CB16" s="389">
        <f t="shared" si="12"/>
        <v>4.4443999999999997E-2</v>
      </c>
      <c r="CC16" s="1">
        <f t="shared" si="13"/>
        <v>15</v>
      </c>
      <c r="CD16" s="391">
        <f t="shared" si="14"/>
        <v>2.2221999999999999E-2</v>
      </c>
      <c r="CE16" s="1">
        <f t="shared" si="13"/>
        <v>22.5</v>
      </c>
      <c r="CF16" s="392">
        <f t="shared" si="15"/>
        <v>1.4815E-2</v>
      </c>
      <c r="CH16" s="190">
        <v>2E-3</v>
      </c>
      <c r="CI16" s="403">
        <f t="shared" si="102"/>
        <v>0</v>
      </c>
      <c r="CJ16" s="402">
        <f t="shared" si="16"/>
        <v>0</v>
      </c>
      <c r="CK16" s="411">
        <f t="shared" si="17"/>
        <v>0</v>
      </c>
      <c r="CL16" s="411">
        <f t="shared" si="18"/>
        <v>0</v>
      </c>
      <c r="CM16" s="412">
        <f t="shared" si="82"/>
        <v>0</v>
      </c>
      <c r="CN16" s="413">
        <f t="shared" si="19"/>
        <v>0</v>
      </c>
      <c r="CO16" s="411">
        <f t="shared" si="20"/>
        <v>0</v>
      </c>
      <c r="CP16" s="429" t="e">
        <f t="shared" si="21"/>
        <v>#DIV/0!</v>
      </c>
      <c r="CQ16" s="430">
        <f t="shared" si="83"/>
        <v>3</v>
      </c>
      <c r="CR16" s="431">
        <f t="shared" si="84"/>
        <v>1</v>
      </c>
      <c r="CS16" s="332"/>
      <c r="CT16" s="322">
        <v>3</v>
      </c>
      <c r="CU16" s="331">
        <v>1</v>
      </c>
      <c r="CW16" s="436"/>
      <c r="DB16" s="438"/>
      <c r="DC16" s="430">
        <v>3</v>
      </c>
      <c r="DD16" s="402">
        <v>1</v>
      </c>
      <c r="DE16" s="438">
        <f t="shared" si="22"/>
        <v>2.6666666666666695E-4</v>
      </c>
      <c r="DF16" s="430">
        <f t="shared" si="23"/>
        <v>3</v>
      </c>
      <c r="DG16" s="402">
        <f t="shared" si="85"/>
        <v>1</v>
      </c>
      <c r="DH16" s="438">
        <f t="shared" si="25"/>
        <v>5.333333333333339E-4</v>
      </c>
      <c r="DI16" s="430">
        <f t="shared" si="26"/>
        <v>3</v>
      </c>
      <c r="DJ16" s="402">
        <f t="shared" si="86"/>
        <v>1</v>
      </c>
      <c r="DK16" s="438">
        <f t="shared" si="28"/>
        <v>8.000000000000008E-4</v>
      </c>
      <c r="DL16" s="430">
        <f t="shared" si="87"/>
        <v>3</v>
      </c>
      <c r="DM16" s="402">
        <f t="shared" si="88"/>
        <v>1</v>
      </c>
      <c r="DN16" s="438">
        <f t="shared" si="31"/>
        <v>1.0666666666666678E-3</v>
      </c>
      <c r="DO16" s="430">
        <f t="shared" si="89"/>
        <v>3</v>
      </c>
      <c r="DP16" s="402">
        <f t="shared" si="90"/>
        <v>1</v>
      </c>
      <c r="DQ16" s="438">
        <f t="shared" si="34"/>
        <v>1.3333333333333346E-3</v>
      </c>
      <c r="DR16" s="430">
        <f t="shared" si="91"/>
        <v>3</v>
      </c>
      <c r="DS16" s="402">
        <f t="shared" si="92"/>
        <v>1</v>
      </c>
      <c r="DT16" s="438">
        <f t="shared" si="37"/>
        <v>2.6666666666666692E-3</v>
      </c>
      <c r="DU16" s="430">
        <f t="shared" si="93"/>
        <v>3</v>
      </c>
      <c r="DV16" s="402">
        <f t="shared" si="94"/>
        <v>1</v>
      </c>
      <c r="DW16" s="438">
        <f t="shared" si="40"/>
        <v>5.3333333333333384E-3</v>
      </c>
      <c r="DX16" s="430">
        <f t="shared" si="95"/>
        <v>3</v>
      </c>
      <c r="DY16" s="402">
        <f t="shared" si="96"/>
        <v>1</v>
      </c>
      <c r="DZ16" s="438">
        <f t="shared" si="43"/>
        <v>8.0000000000000088E-3</v>
      </c>
      <c r="EA16" s="430">
        <f t="shared" si="97"/>
        <v>3</v>
      </c>
      <c r="EB16" s="402">
        <f t="shared" si="98"/>
        <v>1</v>
      </c>
      <c r="EC16" s="438">
        <f t="shared" si="46"/>
        <v>1.0666666666666677E-2</v>
      </c>
      <c r="ED16" s="430">
        <f t="shared" si="99"/>
        <v>3</v>
      </c>
      <c r="EE16" s="402">
        <f t="shared" si="100"/>
        <v>1</v>
      </c>
      <c r="EF16" s="438">
        <f t="shared" si="49"/>
        <v>1.3333333333333348E-2</v>
      </c>
      <c r="EG16" s="430">
        <f t="shared" si="50"/>
        <v>6</v>
      </c>
      <c r="EH16" s="402">
        <f t="shared" si="51"/>
        <v>2</v>
      </c>
      <c r="EI16" s="438">
        <f t="shared" si="52"/>
        <v>1.3333333333333348E-2</v>
      </c>
      <c r="EJ16" s="430">
        <f t="shared" si="53"/>
        <v>12</v>
      </c>
      <c r="EK16" s="402">
        <f t="shared" si="54"/>
        <v>4</v>
      </c>
      <c r="EL16" s="438">
        <f t="shared" si="55"/>
        <v>1.3333333333333348E-2</v>
      </c>
      <c r="EM16" s="430">
        <f t="shared" si="56"/>
        <v>18</v>
      </c>
      <c r="EN16" s="402">
        <f t="shared" si="57"/>
        <v>6</v>
      </c>
      <c r="EO16" s="438">
        <f t="shared" si="58"/>
        <v>1.3333333333333348E-2</v>
      </c>
      <c r="EP16" s="430">
        <f t="shared" si="59"/>
        <v>24</v>
      </c>
      <c r="EQ16" s="402">
        <f t="shared" si="60"/>
        <v>8</v>
      </c>
      <c r="ER16" s="438">
        <f t="shared" si="61"/>
        <v>1.3333333333333348E-2</v>
      </c>
      <c r="ES16" s="430">
        <f t="shared" si="62"/>
        <v>30</v>
      </c>
      <c r="ET16" s="402">
        <f t="shared" si="63"/>
        <v>10</v>
      </c>
      <c r="EU16" s="438">
        <f t="shared" si="64"/>
        <v>1.3333333333333348E-2</v>
      </c>
      <c r="EV16" s="430">
        <f t="shared" si="65"/>
        <v>60</v>
      </c>
      <c r="EW16" s="402">
        <f t="shared" si="66"/>
        <v>20</v>
      </c>
      <c r="EX16" s="438">
        <f t="shared" si="67"/>
        <v>1.3333333333333348E-2</v>
      </c>
      <c r="EY16" s="430">
        <f t="shared" si="68"/>
        <v>120</v>
      </c>
      <c r="EZ16" s="402">
        <f t="shared" si="69"/>
        <v>40</v>
      </c>
      <c r="FA16" s="438">
        <f t="shared" si="70"/>
        <v>1.3333333333333348E-2</v>
      </c>
      <c r="FB16" s="430">
        <f t="shared" si="71"/>
        <v>180</v>
      </c>
      <c r="FC16" s="402">
        <f t="shared" si="72"/>
        <v>60</v>
      </c>
      <c r="FD16" s="438">
        <f t="shared" si="73"/>
        <v>1.3333333333333348E-2</v>
      </c>
      <c r="FE16" s="430">
        <f t="shared" si="74"/>
        <v>240</v>
      </c>
      <c r="FF16" s="402">
        <f t="shared" si="75"/>
        <v>80</v>
      </c>
      <c r="FG16" s="438">
        <f t="shared" si="76"/>
        <v>1.3333333333333348E-2</v>
      </c>
      <c r="FH16" s="430">
        <f t="shared" si="77"/>
        <v>300</v>
      </c>
      <c r="FI16" s="402">
        <f t="shared" si="78"/>
        <v>100</v>
      </c>
      <c r="FJ16" s="438">
        <f t="shared" si="79"/>
        <v>1.3333333333333348E-2</v>
      </c>
    </row>
    <row r="17" spans="1:166" x14ac:dyDescent="0.45">
      <c r="A17" s="1">
        <v>13</v>
      </c>
      <c r="B17" s="305"/>
      <c r="C17" s="1">
        <v>2</v>
      </c>
      <c r="D17" s="1">
        <v>-1</v>
      </c>
      <c r="E17" s="1">
        <v>5</v>
      </c>
      <c r="F17" s="1">
        <f t="shared" si="0"/>
        <v>5</v>
      </c>
      <c r="G17" s="1"/>
      <c r="H17" s="1">
        <f t="shared" si="103"/>
        <v>0</v>
      </c>
      <c r="I17" s="1">
        <f t="shared" si="2"/>
        <v>0</v>
      </c>
      <c r="J17" s="1">
        <v>0</v>
      </c>
      <c r="K17" s="313">
        <v>0</v>
      </c>
      <c r="L17" s="314">
        <v>1</v>
      </c>
      <c r="M17" s="320">
        <f>ROUND(IF(L17&lt;&gt;0,$BI$4/('全局参数|GlobalPar'!$B$18/10000/E17)/L17,0),6)</f>
        <v>0</v>
      </c>
      <c r="N17" s="320">
        <f t="shared" si="3"/>
        <v>0</v>
      </c>
      <c r="O17" s="323">
        <v>0</v>
      </c>
      <c r="P17" s="322">
        <v>4</v>
      </c>
      <c r="Q17" s="331">
        <v>1</v>
      </c>
      <c r="R17" s="332" t="s">
        <v>1144</v>
      </c>
      <c r="S17" s="1"/>
      <c r="T17" s="333">
        <v>0</v>
      </c>
      <c r="U17" s="348">
        <v>0</v>
      </c>
      <c r="V17" s="348">
        <v>0</v>
      </c>
      <c r="W17" s="348">
        <v>0</v>
      </c>
      <c r="X17" s="1" t="s">
        <v>1145</v>
      </c>
      <c r="Y17" s="192" t="s">
        <v>1146</v>
      </c>
      <c r="Z17" s="192">
        <v>0</v>
      </c>
      <c r="AA17" s="192">
        <v>0</v>
      </c>
      <c r="AB17" s="354">
        <v>5</v>
      </c>
      <c r="AC17" s="1">
        <f t="shared" si="4"/>
        <v>-1</v>
      </c>
      <c r="AD17" s="1">
        <v>0</v>
      </c>
      <c r="AE17" s="1"/>
      <c r="AF17" s="1">
        <v>3</v>
      </c>
      <c r="AG17" s="1">
        <v>0</v>
      </c>
      <c r="AH17" s="1">
        <v>1.5</v>
      </c>
      <c r="AI17" s="1">
        <v>1</v>
      </c>
      <c r="AJ17" s="1">
        <v>1</v>
      </c>
      <c r="AK17" s="1">
        <v>1</v>
      </c>
      <c r="AL17" s="1"/>
      <c r="AM17" s="1"/>
      <c r="AN17" s="1"/>
      <c r="AO17" s="356">
        <v>0.6</v>
      </c>
      <c r="AP17" s="1">
        <v>18</v>
      </c>
      <c r="AQ17" s="1">
        <v>0.18</v>
      </c>
      <c r="AR17" s="1">
        <v>1</v>
      </c>
      <c r="AS17" s="1">
        <v>1</v>
      </c>
      <c r="AT17" s="1" t="s">
        <v>1147</v>
      </c>
      <c r="AU17" s="358" t="s">
        <v>1191</v>
      </c>
      <c r="AV17" s="358" t="s">
        <v>1192</v>
      </c>
      <c r="AW17" s="360" t="s">
        <v>1193</v>
      </c>
      <c r="AX17" s="360" t="s">
        <v>189</v>
      </c>
      <c r="AY17" s="1">
        <f t="shared" si="5"/>
        <v>3.75</v>
      </c>
      <c r="AZ17" s="362">
        <f t="shared" si="6"/>
        <v>16</v>
      </c>
      <c r="BA17" s="1" t="s">
        <v>1150</v>
      </c>
      <c r="BB17" s="1">
        <f t="shared" si="7"/>
        <v>1.119</v>
      </c>
      <c r="BC17" s="1"/>
      <c r="BD17" s="1">
        <f t="shared" si="8"/>
        <v>5</v>
      </c>
      <c r="BE17" s="1">
        <f t="shared" si="9"/>
        <v>5.3000000000000007</v>
      </c>
      <c r="BG17" s="1">
        <f t="shared" si="10"/>
        <v>0</v>
      </c>
      <c r="BR17" s="301">
        <f t="shared" si="11"/>
        <v>5.5</v>
      </c>
      <c r="BS17" s="356">
        <f t="shared" si="101"/>
        <v>0.1</v>
      </c>
      <c r="BT17" s="297">
        <v>1</v>
      </c>
      <c r="BU17" s="1">
        <v>5</v>
      </c>
      <c r="BV17" s="297">
        <v>2</v>
      </c>
      <c r="BW17" s="1">
        <v>2</v>
      </c>
      <c r="BX17" s="297">
        <v>3</v>
      </c>
      <c r="BY17" s="1">
        <v>1</v>
      </c>
      <c r="BZ17" s="1">
        <f t="shared" si="80"/>
        <v>1.5</v>
      </c>
      <c r="CA17" s="1">
        <f t="shared" si="81"/>
        <v>7.5</v>
      </c>
      <c r="CB17" s="389">
        <f t="shared" si="12"/>
        <v>4.4443999999999997E-2</v>
      </c>
      <c r="CC17" s="1">
        <f t="shared" si="13"/>
        <v>15</v>
      </c>
      <c r="CD17" s="391">
        <f t="shared" si="14"/>
        <v>2.2221999999999999E-2</v>
      </c>
      <c r="CE17" s="1">
        <f t="shared" si="13"/>
        <v>22.5</v>
      </c>
      <c r="CF17" s="392">
        <f t="shared" si="15"/>
        <v>1.4815E-2</v>
      </c>
      <c r="CH17" s="190">
        <v>2E-3</v>
      </c>
      <c r="CI17" s="403">
        <f t="shared" si="102"/>
        <v>0</v>
      </c>
      <c r="CJ17" s="402">
        <f t="shared" si="16"/>
        <v>0</v>
      </c>
      <c r="CK17" s="411">
        <f t="shared" si="17"/>
        <v>0</v>
      </c>
      <c r="CL17" s="411">
        <f t="shared" si="18"/>
        <v>0</v>
      </c>
      <c r="CM17" s="412">
        <f t="shared" si="82"/>
        <v>0</v>
      </c>
      <c r="CN17" s="413">
        <f t="shared" si="19"/>
        <v>0</v>
      </c>
      <c r="CO17" s="411">
        <f t="shared" si="20"/>
        <v>0</v>
      </c>
      <c r="CP17" s="429" t="e">
        <f t="shared" si="21"/>
        <v>#DIV/0!</v>
      </c>
      <c r="CQ17" s="430">
        <f t="shared" si="83"/>
        <v>4</v>
      </c>
      <c r="CR17" s="431">
        <f t="shared" si="84"/>
        <v>1</v>
      </c>
      <c r="CS17" s="332"/>
      <c r="CT17" s="322">
        <v>4</v>
      </c>
      <c r="CU17" s="331">
        <v>1</v>
      </c>
      <c r="CW17" s="436"/>
      <c r="DB17" s="438"/>
      <c r="DC17" s="430">
        <v>4</v>
      </c>
      <c r="DD17" s="402">
        <v>1</v>
      </c>
      <c r="DE17" s="438">
        <f t="shared" si="22"/>
        <v>2.000000000000002E-4</v>
      </c>
      <c r="DF17" s="430">
        <f t="shared" si="23"/>
        <v>4</v>
      </c>
      <c r="DG17" s="402">
        <f t="shared" si="85"/>
        <v>1</v>
      </c>
      <c r="DH17" s="438">
        <f t="shared" si="25"/>
        <v>4.000000000000004E-4</v>
      </c>
      <c r="DI17" s="430">
        <f t="shared" si="26"/>
        <v>4</v>
      </c>
      <c r="DJ17" s="402">
        <f t="shared" si="86"/>
        <v>1</v>
      </c>
      <c r="DK17" s="438">
        <f t="shared" si="28"/>
        <v>6.000000000000006E-4</v>
      </c>
      <c r="DL17" s="430">
        <f t="shared" si="87"/>
        <v>4</v>
      </c>
      <c r="DM17" s="402">
        <f t="shared" si="88"/>
        <v>1</v>
      </c>
      <c r="DN17" s="438">
        <f t="shared" si="31"/>
        <v>8.000000000000008E-4</v>
      </c>
      <c r="DO17" s="430">
        <f t="shared" si="89"/>
        <v>4</v>
      </c>
      <c r="DP17" s="402">
        <f t="shared" si="90"/>
        <v>1</v>
      </c>
      <c r="DQ17" s="438">
        <f t="shared" si="34"/>
        <v>1.0000000000000011E-3</v>
      </c>
      <c r="DR17" s="430">
        <f t="shared" si="91"/>
        <v>4</v>
      </c>
      <c r="DS17" s="402">
        <f t="shared" si="92"/>
        <v>1</v>
      </c>
      <c r="DT17" s="438">
        <f t="shared" si="37"/>
        <v>2.0000000000000022E-3</v>
      </c>
      <c r="DU17" s="430">
        <f t="shared" si="93"/>
        <v>4</v>
      </c>
      <c r="DV17" s="402">
        <f t="shared" si="94"/>
        <v>1</v>
      </c>
      <c r="DW17" s="438">
        <f t="shared" si="40"/>
        <v>4.0000000000000044E-3</v>
      </c>
      <c r="DX17" s="430">
        <f t="shared" si="95"/>
        <v>4</v>
      </c>
      <c r="DY17" s="402">
        <f t="shared" si="96"/>
        <v>1</v>
      </c>
      <c r="DZ17" s="438">
        <f t="shared" si="43"/>
        <v>6.0000000000000062E-3</v>
      </c>
      <c r="EA17" s="430">
        <f t="shared" si="97"/>
        <v>4</v>
      </c>
      <c r="EB17" s="402">
        <f t="shared" si="98"/>
        <v>1</v>
      </c>
      <c r="EC17" s="438">
        <f t="shared" si="46"/>
        <v>8.0000000000000088E-3</v>
      </c>
      <c r="ED17" s="430">
        <f t="shared" si="99"/>
        <v>4</v>
      </c>
      <c r="EE17" s="402">
        <f t="shared" si="100"/>
        <v>1</v>
      </c>
      <c r="EF17" s="438">
        <f t="shared" si="49"/>
        <v>1.0000000000000011E-2</v>
      </c>
      <c r="EG17" s="430">
        <f t="shared" si="50"/>
        <v>8</v>
      </c>
      <c r="EH17" s="402">
        <f t="shared" si="51"/>
        <v>2</v>
      </c>
      <c r="EI17" s="438">
        <f t="shared" si="52"/>
        <v>1.0000000000000011E-2</v>
      </c>
      <c r="EJ17" s="430">
        <f t="shared" si="53"/>
        <v>16</v>
      </c>
      <c r="EK17" s="402">
        <f t="shared" si="54"/>
        <v>4</v>
      </c>
      <c r="EL17" s="438">
        <f t="shared" si="55"/>
        <v>1.0000000000000011E-2</v>
      </c>
      <c r="EM17" s="430">
        <f t="shared" si="56"/>
        <v>24</v>
      </c>
      <c r="EN17" s="402">
        <f t="shared" si="57"/>
        <v>6</v>
      </c>
      <c r="EO17" s="438">
        <f t="shared" si="58"/>
        <v>1.0000000000000011E-2</v>
      </c>
      <c r="EP17" s="430">
        <f t="shared" si="59"/>
        <v>32</v>
      </c>
      <c r="EQ17" s="402">
        <f t="shared" si="60"/>
        <v>8</v>
      </c>
      <c r="ER17" s="438">
        <f t="shared" si="61"/>
        <v>1.0000000000000011E-2</v>
      </c>
      <c r="ES17" s="430">
        <f t="shared" si="62"/>
        <v>40</v>
      </c>
      <c r="ET17" s="402">
        <f t="shared" si="63"/>
        <v>10</v>
      </c>
      <c r="EU17" s="438">
        <f t="shared" si="64"/>
        <v>1.0000000000000011E-2</v>
      </c>
      <c r="EV17" s="430">
        <f t="shared" si="65"/>
        <v>80</v>
      </c>
      <c r="EW17" s="402">
        <f t="shared" si="66"/>
        <v>20</v>
      </c>
      <c r="EX17" s="438">
        <f t="shared" si="67"/>
        <v>1.0000000000000011E-2</v>
      </c>
      <c r="EY17" s="430">
        <f t="shared" si="68"/>
        <v>160</v>
      </c>
      <c r="EZ17" s="402">
        <f t="shared" si="69"/>
        <v>40</v>
      </c>
      <c r="FA17" s="438">
        <f t="shared" si="70"/>
        <v>1.0000000000000011E-2</v>
      </c>
      <c r="FB17" s="430">
        <f t="shared" si="71"/>
        <v>240</v>
      </c>
      <c r="FC17" s="402">
        <f t="shared" si="72"/>
        <v>60</v>
      </c>
      <c r="FD17" s="438">
        <f t="shared" si="73"/>
        <v>1.0000000000000011E-2</v>
      </c>
      <c r="FE17" s="430">
        <f t="shared" si="74"/>
        <v>320</v>
      </c>
      <c r="FF17" s="402">
        <f t="shared" si="75"/>
        <v>80</v>
      </c>
      <c r="FG17" s="438">
        <f t="shared" si="76"/>
        <v>1.0000000000000011E-2</v>
      </c>
      <c r="FH17" s="430">
        <f t="shared" si="77"/>
        <v>400</v>
      </c>
      <c r="FI17" s="402">
        <f t="shared" si="78"/>
        <v>100</v>
      </c>
      <c r="FJ17" s="438">
        <f t="shared" si="79"/>
        <v>1.0000000000000011E-2</v>
      </c>
    </row>
    <row r="18" spans="1:166" x14ac:dyDescent="0.45">
      <c r="A18" s="1">
        <v>14</v>
      </c>
      <c r="B18" s="305"/>
      <c r="C18" s="1">
        <v>2</v>
      </c>
      <c r="D18" s="1">
        <v>-1</v>
      </c>
      <c r="E18" s="1">
        <v>5</v>
      </c>
      <c r="F18" s="1">
        <f t="shared" si="0"/>
        <v>5</v>
      </c>
      <c r="G18" s="1"/>
      <c r="H18" s="1">
        <f t="shared" si="103"/>
        <v>0</v>
      </c>
      <c r="I18" s="1">
        <f t="shared" si="2"/>
        <v>0</v>
      </c>
      <c r="J18" s="1">
        <v>0</v>
      </c>
      <c r="K18" s="313">
        <v>0</v>
      </c>
      <c r="L18" s="314">
        <v>1</v>
      </c>
      <c r="M18" s="320">
        <f>ROUND(IF(L18&lt;&gt;0,$BI$4/('全局参数|GlobalPar'!$B$18/10000/E18)/L18,0),6)</f>
        <v>0</v>
      </c>
      <c r="N18" s="320">
        <f t="shared" si="3"/>
        <v>0</v>
      </c>
      <c r="O18" s="323">
        <v>0</v>
      </c>
      <c r="P18" s="322">
        <v>4</v>
      </c>
      <c r="Q18" s="331">
        <v>1</v>
      </c>
      <c r="R18" s="332" t="s">
        <v>1144</v>
      </c>
      <c r="S18" s="1"/>
      <c r="T18" s="333">
        <v>0</v>
      </c>
      <c r="U18" s="348">
        <v>0</v>
      </c>
      <c r="V18" s="348">
        <v>0</v>
      </c>
      <c r="W18" s="348">
        <v>0</v>
      </c>
      <c r="X18" s="1" t="s">
        <v>1145</v>
      </c>
      <c r="Y18" s="192" t="s">
        <v>1146</v>
      </c>
      <c r="Z18" s="192">
        <v>0</v>
      </c>
      <c r="AA18" s="192">
        <v>0</v>
      </c>
      <c r="AB18" s="354">
        <v>6</v>
      </c>
      <c r="AC18" s="1">
        <f t="shared" si="4"/>
        <v>-1</v>
      </c>
      <c r="AD18" s="1">
        <v>0</v>
      </c>
      <c r="AE18" s="1"/>
      <c r="AF18" s="1">
        <v>3</v>
      </c>
      <c r="AG18" s="1">
        <v>1</v>
      </c>
      <c r="AH18" s="1">
        <v>1.5</v>
      </c>
      <c r="AI18" s="1">
        <v>1</v>
      </c>
      <c r="AJ18" s="1">
        <v>1</v>
      </c>
      <c r="AK18" s="1">
        <v>1</v>
      </c>
      <c r="AL18" s="1"/>
      <c r="AM18" s="1"/>
      <c r="AN18" s="1"/>
      <c r="AO18" s="356">
        <v>0.6</v>
      </c>
      <c r="AP18" s="1">
        <v>20</v>
      </c>
      <c r="AQ18" s="1">
        <v>0.18</v>
      </c>
      <c r="AR18" s="1">
        <v>1</v>
      </c>
      <c r="AS18" s="1">
        <v>1</v>
      </c>
      <c r="AT18" s="1" t="s">
        <v>1147</v>
      </c>
      <c r="AU18" s="358" t="s">
        <v>1194</v>
      </c>
      <c r="AV18" s="358" t="s">
        <v>1195</v>
      </c>
      <c r="AW18" s="360" t="s">
        <v>1196</v>
      </c>
      <c r="AX18" s="360" t="s">
        <v>189</v>
      </c>
      <c r="AY18" s="1">
        <f t="shared" si="5"/>
        <v>3.75</v>
      </c>
      <c r="AZ18" s="362">
        <f t="shared" si="6"/>
        <v>16</v>
      </c>
      <c r="BA18" s="1" t="s">
        <v>1150</v>
      </c>
      <c r="BB18" s="1">
        <f t="shared" si="7"/>
        <v>1.119</v>
      </c>
      <c r="BC18" s="1"/>
      <c r="BD18" s="1">
        <f t="shared" si="8"/>
        <v>5</v>
      </c>
      <c r="BE18" s="1">
        <f t="shared" si="9"/>
        <v>5.3000000000000007</v>
      </c>
      <c r="BG18" s="1">
        <f t="shared" si="10"/>
        <v>0</v>
      </c>
      <c r="BR18" s="301">
        <f t="shared" si="11"/>
        <v>5.5</v>
      </c>
      <c r="BS18" s="356">
        <f t="shared" si="101"/>
        <v>0.1</v>
      </c>
      <c r="BT18" s="297">
        <v>1</v>
      </c>
      <c r="BU18" s="1">
        <v>5</v>
      </c>
      <c r="BV18" s="297">
        <v>2</v>
      </c>
      <c r="BW18" s="1">
        <v>2</v>
      </c>
      <c r="BX18" s="297">
        <v>3</v>
      </c>
      <c r="BY18" s="1">
        <v>1</v>
      </c>
      <c r="BZ18" s="1">
        <f t="shared" si="80"/>
        <v>1.5</v>
      </c>
      <c r="CA18" s="1">
        <f t="shared" si="81"/>
        <v>7.5</v>
      </c>
      <c r="CB18" s="389">
        <f t="shared" si="12"/>
        <v>4.4443999999999997E-2</v>
      </c>
      <c r="CC18" s="1">
        <f t="shared" si="13"/>
        <v>15</v>
      </c>
      <c r="CD18" s="391">
        <f t="shared" si="14"/>
        <v>2.2221999999999999E-2</v>
      </c>
      <c r="CE18" s="1">
        <f t="shared" si="13"/>
        <v>22.5</v>
      </c>
      <c r="CF18" s="392">
        <f t="shared" si="15"/>
        <v>1.4815E-2</v>
      </c>
      <c r="CH18" s="190">
        <v>2E-3</v>
      </c>
      <c r="CI18" s="403">
        <f t="shared" si="102"/>
        <v>0</v>
      </c>
      <c r="CJ18" s="402">
        <f t="shared" si="16"/>
        <v>0</v>
      </c>
      <c r="CK18" s="411">
        <f t="shared" si="17"/>
        <v>0</v>
      </c>
      <c r="CL18" s="411">
        <f t="shared" si="18"/>
        <v>0</v>
      </c>
      <c r="CM18" s="412">
        <f t="shared" si="82"/>
        <v>0</v>
      </c>
      <c r="CN18" s="413">
        <f t="shared" si="19"/>
        <v>0</v>
      </c>
      <c r="CO18" s="411">
        <f t="shared" si="20"/>
        <v>0</v>
      </c>
      <c r="CP18" s="429" t="e">
        <f t="shared" si="21"/>
        <v>#DIV/0!</v>
      </c>
      <c r="CQ18" s="430">
        <f t="shared" si="83"/>
        <v>4</v>
      </c>
      <c r="CR18" s="431">
        <f t="shared" si="84"/>
        <v>1</v>
      </c>
      <c r="CS18" s="332"/>
      <c r="CT18" s="322">
        <v>4</v>
      </c>
      <c r="CU18" s="331">
        <v>1</v>
      </c>
      <c r="CW18" s="436"/>
      <c r="DB18" s="438"/>
      <c r="DC18" s="430">
        <v>4</v>
      </c>
      <c r="DD18" s="402">
        <v>1</v>
      </c>
      <c r="DE18" s="438">
        <f t="shared" si="22"/>
        <v>2.000000000000002E-4</v>
      </c>
      <c r="DF18" s="430">
        <f t="shared" si="23"/>
        <v>4</v>
      </c>
      <c r="DG18" s="402">
        <f t="shared" si="85"/>
        <v>1</v>
      </c>
      <c r="DH18" s="438">
        <f t="shared" si="25"/>
        <v>4.000000000000004E-4</v>
      </c>
      <c r="DI18" s="430">
        <f t="shared" si="26"/>
        <v>4</v>
      </c>
      <c r="DJ18" s="402">
        <f t="shared" si="86"/>
        <v>1</v>
      </c>
      <c r="DK18" s="438">
        <f t="shared" si="28"/>
        <v>6.000000000000006E-4</v>
      </c>
      <c r="DL18" s="430">
        <f t="shared" si="87"/>
        <v>4</v>
      </c>
      <c r="DM18" s="402">
        <f t="shared" si="88"/>
        <v>1</v>
      </c>
      <c r="DN18" s="438">
        <f t="shared" si="31"/>
        <v>8.000000000000008E-4</v>
      </c>
      <c r="DO18" s="430">
        <f t="shared" si="89"/>
        <v>4</v>
      </c>
      <c r="DP18" s="402">
        <f t="shared" si="90"/>
        <v>1</v>
      </c>
      <c r="DQ18" s="438">
        <f t="shared" si="34"/>
        <v>1.0000000000000011E-3</v>
      </c>
      <c r="DR18" s="430">
        <f t="shared" si="91"/>
        <v>4</v>
      </c>
      <c r="DS18" s="402">
        <f t="shared" si="92"/>
        <v>1</v>
      </c>
      <c r="DT18" s="438">
        <f t="shared" si="37"/>
        <v>2.0000000000000022E-3</v>
      </c>
      <c r="DU18" s="430">
        <f t="shared" si="93"/>
        <v>4</v>
      </c>
      <c r="DV18" s="402">
        <f t="shared" si="94"/>
        <v>1</v>
      </c>
      <c r="DW18" s="438">
        <f t="shared" si="40"/>
        <v>4.0000000000000044E-3</v>
      </c>
      <c r="DX18" s="430">
        <f t="shared" si="95"/>
        <v>4</v>
      </c>
      <c r="DY18" s="402">
        <f t="shared" si="96"/>
        <v>1</v>
      </c>
      <c r="DZ18" s="438">
        <f t="shared" si="43"/>
        <v>6.0000000000000062E-3</v>
      </c>
      <c r="EA18" s="430">
        <f t="shared" si="97"/>
        <v>4</v>
      </c>
      <c r="EB18" s="402">
        <f t="shared" si="98"/>
        <v>1</v>
      </c>
      <c r="EC18" s="438">
        <f t="shared" si="46"/>
        <v>8.0000000000000088E-3</v>
      </c>
      <c r="ED18" s="430">
        <f t="shared" si="99"/>
        <v>4</v>
      </c>
      <c r="EE18" s="402">
        <f t="shared" si="100"/>
        <v>1</v>
      </c>
      <c r="EF18" s="438">
        <f t="shared" si="49"/>
        <v>1.0000000000000011E-2</v>
      </c>
      <c r="EG18" s="430">
        <f t="shared" si="50"/>
        <v>8</v>
      </c>
      <c r="EH18" s="402">
        <f t="shared" si="51"/>
        <v>2</v>
      </c>
      <c r="EI18" s="438">
        <f t="shared" si="52"/>
        <v>1.0000000000000011E-2</v>
      </c>
      <c r="EJ18" s="430">
        <f t="shared" si="53"/>
        <v>16</v>
      </c>
      <c r="EK18" s="402">
        <f t="shared" si="54"/>
        <v>4</v>
      </c>
      <c r="EL18" s="438">
        <f t="shared" si="55"/>
        <v>1.0000000000000011E-2</v>
      </c>
      <c r="EM18" s="430">
        <f t="shared" si="56"/>
        <v>24</v>
      </c>
      <c r="EN18" s="402">
        <f t="shared" si="57"/>
        <v>6</v>
      </c>
      <c r="EO18" s="438">
        <f t="shared" si="58"/>
        <v>1.0000000000000011E-2</v>
      </c>
      <c r="EP18" s="430">
        <f t="shared" si="59"/>
        <v>32</v>
      </c>
      <c r="EQ18" s="402">
        <f t="shared" si="60"/>
        <v>8</v>
      </c>
      <c r="ER18" s="438">
        <f t="shared" si="61"/>
        <v>1.0000000000000011E-2</v>
      </c>
      <c r="ES18" s="430">
        <f t="shared" si="62"/>
        <v>40</v>
      </c>
      <c r="ET18" s="402">
        <f t="shared" si="63"/>
        <v>10</v>
      </c>
      <c r="EU18" s="438">
        <f t="shared" si="64"/>
        <v>1.0000000000000011E-2</v>
      </c>
      <c r="EV18" s="430">
        <f t="shared" si="65"/>
        <v>80</v>
      </c>
      <c r="EW18" s="402">
        <f t="shared" si="66"/>
        <v>20</v>
      </c>
      <c r="EX18" s="438">
        <f t="shared" si="67"/>
        <v>1.0000000000000011E-2</v>
      </c>
      <c r="EY18" s="430">
        <f t="shared" si="68"/>
        <v>160</v>
      </c>
      <c r="EZ18" s="402">
        <f t="shared" si="69"/>
        <v>40</v>
      </c>
      <c r="FA18" s="438">
        <f t="shared" si="70"/>
        <v>1.0000000000000011E-2</v>
      </c>
      <c r="FB18" s="430">
        <f t="shared" si="71"/>
        <v>240</v>
      </c>
      <c r="FC18" s="402">
        <f t="shared" si="72"/>
        <v>60</v>
      </c>
      <c r="FD18" s="438">
        <f t="shared" si="73"/>
        <v>1.0000000000000011E-2</v>
      </c>
      <c r="FE18" s="430">
        <f t="shared" si="74"/>
        <v>320</v>
      </c>
      <c r="FF18" s="402">
        <f t="shared" si="75"/>
        <v>80</v>
      </c>
      <c r="FG18" s="438">
        <f t="shared" si="76"/>
        <v>1.0000000000000011E-2</v>
      </c>
      <c r="FH18" s="430">
        <f t="shared" si="77"/>
        <v>400</v>
      </c>
      <c r="FI18" s="402">
        <f t="shared" si="78"/>
        <v>100</v>
      </c>
      <c r="FJ18" s="438">
        <f t="shared" si="79"/>
        <v>1.0000000000000011E-2</v>
      </c>
    </row>
    <row r="19" spans="1:166" x14ac:dyDescent="0.45">
      <c r="A19" s="1">
        <v>15</v>
      </c>
      <c r="B19" s="306" t="s">
        <v>1197</v>
      </c>
      <c r="C19" s="1">
        <v>2</v>
      </c>
      <c r="D19" s="1">
        <v>-1</v>
      </c>
      <c r="E19" s="1">
        <v>6</v>
      </c>
      <c r="F19" s="1">
        <f t="shared" si="0"/>
        <v>6</v>
      </c>
      <c r="G19" s="1"/>
      <c r="H19" s="1">
        <f t="shared" si="103"/>
        <v>0</v>
      </c>
      <c r="I19" s="1">
        <f t="shared" si="2"/>
        <v>0</v>
      </c>
      <c r="J19" s="1">
        <v>0</v>
      </c>
      <c r="K19" s="313">
        <v>0</v>
      </c>
      <c r="L19" s="314">
        <v>1</v>
      </c>
      <c r="M19" s="320">
        <f>ROUND(IF(L19&lt;&gt;0,$BI$4/('全局参数|GlobalPar'!$B$18/10000/E19)/L19,0),6)</f>
        <v>0</v>
      </c>
      <c r="N19" s="320">
        <f t="shared" si="3"/>
        <v>0</v>
      </c>
      <c r="O19" s="323">
        <v>0</v>
      </c>
      <c r="P19" s="322">
        <v>5</v>
      </c>
      <c r="Q19" s="331">
        <v>1</v>
      </c>
      <c r="R19" s="332" t="s">
        <v>1144</v>
      </c>
      <c r="S19" s="1"/>
      <c r="T19" s="333">
        <v>0</v>
      </c>
      <c r="U19" s="348">
        <v>0</v>
      </c>
      <c r="V19" s="348">
        <v>0</v>
      </c>
      <c r="W19" s="348">
        <v>0</v>
      </c>
      <c r="X19" s="1" t="s">
        <v>1145</v>
      </c>
      <c r="Y19" s="192" t="s">
        <v>1146</v>
      </c>
      <c r="Z19" s="192">
        <v>0</v>
      </c>
      <c r="AA19" s="192">
        <v>0</v>
      </c>
      <c r="AB19" s="354">
        <v>6</v>
      </c>
      <c r="AC19" s="1">
        <f t="shared" si="4"/>
        <v>-1</v>
      </c>
      <c r="AD19" s="1">
        <v>0</v>
      </c>
      <c r="AE19" s="1"/>
      <c r="AF19" s="1">
        <v>3</v>
      </c>
      <c r="AG19" s="1">
        <v>0</v>
      </c>
      <c r="AH19" s="1">
        <v>1</v>
      </c>
      <c r="AI19" s="1">
        <v>1</v>
      </c>
      <c r="AJ19" s="1">
        <v>1</v>
      </c>
      <c r="AK19" s="1">
        <v>1</v>
      </c>
      <c r="AL19" s="1"/>
      <c r="AM19" s="1"/>
      <c r="AN19" s="1"/>
      <c r="AO19" s="356">
        <v>0.6</v>
      </c>
      <c r="AP19" s="1">
        <v>25</v>
      </c>
      <c r="AQ19" s="1">
        <v>0.18</v>
      </c>
      <c r="AR19" s="1">
        <v>1</v>
      </c>
      <c r="AS19" s="1">
        <v>1</v>
      </c>
      <c r="AT19" s="1" t="s">
        <v>1147</v>
      </c>
      <c r="AU19" s="358" t="s">
        <v>1198</v>
      </c>
      <c r="AV19" s="358" t="s">
        <v>1199</v>
      </c>
      <c r="AW19" s="360" t="s">
        <v>149</v>
      </c>
      <c r="AX19" s="360" t="s">
        <v>189</v>
      </c>
      <c r="AY19" s="1">
        <f t="shared" si="5"/>
        <v>4.5</v>
      </c>
      <c r="AZ19" s="362">
        <f t="shared" si="6"/>
        <v>13.333333333333334</v>
      </c>
      <c r="BA19" s="1" t="s">
        <v>1150</v>
      </c>
      <c r="BB19" s="1">
        <f t="shared" si="7"/>
        <v>0.746</v>
      </c>
      <c r="BC19" s="1"/>
      <c r="BD19" s="1">
        <f t="shared" si="8"/>
        <v>6</v>
      </c>
      <c r="BE19" s="1">
        <f t="shared" si="9"/>
        <v>6.36</v>
      </c>
      <c r="BG19" s="1">
        <f t="shared" si="10"/>
        <v>0</v>
      </c>
      <c r="BR19" s="301">
        <f t="shared" si="11"/>
        <v>6.6000000000000005</v>
      </c>
      <c r="BS19" s="356">
        <f t="shared" si="101"/>
        <v>0.1</v>
      </c>
      <c r="BT19" s="297">
        <v>1</v>
      </c>
      <c r="BU19" s="1">
        <v>5</v>
      </c>
      <c r="BV19" s="297">
        <v>2</v>
      </c>
      <c r="BW19" s="1">
        <v>2</v>
      </c>
      <c r="BX19" s="297">
        <v>3</v>
      </c>
      <c r="BY19" s="1">
        <v>1</v>
      </c>
      <c r="BZ19" s="1">
        <f t="shared" si="80"/>
        <v>1.5</v>
      </c>
      <c r="CA19" s="1">
        <f t="shared" si="81"/>
        <v>7.5</v>
      </c>
      <c r="CB19" s="389">
        <f t="shared" si="12"/>
        <v>5.3332999999999998E-2</v>
      </c>
      <c r="CC19" s="1">
        <f t="shared" si="13"/>
        <v>15</v>
      </c>
      <c r="CD19" s="391">
        <f t="shared" si="14"/>
        <v>2.6667E-2</v>
      </c>
      <c r="CE19" s="1">
        <f t="shared" si="13"/>
        <v>22.5</v>
      </c>
      <c r="CF19" s="392">
        <f t="shared" si="15"/>
        <v>1.7777999999999999E-2</v>
      </c>
      <c r="CH19" s="190">
        <v>2E-3</v>
      </c>
      <c r="CI19" s="403">
        <f t="shared" si="102"/>
        <v>0</v>
      </c>
      <c r="CJ19" s="402">
        <f t="shared" si="16"/>
        <v>0</v>
      </c>
      <c r="CK19" s="411">
        <f t="shared" si="17"/>
        <v>0</v>
      </c>
      <c r="CL19" s="411">
        <f t="shared" si="18"/>
        <v>0</v>
      </c>
      <c r="CM19" s="412">
        <f t="shared" si="82"/>
        <v>0</v>
      </c>
      <c r="CN19" s="413">
        <f t="shared" si="19"/>
        <v>0</v>
      </c>
      <c r="CO19" s="411">
        <f t="shared" si="20"/>
        <v>0</v>
      </c>
      <c r="CP19" s="429" t="e">
        <f t="shared" si="21"/>
        <v>#DIV/0!</v>
      </c>
      <c r="CQ19" s="430">
        <f t="shared" si="83"/>
        <v>5</v>
      </c>
      <c r="CR19" s="431">
        <f t="shared" si="84"/>
        <v>1</v>
      </c>
      <c r="CS19" s="332"/>
      <c r="CT19" s="322">
        <v>5</v>
      </c>
      <c r="CU19" s="331">
        <v>1</v>
      </c>
      <c r="CW19" s="436"/>
      <c r="DB19" s="438"/>
      <c r="DC19" s="430">
        <v>5</v>
      </c>
      <c r="DD19" s="402">
        <v>1</v>
      </c>
      <c r="DE19" s="438">
        <f t="shared" si="22"/>
        <v>1.9200000000000019E-4</v>
      </c>
      <c r="DF19" s="430">
        <f t="shared" si="23"/>
        <v>5</v>
      </c>
      <c r="DG19" s="402">
        <f t="shared" si="85"/>
        <v>1</v>
      </c>
      <c r="DH19" s="438">
        <f t="shared" si="25"/>
        <v>3.8400000000000039E-4</v>
      </c>
      <c r="DI19" s="430">
        <f t="shared" si="26"/>
        <v>5</v>
      </c>
      <c r="DJ19" s="402">
        <f t="shared" si="86"/>
        <v>1</v>
      </c>
      <c r="DK19" s="438">
        <f t="shared" si="28"/>
        <v>5.7600000000000056E-4</v>
      </c>
      <c r="DL19" s="430">
        <f t="shared" si="87"/>
        <v>5</v>
      </c>
      <c r="DM19" s="402">
        <f t="shared" si="88"/>
        <v>1</v>
      </c>
      <c r="DN19" s="438">
        <f t="shared" si="31"/>
        <v>7.6800000000000078E-4</v>
      </c>
      <c r="DO19" s="430">
        <f t="shared" si="89"/>
        <v>5</v>
      </c>
      <c r="DP19" s="402">
        <f t="shared" si="90"/>
        <v>1</v>
      </c>
      <c r="DQ19" s="438">
        <f t="shared" si="34"/>
        <v>9.60000000000001E-4</v>
      </c>
      <c r="DR19" s="430">
        <f t="shared" si="91"/>
        <v>5</v>
      </c>
      <c r="DS19" s="402">
        <f t="shared" si="92"/>
        <v>1</v>
      </c>
      <c r="DT19" s="438">
        <f t="shared" si="37"/>
        <v>1.920000000000002E-3</v>
      </c>
      <c r="DU19" s="430">
        <f t="shared" si="93"/>
        <v>5</v>
      </c>
      <c r="DV19" s="402">
        <f t="shared" si="94"/>
        <v>1</v>
      </c>
      <c r="DW19" s="438">
        <f t="shared" si="40"/>
        <v>3.840000000000004E-3</v>
      </c>
      <c r="DX19" s="430">
        <f t="shared" si="95"/>
        <v>5</v>
      </c>
      <c r="DY19" s="402">
        <f t="shared" si="96"/>
        <v>1</v>
      </c>
      <c r="DZ19" s="438">
        <f t="shared" si="43"/>
        <v>5.7600000000000056E-3</v>
      </c>
      <c r="EA19" s="430">
        <f t="shared" si="97"/>
        <v>5</v>
      </c>
      <c r="EB19" s="402">
        <f t="shared" si="98"/>
        <v>1</v>
      </c>
      <c r="EC19" s="438">
        <f t="shared" si="46"/>
        <v>7.680000000000008E-3</v>
      </c>
      <c r="ED19" s="430">
        <f t="shared" si="99"/>
        <v>5</v>
      </c>
      <c r="EE19" s="402">
        <f t="shared" si="100"/>
        <v>1</v>
      </c>
      <c r="EF19" s="438">
        <f t="shared" si="49"/>
        <v>9.6000000000000096E-3</v>
      </c>
      <c r="EG19" s="430">
        <f t="shared" si="50"/>
        <v>10</v>
      </c>
      <c r="EH19" s="402">
        <f t="shared" si="51"/>
        <v>2</v>
      </c>
      <c r="EI19" s="438">
        <f t="shared" si="52"/>
        <v>9.6000000000000096E-3</v>
      </c>
      <c r="EJ19" s="430">
        <f t="shared" si="53"/>
        <v>20</v>
      </c>
      <c r="EK19" s="402">
        <f t="shared" si="54"/>
        <v>4</v>
      </c>
      <c r="EL19" s="438">
        <f t="shared" si="55"/>
        <v>9.6000000000000096E-3</v>
      </c>
      <c r="EM19" s="430">
        <f t="shared" si="56"/>
        <v>30</v>
      </c>
      <c r="EN19" s="402">
        <f t="shared" si="57"/>
        <v>6</v>
      </c>
      <c r="EO19" s="438">
        <f t="shared" si="58"/>
        <v>9.6000000000000096E-3</v>
      </c>
      <c r="EP19" s="430">
        <f t="shared" si="59"/>
        <v>40</v>
      </c>
      <c r="EQ19" s="402">
        <f t="shared" si="60"/>
        <v>8</v>
      </c>
      <c r="ER19" s="438">
        <f t="shared" si="61"/>
        <v>9.6000000000000096E-3</v>
      </c>
      <c r="ES19" s="430">
        <f t="shared" si="62"/>
        <v>50</v>
      </c>
      <c r="ET19" s="402">
        <f t="shared" si="63"/>
        <v>10</v>
      </c>
      <c r="EU19" s="438">
        <f t="shared" si="64"/>
        <v>9.6000000000000096E-3</v>
      </c>
      <c r="EV19" s="430">
        <f t="shared" si="65"/>
        <v>100</v>
      </c>
      <c r="EW19" s="402">
        <f t="shared" si="66"/>
        <v>20</v>
      </c>
      <c r="EX19" s="438">
        <f t="shared" si="67"/>
        <v>9.6000000000000096E-3</v>
      </c>
      <c r="EY19" s="430">
        <f t="shared" si="68"/>
        <v>200</v>
      </c>
      <c r="EZ19" s="402">
        <f t="shared" si="69"/>
        <v>40</v>
      </c>
      <c r="FA19" s="438">
        <f t="shared" si="70"/>
        <v>9.6000000000000096E-3</v>
      </c>
      <c r="FB19" s="430">
        <f t="shared" si="71"/>
        <v>300</v>
      </c>
      <c r="FC19" s="402">
        <f t="shared" si="72"/>
        <v>60</v>
      </c>
      <c r="FD19" s="438">
        <f t="shared" si="73"/>
        <v>9.6000000000000096E-3</v>
      </c>
      <c r="FE19" s="430">
        <f t="shared" si="74"/>
        <v>400</v>
      </c>
      <c r="FF19" s="402">
        <f t="shared" si="75"/>
        <v>80</v>
      </c>
      <c r="FG19" s="438">
        <f t="shared" si="76"/>
        <v>9.6000000000000096E-3</v>
      </c>
      <c r="FH19" s="430">
        <f t="shared" si="77"/>
        <v>500</v>
      </c>
      <c r="FI19" s="402">
        <f t="shared" si="78"/>
        <v>100</v>
      </c>
      <c r="FJ19" s="438">
        <f t="shared" si="79"/>
        <v>9.6000000000000096E-3</v>
      </c>
    </row>
    <row r="20" spans="1:166" x14ac:dyDescent="0.45">
      <c r="A20" s="1">
        <v>16</v>
      </c>
      <c r="B20" s="306" t="s">
        <v>1200</v>
      </c>
      <c r="C20" s="1">
        <v>2</v>
      </c>
      <c r="D20" s="1">
        <v>-1</v>
      </c>
      <c r="E20" s="1">
        <v>8</v>
      </c>
      <c r="F20" s="1">
        <f t="shared" si="0"/>
        <v>8</v>
      </c>
      <c r="G20" s="1"/>
      <c r="H20" s="1">
        <f t="shared" si="103"/>
        <v>0</v>
      </c>
      <c r="I20" s="1">
        <f t="shared" si="2"/>
        <v>0</v>
      </c>
      <c r="J20" s="1">
        <v>0</v>
      </c>
      <c r="K20" s="313">
        <v>0</v>
      </c>
      <c r="L20" s="314">
        <v>1</v>
      </c>
      <c r="M20" s="320">
        <f>ROUND(IF(L20&lt;&gt;0,$BI$4/('全局参数|GlobalPar'!$B$18/10000/E20)/L20,0),6)</f>
        <v>0</v>
      </c>
      <c r="N20" s="320">
        <f t="shared" si="3"/>
        <v>0</v>
      </c>
      <c r="O20" s="323">
        <v>0</v>
      </c>
      <c r="P20" s="322">
        <v>6</v>
      </c>
      <c r="Q20" s="331">
        <v>1</v>
      </c>
      <c r="R20" s="332" t="s">
        <v>1144</v>
      </c>
      <c r="S20" s="1"/>
      <c r="T20" s="333">
        <v>0</v>
      </c>
      <c r="U20" s="348">
        <v>0</v>
      </c>
      <c r="V20" s="348">
        <v>0</v>
      </c>
      <c r="W20" s="348">
        <v>0</v>
      </c>
      <c r="X20" s="1" t="s">
        <v>1145</v>
      </c>
      <c r="Y20" s="192" t="s">
        <v>1146</v>
      </c>
      <c r="Z20" s="192">
        <v>0</v>
      </c>
      <c r="AA20" s="192">
        <v>0</v>
      </c>
      <c r="AB20" s="354">
        <v>6</v>
      </c>
      <c r="AC20" s="1">
        <f t="shared" si="4"/>
        <v>-1</v>
      </c>
      <c r="AD20" s="1">
        <v>0</v>
      </c>
      <c r="AE20" s="1"/>
      <c r="AF20" s="1">
        <v>3</v>
      </c>
      <c r="AG20" s="1">
        <v>0</v>
      </c>
      <c r="AH20" s="1">
        <v>1.5</v>
      </c>
      <c r="AI20" s="1">
        <v>1</v>
      </c>
      <c r="AJ20" s="1">
        <v>1</v>
      </c>
      <c r="AK20" s="1">
        <v>1</v>
      </c>
      <c r="AL20" s="1"/>
      <c r="AM20" s="1"/>
      <c r="AN20" s="1"/>
      <c r="AO20" s="356">
        <v>0.6</v>
      </c>
      <c r="AP20" s="1">
        <v>30</v>
      </c>
      <c r="AQ20" s="1">
        <v>0.18</v>
      </c>
      <c r="AR20" s="1">
        <v>0.8</v>
      </c>
      <c r="AS20" s="1">
        <v>1</v>
      </c>
      <c r="AT20" s="1" t="s">
        <v>1147</v>
      </c>
      <c r="AU20" s="358" t="s">
        <v>1201</v>
      </c>
      <c r="AV20" s="358" t="s">
        <v>1202</v>
      </c>
      <c r="AW20" s="360" t="s">
        <v>1203</v>
      </c>
      <c r="AX20" s="360" t="s">
        <v>189</v>
      </c>
      <c r="AY20" s="1">
        <f t="shared" si="5"/>
        <v>6</v>
      </c>
      <c r="AZ20" s="362">
        <f t="shared" si="6"/>
        <v>10</v>
      </c>
      <c r="BA20" s="1" t="s">
        <v>1150</v>
      </c>
      <c r="BB20" s="1">
        <f t="shared" si="7"/>
        <v>1.119</v>
      </c>
      <c r="BC20" s="1"/>
      <c r="BD20" s="1">
        <f t="shared" si="8"/>
        <v>8</v>
      </c>
      <c r="BE20" s="1">
        <f t="shared" si="9"/>
        <v>8.48</v>
      </c>
      <c r="BG20" s="1">
        <f t="shared" si="10"/>
        <v>0</v>
      </c>
      <c r="BR20" s="301">
        <f t="shared" si="11"/>
        <v>8.8000000000000007</v>
      </c>
      <c r="BS20" s="356">
        <f t="shared" si="101"/>
        <v>0.1</v>
      </c>
      <c r="BT20" s="297">
        <v>1</v>
      </c>
      <c r="BU20" s="1">
        <v>5</v>
      </c>
      <c r="BV20" s="297">
        <v>2</v>
      </c>
      <c r="BW20" s="1">
        <v>2</v>
      </c>
      <c r="BX20" s="297">
        <v>3</v>
      </c>
      <c r="BY20" s="1">
        <v>1</v>
      </c>
      <c r="BZ20" s="1">
        <f t="shared" si="80"/>
        <v>1.5</v>
      </c>
      <c r="CA20" s="1">
        <f t="shared" si="81"/>
        <v>7.5</v>
      </c>
      <c r="CB20" s="389">
        <f t="shared" ref="CB20:CB62" si="104">ROUND(E20*BS20/CA20/BZ20,6)</f>
        <v>7.1110999999999994E-2</v>
      </c>
      <c r="CC20" s="1">
        <f t="shared" si="13"/>
        <v>15</v>
      </c>
      <c r="CD20" s="391">
        <f t="shared" ref="CD20:CD62" si="105">ROUND(E20*BS20/CC20/BZ20,6)</f>
        <v>3.5555999999999997E-2</v>
      </c>
      <c r="CE20" s="1">
        <f t="shared" si="13"/>
        <v>22.5</v>
      </c>
      <c r="CF20" s="392">
        <f t="shared" ref="CF20:CF62" si="106">ROUND(E20*BS20/CE20/BZ20,6)</f>
        <v>2.3703999999999999E-2</v>
      </c>
      <c r="CH20" s="190">
        <v>2E-3</v>
      </c>
      <c r="CI20" s="403">
        <f t="shared" si="102"/>
        <v>0</v>
      </c>
      <c r="CJ20" s="402">
        <f t="shared" si="16"/>
        <v>0</v>
      </c>
      <c r="CK20" s="411">
        <f t="shared" si="17"/>
        <v>0</v>
      </c>
      <c r="CL20" s="411">
        <f t="shared" si="18"/>
        <v>0</v>
      </c>
      <c r="CM20" s="412">
        <f t="shared" si="82"/>
        <v>0</v>
      </c>
      <c r="CN20" s="413">
        <f t="shared" si="19"/>
        <v>0</v>
      </c>
      <c r="CO20" s="411">
        <f t="shared" si="20"/>
        <v>0</v>
      </c>
      <c r="CP20" s="429" t="e">
        <f t="shared" si="21"/>
        <v>#DIV/0!</v>
      </c>
      <c r="CQ20" s="430">
        <f t="shared" si="83"/>
        <v>6</v>
      </c>
      <c r="CR20" s="431">
        <f t="shared" si="84"/>
        <v>1</v>
      </c>
      <c r="CS20" s="332"/>
      <c r="CT20" s="322">
        <v>6</v>
      </c>
      <c r="CU20" s="331">
        <v>1</v>
      </c>
      <c r="CW20" s="436"/>
      <c r="DB20" s="438"/>
      <c r="DC20" s="430">
        <v>6</v>
      </c>
      <c r="DD20" s="402">
        <v>1</v>
      </c>
      <c r="DE20" s="438">
        <f t="shared" si="22"/>
        <v>2.1333333333333355E-4</v>
      </c>
      <c r="DF20" s="430">
        <f t="shared" si="23"/>
        <v>6</v>
      </c>
      <c r="DG20" s="402">
        <f t="shared" si="85"/>
        <v>1</v>
      </c>
      <c r="DH20" s="438">
        <f t="shared" si="25"/>
        <v>4.266666666666671E-4</v>
      </c>
      <c r="DI20" s="430">
        <f t="shared" si="26"/>
        <v>6</v>
      </c>
      <c r="DJ20" s="402">
        <f t="shared" si="86"/>
        <v>1</v>
      </c>
      <c r="DK20" s="438">
        <f t="shared" si="28"/>
        <v>6.4000000000000059E-4</v>
      </c>
      <c r="DL20" s="430">
        <f t="shared" si="87"/>
        <v>6</v>
      </c>
      <c r="DM20" s="402">
        <f t="shared" si="88"/>
        <v>1</v>
      </c>
      <c r="DN20" s="438">
        <f t="shared" si="31"/>
        <v>8.533333333333342E-4</v>
      </c>
      <c r="DO20" s="430">
        <f t="shared" si="89"/>
        <v>6</v>
      </c>
      <c r="DP20" s="402">
        <f t="shared" si="90"/>
        <v>1</v>
      </c>
      <c r="DQ20" s="438">
        <f t="shared" si="34"/>
        <v>1.0666666666666678E-3</v>
      </c>
      <c r="DR20" s="430">
        <f t="shared" si="91"/>
        <v>6</v>
      </c>
      <c r="DS20" s="402">
        <f t="shared" si="92"/>
        <v>1</v>
      </c>
      <c r="DT20" s="438">
        <f t="shared" si="37"/>
        <v>2.1333333333333356E-3</v>
      </c>
      <c r="DU20" s="430">
        <f t="shared" si="93"/>
        <v>6</v>
      </c>
      <c r="DV20" s="402">
        <f t="shared" si="94"/>
        <v>1</v>
      </c>
      <c r="DW20" s="438">
        <f t="shared" si="40"/>
        <v>4.2666666666666712E-3</v>
      </c>
      <c r="DX20" s="430">
        <f t="shared" si="95"/>
        <v>6</v>
      </c>
      <c r="DY20" s="402">
        <f t="shared" si="96"/>
        <v>1</v>
      </c>
      <c r="DZ20" s="438">
        <f t="shared" si="43"/>
        <v>6.4000000000000064E-3</v>
      </c>
      <c r="EA20" s="430">
        <f t="shared" si="97"/>
        <v>6</v>
      </c>
      <c r="EB20" s="402">
        <f t="shared" si="98"/>
        <v>1</v>
      </c>
      <c r="EC20" s="438">
        <f t="shared" si="46"/>
        <v>8.5333333333333424E-3</v>
      </c>
      <c r="ED20" s="430">
        <f t="shared" si="99"/>
        <v>6</v>
      </c>
      <c r="EE20" s="402">
        <f t="shared" si="100"/>
        <v>1</v>
      </c>
      <c r="EF20" s="438">
        <f t="shared" si="49"/>
        <v>1.0666666666666677E-2</v>
      </c>
      <c r="EG20" s="430">
        <f t="shared" si="50"/>
        <v>12</v>
      </c>
      <c r="EH20" s="402">
        <f t="shared" si="51"/>
        <v>2</v>
      </c>
      <c r="EI20" s="438">
        <f t="shared" si="52"/>
        <v>1.0666666666666677E-2</v>
      </c>
      <c r="EJ20" s="430">
        <f t="shared" si="53"/>
        <v>24</v>
      </c>
      <c r="EK20" s="402">
        <f t="shared" si="54"/>
        <v>4</v>
      </c>
      <c r="EL20" s="438">
        <f t="shared" si="55"/>
        <v>1.0666666666666677E-2</v>
      </c>
      <c r="EM20" s="430">
        <f t="shared" si="56"/>
        <v>36</v>
      </c>
      <c r="EN20" s="402">
        <f t="shared" si="57"/>
        <v>6</v>
      </c>
      <c r="EO20" s="438">
        <f t="shared" si="58"/>
        <v>1.0666666666666677E-2</v>
      </c>
      <c r="EP20" s="430">
        <f t="shared" si="59"/>
        <v>48</v>
      </c>
      <c r="EQ20" s="402">
        <f t="shared" si="60"/>
        <v>8</v>
      </c>
      <c r="ER20" s="438">
        <f t="shared" si="61"/>
        <v>1.0666666666666677E-2</v>
      </c>
      <c r="ES20" s="430">
        <f t="shared" si="62"/>
        <v>60</v>
      </c>
      <c r="ET20" s="402">
        <f t="shared" si="63"/>
        <v>10</v>
      </c>
      <c r="EU20" s="438">
        <f t="shared" si="64"/>
        <v>1.0666666666666677E-2</v>
      </c>
      <c r="EV20" s="430">
        <f t="shared" si="65"/>
        <v>120</v>
      </c>
      <c r="EW20" s="402">
        <f t="shared" si="66"/>
        <v>20</v>
      </c>
      <c r="EX20" s="438">
        <f t="shared" si="67"/>
        <v>1.0666666666666677E-2</v>
      </c>
      <c r="EY20" s="430">
        <f t="shared" si="68"/>
        <v>240</v>
      </c>
      <c r="EZ20" s="402">
        <f t="shared" si="69"/>
        <v>40</v>
      </c>
      <c r="FA20" s="438">
        <f t="shared" si="70"/>
        <v>1.0666666666666677E-2</v>
      </c>
      <c r="FB20" s="430">
        <f t="shared" si="71"/>
        <v>360</v>
      </c>
      <c r="FC20" s="402">
        <f t="shared" si="72"/>
        <v>60</v>
      </c>
      <c r="FD20" s="438">
        <f t="shared" si="73"/>
        <v>1.0666666666666677E-2</v>
      </c>
      <c r="FE20" s="430">
        <f t="shared" si="74"/>
        <v>480</v>
      </c>
      <c r="FF20" s="402">
        <f t="shared" si="75"/>
        <v>80</v>
      </c>
      <c r="FG20" s="438">
        <f t="shared" si="76"/>
        <v>1.0666666666666677E-2</v>
      </c>
      <c r="FH20" s="430">
        <f t="shared" si="77"/>
        <v>600</v>
      </c>
      <c r="FI20" s="402">
        <f t="shared" si="78"/>
        <v>100</v>
      </c>
      <c r="FJ20" s="438">
        <f t="shared" si="79"/>
        <v>1.0666666666666677E-2</v>
      </c>
    </row>
    <row r="21" spans="1:166" x14ac:dyDescent="0.45">
      <c r="A21" s="1">
        <v>17</v>
      </c>
      <c r="B21" s="305"/>
      <c r="C21" s="1">
        <v>2</v>
      </c>
      <c r="D21" s="1">
        <v>-1</v>
      </c>
      <c r="E21" s="1">
        <v>8</v>
      </c>
      <c r="F21" s="1">
        <f t="shared" si="0"/>
        <v>8</v>
      </c>
      <c r="G21" s="1"/>
      <c r="H21" s="1">
        <f t="shared" si="103"/>
        <v>0</v>
      </c>
      <c r="I21" s="1">
        <f t="shared" si="2"/>
        <v>0</v>
      </c>
      <c r="J21" s="1">
        <v>0</v>
      </c>
      <c r="K21" s="313">
        <v>0</v>
      </c>
      <c r="L21" s="314">
        <v>1</v>
      </c>
      <c r="M21" s="320">
        <f>ROUND(IF(L21&lt;&gt;0,$BI$4/('全局参数|GlobalPar'!$B$18/10000/E21)/L21,0),6)</f>
        <v>0</v>
      </c>
      <c r="N21" s="320">
        <f t="shared" si="3"/>
        <v>0</v>
      </c>
      <c r="O21" s="323">
        <v>0</v>
      </c>
      <c r="P21" s="322">
        <v>6</v>
      </c>
      <c r="Q21" s="331">
        <v>1</v>
      </c>
      <c r="R21" s="332" t="s">
        <v>1144</v>
      </c>
      <c r="S21" s="1"/>
      <c r="T21" s="333">
        <v>0</v>
      </c>
      <c r="U21" s="348">
        <v>0</v>
      </c>
      <c r="V21" s="348">
        <v>0</v>
      </c>
      <c r="W21" s="348">
        <v>0</v>
      </c>
      <c r="X21" s="1" t="s">
        <v>1145</v>
      </c>
      <c r="Y21" s="192" t="s">
        <v>1146</v>
      </c>
      <c r="Z21" s="192">
        <v>0</v>
      </c>
      <c r="AA21" s="192">
        <v>0</v>
      </c>
      <c r="AB21" s="354">
        <v>7</v>
      </c>
      <c r="AC21" s="1">
        <f t="shared" si="4"/>
        <v>-1</v>
      </c>
      <c r="AD21" s="1">
        <v>0</v>
      </c>
      <c r="AE21" s="1"/>
      <c r="AF21" s="1">
        <v>3</v>
      </c>
      <c r="AG21" s="1">
        <v>0</v>
      </c>
      <c r="AH21" s="1">
        <v>1.5</v>
      </c>
      <c r="AI21" s="1">
        <v>1</v>
      </c>
      <c r="AJ21" s="1">
        <v>1</v>
      </c>
      <c r="AK21" s="1">
        <v>1</v>
      </c>
      <c r="AL21" s="1"/>
      <c r="AM21" s="1"/>
      <c r="AN21" s="1"/>
      <c r="AO21" s="356">
        <v>0.6</v>
      </c>
      <c r="AP21" s="1">
        <v>35</v>
      </c>
      <c r="AQ21" s="1">
        <v>0.18</v>
      </c>
      <c r="AR21" s="1">
        <v>1</v>
      </c>
      <c r="AS21" s="1">
        <v>1</v>
      </c>
      <c r="AT21" s="1" t="s">
        <v>1147</v>
      </c>
      <c r="AU21" s="358" t="s">
        <v>1204</v>
      </c>
      <c r="AV21" s="358" t="s">
        <v>1205</v>
      </c>
      <c r="AW21" s="360" t="s">
        <v>1206</v>
      </c>
      <c r="AX21" s="360" t="s">
        <v>189</v>
      </c>
      <c r="AY21" s="1">
        <f t="shared" si="5"/>
        <v>6</v>
      </c>
      <c r="AZ21" s="362">
        <f t="shared" si="6"/>
        <v>10</v>
      </c>
      <c r="BA21" s="1" t="s">
        <v>1150</v>
      </c>
      <c r="BB21" s="1">
        <f t="shared" si="7"/>
        <v>1.119</v>
      </c>
      <c r="BC21" s="1"/>
      <c r="BD21" s="1">
        <f t="shared" si="8"/>
        <v>8</v>
      </c>
      <c r="BE21" s="1">
        <f t="shared" si="9"/>
        <v>8.48</v>
      </c>
      <c r="BG21" s="1">
        <f t="shared" si="10"/>
        <v>0</v>
      </c>
      <c r="BR21" s="301">
        <f t="shared" si="11"/>
        <v>8.8000000000000007</v>
      </c>
      <c r="BS21" s="356">
        <f t="shared" si="101"/>
        <v>0.1</v>
      </c>
      <c r="BT21" s="297">
        <v>1</v>
      </c>
      <c r="BU21" s="1">
        <v>5</v>
      </c>
      <c r="BV21" s="297">
        <v>2</v>
      </c>
      <c r="BW21" s="1">
        <v>2</v>
      </c>
      <c r="BX21" s="297">
        <v>3</v>
      </c>
      <c r="BY21" s="1">
        <v>1</v>
      </c>
      <c r="BZ21" s="1">
        <f t="shared" si="80"/>
        <v>1.5</v>
      </c>
      <c r="CA21" s="1">
        <f t="shared" si="81"/>
        <v>7.5</v>
      </c>
      <c r="CB21" s="389">
        <f t="shared" si="104"/>
        <v>7.1110999999999994E-2</v>
      </c>
      <c r="CC21" s="1">
        <f t="shared" si="81"/>
        <v>15</v>
      </c>
      <c r="CD21" s="391">
        <f t="shared" si="105"/>
        <v>3.5555999999999997E-2</v>
      </c>
      <c r="CE21" s="1">
        <f t="shared" si="81"/>
        <v>22.5</v>
      </c>
      <c r="CF21" s="392">
        <f t="shared" si="106"/>
        <v>2.3703999999999999E-2</v>
      </c>
      <c r="CH21" s="190">
        <v>2E-3</v>
      </c>
      <c r="CI21" s="403">
        <f t="shared" si="102"/>
        <v>0</v>
      </c>
      <c r="CJ21" s="402">
        <f t="shared" si="16"/>
        <v>0</v>
      </c>
      <c r="CK21" s="411">
        <f t="shared" si="17"/>
        <v>0</v>
      </c>
      <c r="CL21" s="411">
        <f t="shared" si="18"/>
        <v>0</v>
      </c>
      <c r="CM21" s="412">
        <f t="shared" si="82"/>
        <v>0</v>
      </c>
      <c r="CN21" s="413">
        <f t="shared" si="19"/>
        <v>0</v>
      </c>
      <c r="CO21" s="411">
        <f t="shared" si="20"/>
        <v>0</v>
      </c>
      <c r="CP21" s="429" t="e">
        <f t="shared" si="21"/>
        <v>#DIV/0!</v>
      </c>
      <c r="CQ21" s="430">
        <f t="shared" si="83"/>
        <v>6</v>
      </c>
      <c r="CR21" s="431">
        <f t="shared" si="84"/>
        <v>1</v>
      </c>
      <c r="CS21" s="332"/>
      <c r="CT21" s="322">
        <v>6</v>
      </c>
      <c r="CU21" s="331">
        <v>1</v>
      </c>
      <c r="CW21" s="436"/>
      <c r="DB21" s="438"/>
      <c r="DC21" s="430">
        <v>6</v>
      </c>
      <c r="DD21" s="402">
        <v>1</v>
      </c>
      <c r="DE21" s="438">
        <f t="shared" si="22"/>
        <v>2.1333333333333355E-4</v>
      </c>
      <c r="DF21" s="430">
        <f t="shared" si="23"/>
        <v>6</v>
      </c>
      <c r="DG21" s="402">
        <f t="shared" si="85"/>
        <v>1</v>
      </c>
      <c r="DH21" s="438">
        <f t="shared" si="25"/>
        <v>4.266666666666671E-4</v>
      </c>
      <c r="DI21" s="430">
        <f t="shared" si="26"/>
        <v>6</v>
      </c>
      <c r="DJ21" s="402">
        <f t="shared" si="86"/>
        <v>1</v>
      </c>
      <c r="DK21" s="438">
        <f t="shared" si="28"/>
        <v>6.4000000000000059E-4</v>
      </c>
      <c r="DL21" s="430">
        <f t="shared" si="87"/>
        <v>6</v>
      </c>
      <c r="DM21" s="402">
        <f t="shared" si="88"/>
        <v>1</v>
      </c>
      <c r="DN21" s="438">
        <f t="shared" si="31"/>
        <v>8.533333333333342E-4</v>
      </c>
      <c r="DO21" s="430">
        <f t="shared" si="89"/>
        <v>6</v>
      </c>
      <c r="DP21" s="402">
        <f t="shared" si="90"/>
        <v>1</v>
      </c>
      <c r="DQ21" s="438">
        <f t="shared" si="34"/>
        <v>1.0666666666666678E-3</v>
      </c>
      <c r="DR21" s="430">
        <f t="shared" si="91"/>
        <v>6</v>
      </c>
      <c r="DS21" s="402">
        <f t="shared" si="92"/>
        <v>1</v>
      </c>
      <c r="DT21" s="438">
        <f t="shared" si="37"/>
        <v>2.1333333333333356E-3</v>
      </c>
      <c r="DU21" s="430">
        <f t="shared" si="93"/>
        <v>6</v>
      </c>
      <c r="DV21" s="402">
        <f t="shared" si="94"/>
        <v>1</v>
      </c>
      <c r="DW21" s="438">
        <f t="shared" si="40"/>
        <v>4.2666666666666712E-3</v>
      </c>
      <c r="DX21" s="430">
        <f t="shared" si="95"/>
        <v>6</v>
      </c>
      <c r="DY21" s="402">
        <f t="shared" si="96"/>
        <v>1</v>
      </c>
      <c r="DZ21" s="438">
        <f t="shared" si="43"/>
        <v>6.4000000000000064E-3</v>
      </c>
      <c r="EA21" s="430">
        <f t="shared" si="97"/>
        <v>6</v>
      </c>
      <c r="EB21" s="402">
        <f t="shared" si="98"/>
        <v>1</v>
      </c>
      <c r="EC21" s="438">
        <f t="shared" si="46"/>
        <v>8.5333333333333424E-3</v>
      </c>
      <c r="ED21" s="430">
        <f t="shared" si="99"/>
        <v>6</v>
      </c>
      <c r="EE21" s="402">
        <f t="shared" si="100"/>
        <v>1</v>
      </c>
      <c r="EF21" s="438">
        <f t="shared" si="49"/>
        <v>1.0666666666666677E-2</v>
      </c>
      <c r="EG21" s="430">
        <f t="shared" si="50"/>
        <v>12</v>
      </c>
      <c r="EH21" s="402">
        <f t="shared" si="51"/>
        <v>2</v>
      </c>
      <c r="EI21" s="438">
        <f t="shared" si="52"/>
        <v>1.0666666666666677E-2</v>
      </c>
      <c r="EJ21" s="430">
        <f t="shared" si="53"/>
        <v>24</v>
      </c>
      <c r="EK21" s="402">
        <f t="shared" si="54"/>
        <v>4</v>
      </c>
      <c r="EL21" s="438">
        <f t="shared" si="55"/>
        <v>1.0666666666666677E-2</v>
      </c>
      <c r="EM21" s="430">
        <f t="shared" si="56"/>
        <v>36</v>
      </c>
      <c r="EN21" s="402">
        <f t="shared" si="57"/>
        <v>6</v>
      </c>
      <c r="EO21" s="438">
        <f t="shared" si="58"/>
        <v>1.0666666666666677E-2</v>
      </c>
      <c r="EP21" s="430">
        <f t="shared" si="59"/>
        <v>48</v>
      </c>
      <c r="EQ21" s="402">
        <f t="shared" si="60"/>
        <v>8</v>
      </c>
      <c r="ER21" s="438">
        <f t="shared" si="61"/>
        <v>1.0666666666666677E-2</v>
      </c>
      <c r="ES21" s="430">
        <f t="shared" si="62"/>
        <v>60</v>
      </c>
      <c r="ET21" s="402">
        <f t="shared" si="63"/>
        <v>10</v>
      </c>
      <c r="EU21" s="438">
        <f t="shared" si="64"/>
        <v>1.0666666666666677E-2</v>
      </c>
      <c r="EV21" s="430">
        <f t="shared" si="65"/>
        <v>120</v>
      </c>
      <c r="EW21" s="402">
        <f t="shared" si="66"/>
        <v>20</v>
      </c>
      <c r="EX21" s="438">
        <f t="shared" si="67"/>
        <v>1.0666666666666677E-2</v>
      </c>
      <c r="EY21" s="430">
        <f t="shared" si="68"/>
        <v>240</v>
      </c>
      <c r="EZ21" s="402">
        <f t="shared" si="69"/>
        <v>40</v>
      </c>
      <c r="FA21" s="438">
        <f t="shared" si="70"/>
        <v>1.0666666666666677E-2</v>
      </c>
      <c r="FB21" s="430">
        <f t="shared" si="71"/>
        <v>360</v>
      </c>
      <c r="FC21" s="402">
        <f t="shared" si="72"/>
        <v>60</v>
      </c>
      <c r="FD21" s="438">
        <f t="shared" si="73"/>
        <v>1.0666666666666677E-2</v>
      </c>
      <c r="FE21" s="430">
        <f t="shared" si="74"/>
        <v>480</v>
      </c>
      <c r="FF21" s="402">
        <f t="shared" si="75"/>
        <v>80</v>
      </c>
      <c r="FG21" s="438">
        <f t="shared" si="76"/>
        <v>1.0666666666666677E-2</v>
      </c>
      <c r="FH21" s="430">
        <f t="shared" si="77"/>
        <v>600</v>
      </c>
      <c r="FI21" s="402">
        <f t="shared" si="78"/>
        <v>100</v>
      </c>
      <c r="FJ21" s="438">
        <f t="shared" si="79"/>
        <v>1.0666666666666677E-2</v>
      </c>
    </row>
    <row r="22" spans="1:166" x14ac:dyDescent="0.45">
      <c r="A22" s="1">
        <v>18</v>
      </c>
      <c r="B22" s="306" t="s">
        <v>1207</v>
      </c>
      <c r="C22" s="1">
        <v>2</v>
      </c>
      <c r="D22" s="1">
        <v>-1</v>
      </c>
      <c r="E22" s="1">
        <v>8</v>
      </c>
      <c r="F22" s="1">
        <f t="shared" si="0"/>
        <v>8</v>
      </c>
      <c r="G22" s="1"/>
      <c r="H22" s="1">
        <f t="shared" si="103"/>
        <v>0</v>
      </c>
      <c r="I22" s="1">
        <f t="shared" si="2"/>
        <v>0</v>
      </c>
      <c r="J22" s="1">
        <v>0</v>
      </c>
      <c r="K22" s="313">
        <v>0</v>
      </c>
      <c r="L22" s="314">
        <v>1</v>
      </c>
      <c r="M22" s="320">
        <f>ROUND(IF(L22&lt;&gt;0,$BI$4/('全局参数|GlobalPar'!$B$18/10000/E22)/L22,0),6)</f>
        <v>0</v>
      </c>
      <c r="N22" s="320">
        <f t="shared" si="3"/>
        <v>0</v>
      </c>
      <c r="O22" s="323">
        <v>0</v>
      </c>
      <c r="P22" s="322">
        <v>7</v>
      </c>
      <c r="Q22" s="331">
        <v>1</v>
      </c>
      <c r="R22" s="332" t="s">
        <v>1144</v>
      </c>
      <c r="S22" s="1"/>
      <c r="T22" s="333">
        <v>0</v>
      </c>
      <c r="U22" s="348">
        <v>0</v>
      </c>
      <c r="V22" s="348">
        <v>0</v>
      </c>
      <c r="W22" s="348">
        <v>0</v>
      </c>
      <c r="X22" s="1" t="s">
        <v>1145</v>
      </c>
      <c r="Y22" s="192" t="s">
        <v>1146</v>
      </c>
      <c r="Z22" s="192">
        <v>0</v>
      </c>
      <c r="AA22" s="192">
        <v>0</v>
      </c>
      <c r="AB22" s="354">
        <v>7</v>
      </c>
      <c r="AC22" s="1">
        <f t="shared" si="4"/>
        <v>-1</v>
      </c>
      <c r="AD22" s="1">
        <v>0</v>
      </c>
      <c r="AE22" s="1"/>
      <c r="AF22" s="1">
        <v>3</v>
      </c>
      <c r="AG22" s="1">
        <v>1</v>
      </c>
      <c r="AH22" s="1">
        <v>1.5</v>
      </c>
      <c r="AI22" s="1">
        <v>1</v>
      </c>
      <c r="AJ22" s="1">
        <v>1</v>
      </c>
      <c r="AK22" s="1">
        <v>1</v>
      </c>
      <c r="AL22" s="1"/>
      <c r="AM22" s="1"/>
      <c r="AN22" s="1"/>
      <c r="AO22" s="356">
        <v>0.6</v>
      </c>
      <c r="AP22" s="1">
        <v>40</v>
      </c>
      <c r="AQ22" s="1">
        <v>0.18</v>
      </c>
      <c r="AR22" s="1">
        <v>0.8</v>
      </c>
      <c r="AS22" s="1">
        <v>1</v>
      </c>
      <c r="AT22" s="1" t="s">
        <v>1147</v>
      </c>
      <c r="AU22" s="358" t="s">
        <v>1208</v>
      </c>
      <c r="AV22" s="358" t="s">
        <v>1209</v>
      </c>
      <c r="AW22" s="360" t="s">
        <v>1210</v>
      </c>
      <c r="AX22" s="360" t="s">
        <v>189</v>
      </c>
      <c r="AY22" s="1">
        <f t="shared" si="5"/>
        <v>6</v>
      </c>
      <c r="AZ22" s="362">
        <f t="shared" si="6"/>
        <v>10</v>
      </c>
      <c r="BA22" s="1" t="s">
        <v>1150</v>
      </c>
      <c r="BB22" s="1">
        <f t="shared" si="7"/>
        <v>1.119</v>
      </c>
      <c r="BC22" s="1"/>
      <c r="BD22" s="1">
        <f t="shared" si="8"/>
        <v>8</v>
      </c>
      <c r="BE22" s="1">
        <f t="shared" si="9"/>
        <v>8.48</v>
      </c>
      <c r="BG22" s="1">
        <f t="shared" si="10"/>
        <v>0</v>
      </c>
      <c r="BR22" s="301">
        <f t="shared" si="11"/>
        <v>8.8000000000000007</v>
      </c>
      <c r="BS22" s="356">
        <f t="shared" si="101"/>
        <v>0.1</v>
      </c>
      <c r="BT22" s="297">
        <v>1</v>
      </c>
      <c r="BU22" s="1">
        <v>5</v>
      </c>
      <c r="BV22" s="297">
        <v>2</v>
      </c>
      <c r="BW22" s="1">
        <v>2</v>
      </c>
      <c r="BX22" s="297">
        <v>3</v>
      </c>
      <c r="BY22" s="1">
        <v>1</v>
      </c>
      <c r="BZ22" s="1">
        <f t="shared" si="80"/>
        <v>1.5</v>
      </c>
      <c r="CA22" s="1">
        <f t="shared" si="81"/>
        <v>7.5</v>
      </c>
      <c r="CB22" s="389">
        <f t="shared" si="104"/>
        <v>7.1110999999999994E-2</v>
      </c>
      <c r="CC22" s="1">
        <f t="shared" si="81"/>
        <v>15</v>
      </c>
      <c r="CD22" s="391">
        <f t="shared" si="105"/>
        <v>3.5555999999999997E-2</v>
      </c>
      <c r="CE22" s="1">
        <f t="shared" si="81"/>
        <v>22.5</v>
      </c>
      <c r="CF22" s="392">
        <f t="shared" si="106"/>
        <v>2.3703999999999999E-2</v>
      </c>
      <c r="CH22" s="190">
        <v>2E-3</v>
      </c>
      <c r="CI22" s="403">
        <f t="shared" si="102"/>
        <v>0</v>
      </c>
      <c r="CJ22" s="402">
        <f t="shared" si="16"/>
        <v>0</v>
      </c>
      <c r="CK22" s="411">
        <f t="shared" si="17"/>
        <v>0</v>
      </c>
      <c r="CL22" s="411">
        <f t="shared" si="18"/>
        <v>0</v>
      </c>
      <c r="CM22" s="412">
        <f t="shared" si="82"/>
        <v>0</v>
      </c>
      <c r="CN22" s="413">
        <f t="shared" si="19"/>
        <v>0</v>
      </c>
      <c r="CO22" s="411">
        <f t="shared" si="20"/>
        <v>0</v>
      </c>
      <c r="CP22" s="429" t="e">
        <f t="shared" si="21"/>
        <v>#DIV/0!</v>
      </c>
      <c r="CQ22" s="430">
        <f t="shared" si="83"/>
        <v>7</v>
      </c>
      <c r="CR22" s="431">
        <f t="shared" si="84"/>
        <v>1</v>
      </c>
      <c r="CS22" s="332"/>
      <c r="CT22" s="322">
        <v>7</v>
      </c>
      <c r="CU22" s="331">
        <v>1</v>
      </c>
      <c r="CW22" s="436"/>
      <c r="DB22" s="438"/>
      <c r="DC22" s="430">
        <v>7</v>
      </c>
      <c r="DD22" s="402">
        <v>1</v>
      </c>
      <c r="DE22" s="438">
        <f t="shared" si="22"/>
        <v>1.8285714285714305E-4</v>
      </c>
      <c r="DF22" s="430">
        <f t="shared" si="23"/>
        <v>7</v>
      </c>
      <c r="DG22" s="402">
        <f t="shared" si="85"/>
        <v>1</v>
      </c>
      <c r="DH22" s="438">
        <f t="shared" si="25"/>
        <v>3.6571428571428611E-4</v>
      </c>
      <c r="DI22" s="430">
        <f t="shared" si="26"/>
        <v>7</v>
      </c>
      <c r="DJ22" s="402">
        <f t="shared" si="86"/>
        <v>1</v>
      </c>
      <c r="DK22" s="438">
        <f t="shared" si="28"/>
        <v>5.4857142857142908E-4</v>
      </c>
      <c r="DL22" s="430">
        <f t="shared" si="87"/>
        <v>7</v>
      </c>
      <c r="DM22" s="402">
        <f t="shared" si="88"/>
        <v>1</v>
      </c>
      <c r="DN22" s="438">
        <f t="shared" si="31"/>
        <v>7.3142857142857222E-4</v>
      </c>
      <c r="DO22" s="430">
        <f t="shared" si="89"/>
        <v>7</v>
      </c>
      <c r="DP22" s="402">
        <f t="shared" si="90"/>
        <v>1</v>
      </c>
      <c r="DQ22" s="438">
        <f t="shared" si="34"/>
        <v>9.1428571428571524E-4</v>
      </c>
      <c r="DR22" s="430">
        <f t="shared" si="91"/>
        <v>7</v>
      </c>
      <c r="DS22" s="402">
        <f t="shared" si="92"/>
        <v>1</v>
      </c>
      <c r="DT22" s="438">
        <f t="shared" si="37"/>
        <v>1.8285714285714305E-3</v>
      </c>
      <c r="DU22" s="430">
        <f t="shared" si="93"/>
        <v>7</v>
      </c>
      <c r="DV22" s="402">
        <f t="shared" si="94"/>
        <v>1</v>
      </c>
      <c r="DW22" s="438">
        <f t="shared" si="40"/>
        <v>3.657142857142861E-3</v>
      </c>
      <c r="DX22" s="430">
        <f t="shared" si="95"/>
        <v>7</v>
      </c>
      <c r="DY22" s="402">
        <f t="shared" si="96"/>
        <v>1</v>
      </c>
      <c r="DZ22" s="438">
        <f t="shared" si="43"/>
        <v>5.4857142857142908E-3</v>
      </c>
      <c r="EA22" s="430">
        <f t="shared" si="97"/>
        <v>7</v>
      </c>
      <c r="EB22" s="402">
        <f t="shared" si="98"/>
        <v>1</v>
      </c>
      <c r="EC22" s="438">
        <f t="shared" si="46"/>
        <v>7.3142857142857219E-3</v>
      </c>
      <c r="ED22" s="430">
        <f t="shared" si="99"/>
        <v>7</v>
      </c>
      <c r="EE22" s="402">
        <f t="shared" si="100"/>
        <v>1</v>
      </c>
      <c r="EF22" s="438">
        <f t="shared" si="49"/>
        <v>9.1428571428571522E-3</v>
      </c>
      <c r="EG22" s="430">
        <f t="shared" si="50"/>
        <v>14</v>
      </c>
      <c r="EH22" s="402">
        <f t="shared" si="51"/>
        <v>2</v>
      </c>
      <c r="EI22" s="438">
        <f t="shared" si="52"/>
        <v>9.1428571428571522E-3</v>
      </c>
      <c r="EJ22" s="430">
        <f t="shared" si="53"/>
        <v>28</v>
      </c>
      <c r="EK22" s="402">
        <f t="shared" si="54"/>
        <v>4</v>
      </c>
      <c r="EL22" s="438">
        <f t="shared" si="55"/>
        <v>9.1428571428571522E-3</v>
      </c>
      <c r="EM22" s="430">
        <f t="shared" si="56"/>
        <v>42</v>
      </c>
      <c r="EN22" s="402">
        <f t="shared" si="57"/>
        <v>6</v>
      </c>
      <c r="EO22" s="438">
        <f t="shared" si="58"/>
        <v>9.1428571428571522E-3</v>
      </c>
      <c r="EP22" s="430">
        <f t="shared" si="59"/>
        <v>56</v>
      </c>
      <c r="EQ22" s="402">
        <f t="shared" si="60"/>
        <v>8</v>
      </c>
      <c r="ER22" s="438">
        <f t="shared" si="61"/>
        <v>9.1428571428571522E-3</v>
      </c>
      <c r="ES22" s="430">
        <f t="shared" si="62"/>
        <v>70</v>
      </c>
      <c r="ET22" s="402">
        <f t="shared" si="63"/>
        <v>10</v>
      </c>
      <c r="EU22" s="438">
        <f t="shared" si="64"/>
        <v>9.1428571428571522E-3</v>
      </c>
      <c r="EV22" s="430">
        <f t="shared" si="65"/>
        <v>140</v>
      </c>
      <c r="EW22" s="402">
        <f t="shared" si="66"/>
        <v>20</v>
      </c>
      <c r="EX22" s="438">
        <f t="shared" si="67"/>
        <v>9.1428571428571522E-3</v>
      </c>
      <c r="EY22" s="430">
        <f t="shared" si="68"/>
        <v>280</v>
      </c>
      <c r="EZ22" s="402">
        <f t="shared" si="69"/>
        <v>40</v>
      </c>
      <c r="FA22" s="438">
        <f t="shared" si="70"/>
        <v>9.1428571428571522E-3</v>
      </c>
      <c r="FB22" s="430">
        <f t="shared" si="71"/>
        <v>420</v>
      </c>
      <c r="FC22" s="402">
        <f t="shared" si="72"/>
        <v>60</v>
      </c>
      <c r="FD22" s="438">
        <f t="shared" si="73"/>
        <v>9.1428571428571522E-3</v>
      </c>
      <c r="FE22" s="430">
        <f t="shared" si="74"/>
        <v>560</v>
      </c>
      <c r="FF22" s="402">
        <f t="shared" si="75"/>
        <v>80</v>
      </c>
      <c r="FG22" s="438">
        <f t="shared" si="76"/>
        <v>9.1428571428571522E-3</v>
      </c>
      <c r="FH22" s="430">
        <f t="shared" si="77"/>
        <v>700</v>
      </c>
      <c r="FI22" s="402">
        <f t="shared" si="78"/>
        <v>100</v>
      </c>
      <c r="FJ22" s="438">
        <f t="shared" si="79"/>
        <v>9.1428571428571522E-3</v>
      </c>
    </row>
    <row r="23" spans="1:166" x14ac:dyDescent="0.45">
      <c r="A23" s="1">
        <v>19</v>
      </c>
      <c r="B23" s="306" t="s">
        <v>1211</v>
      </c>
      <c r="C23" s="1">
        <v>2</v>
      </c>
      <c r="D23" s="1">
        <v>-1</v>
      </c>
      <c r="E23" s="1">
        <v>10</v>
      </c>
      <c r="F23" s="1">
        <f t="shared" si="0"/>
        <v>10</v>
      </c>
      <c r="G23" s="1"/>
      <c r="H23" s="1">
        <f t="shared" si="103"/>
        <v>0</v>
      </c>
      <c r="I23" s="1">
        <f t="shared" si="2"/>
        <v>0</v>
      </c>
      <c r="J23" s="1">
        <v>0</v>
      </c>
      <c r="K23" s="313">
        <v>0</v>
      </c>
      <c r="L23" s="314">
        <v>1</v>
      </c>
      <c r="M23" s="320">
        <f>ROUND(IF(L23&lt;&gt;0,$BI$4/('全局参数|GlobalPar'!$B$18/10000/E23)/L23,0),6)</f>
        <v>0</v>
      </c>
      <c r="N23" s="320">
        <f t="shared" si="3"/>
        <v>0</v>
      </c>
      <c r="O23" s="323">
        <v>0</v>
      </c>
      <c r="P23" s="322">
        <v>7</v>
      </c>
      <c r="Q23" s="331">
        <v>1</v>
      </c>
      <c r="R23" s="332" t="s">
        <v>1144</v>
      </c>
      <c r="S23" s="1"/>
      <c r="T23" s="333">
        <v>0</v>
      </c>
      <c r="U23" s="348">
        <v>0</v>
      </c>
      <c r="V23" s="348">
        <v>0</v>
      </c>
      <c r="W23" s="348">
        <v>0</v>
      </c>
      <c r="X23" s="1" t="s">
        <v>1145</v>
      </c>
      <c r="Y23" s="192" t="s">
        <v>1146</v>
      </c>
      <c r="Z23" s="192">
        <v>0</v>
      </c>
      <c r="AA23" s="192">
        <v>0</v>
      </c>
      <c r="AB23" s="354">
        <v>8</v>
      </c>
      <c r="AC23" s="1">
        <f t="shared" si="4"/>
        <v>-1</v>
      </c>
      <c r="AD23" s="1">
        <v>0</v>
      </c>
      <c r="AE23" s="1"/>
      <c r="AF23" s="1">
        <v>3</v>
      </c>
      <c r="AG23" s="1">
        <v>0</v>
      </c>
      <c r="AH23" s="1">
        <v>1.5</v>
      </c>
      <c r="AI23" s="1">
        <v>1</v>
      </c>
      <c r="AJ23" s="1">
        <v>1</v>
      </c>
      <c r="AK23" s="1">
        <v>1</v>
      </c>
      <c r="AL23" s="1"/>
      <c r="AM23" s="1"/>
      <c r="AN23" s="1"/>
      <c r="AO23" s="356">
        <v>0.6</v>
      </c>
      <c r="AP23" s="1">
        <v>50</v>
      </c>
      <c r="AQ23" s="1">
        <v>0.18</v>
      </c>
      <c r="AR23" s="1">
        <v>0.8</v>
      </c>
      <c r="AS23" s="1">
        <v>1</v>
      </c>
      <c r="AT23" s="1" t="s">
        <v>1147</v>
      </c>
      <c r="AU23" s="358" t="s">
        <v>1212</v>
      </c>
      <c r="AV23" s="358" t="s">
        <v>1213</v>
      </c>
      <c r="AW23" s="360" t="s">
        <v>1214</v>
      </c>
      <c r="AX23" s="360" t="s">
        <v>189</v>
      </c>
      <c r="AY23" s="1">
        <f t="shared" si="5"/>
        <v>7.5</v>
      </c>
      <c r="AZ23" s="362">
        <f t="shared" si="6"/>
        <v>8</v>
      </c>
      <c r="BA23" s="1" t="s">
        <v>1150</v>
      </c>
      <c r="BB23" s="1">
        <f t="shared" si="7"/>
        <v>1.119</v>
      </c>
      <c r="BC23" s="1"/>
      <c r="BD23" s="1">
        <f t="shared" si="8"/>
        <v>10</v>
      </c>
      <c r="BE23" s="1">
        <f t="shared" si="9"/>
        <v>10.600000000000001</v>
      </c>
      <c r="BG23" s="1">
        <f t="shared" si="10"/>
        <v>0</v>
      </c>
      <c r="BR23" s="301">
        <f t="shared" si="11"/>
        <v>11</v>
      </c>
      <c r="BS23" s="356">
        <f t="shared" si="101"/>
        <v>0.1</v>
      </c>
      <c r="BT23" s="297">
        <v>1</v>
      </c>
      <c r="BU23" s="1">
        <v>5</v>
      </c>
      <c r="BV23" s="297">
        <v>2</v>
      </c>
      <c r="BW23" s="1">
        <v>2</v>
      </c>
      <c r="BX23" s="297">
        <v>3</v>
      </c>
      <c r="BY23" s="1">
        <v>1</v>
      </c>
      <c r="BZ23" s="1">
        <f t="shared" si="80"/>
        <v>1.5</v>
      </c>
      <c r="CA23" s="1">
        <f t="shared" si="81"/>
        <v>7.5</v>
      </c>
      <c r="CB23" s="389">
        <f t="shared" si="104"/>
        <v>8.8888999999999996E-2</v>
      </c>
      <c r="CC23" s="1">
        <f t="shared" si="81"/>
        <v>15</v>
      </c>
      <c r="CD23" s="391">
        <f t="shared" si="105"/>
        <v>4.4443999999999997E-2</v>
      </c>
      <c r="CE23" s="1">
        <f t="shared" si="81"/>
        <v>22.5</v>
      </c>
      <c r="CF23" s="392">
        <f t="shared" si="106"/>
        <v>2.963E-2</v>
      </c>
      <c r="CH23" s="190">
        <v>2E-3</v>
      </c>
      <c r="CI23" s="403">
        <f t="shared" si="102"/>
        <v>0</v>
      </c>
      <c r="CJ23" s="402">
        <f t="shared" si="16"/>
        <v>0</v>
      </c>
      <c r="CK23" s="411">
        <f t="shared" si="17"/>
        <v>0</v>
      </c>
      <c r="CL23" s="411">
        <f t="shared" si="18"/>
        <v>0</v>
      </c>
      <c r="CM23" s="412">
        <f t="shared" si="82"/>
        <v>0</v>
      </c>
      <c r="CN23" s="413">
        <f t="shared" si="19"/>
        <v>0</v>
      </c>
      <c r="CO23" s="411">
        <f t="shared" si="20"/>
        <v>0</v>
      </c>
      <c r="CP23" s="429" t="e">
        <f t="shared" si="21"/>
        <v>#DIV/0!</v>
      </c>
      <c r="CQ23" s="430">
        <f t="shared" si="83"/>
        <v>7</v>
      </c>
      <c r="CR23" s="431">
        <f t="shared" si="84"/>
        <v>1</v>
      </c>
      <c r="CS23" s="332"/>
      <c r="CT23" s="322">
        <v>7</v>
      </c>
      <c r="CU23" s="331">
        <v>1</v>
      </c>
      <c r="CW23" s="436"/>
      <c r="DB23" s="438"/>
      <c r="DC23" s="430">
        <v>7</v>
      </c>
      <c r="DD23" s="402">
        <v>1</v>
      </c>
      <c r="DE23" s="438">
        <f t="shared" si="22"/>
        <v>2.2857142857142881E-4</v>
      </c>
      <c r="DF23" s="430">
        <f t="shared" si="23"/>
        <v>7</v>
      </c>
      <c r="DG23" s="402">
        <f t="shared" si="85"/>
        <v>1</v>
      </c>
      <c r="DH23" s="438">
        <f t="shared" si="25"/>
        <v>4.5714285714285762E-4</v>
      </c>
      <c r="DI23" s="430">
        <f t="shared" si="26"/>
        <v>7</v>
      </c>
      <c r="DJ23" s="402">
        <f t="shared" si="86"/>
        <v>1</v>
      </c>
      <c r="DK23" s="438">
        <f t="shared" si="28"/>
        <v>6.8571428571428635E-4</v>
      </c>
      <c r="DL23" s="430">
        <f t="shared" si="87"/>
        <v>7</v>
      </c>
      <c r="DM23" s="402">
        <f t="shared" si="88"/>
        <v>1</v>
      </c>
      <c r="DN23" s="438">
        <f t="shared" si="31"/>
        <v>9.1428571428571524E-4</v>
      </c>
      <c r="DO23" s="430">
        <f t="shared" si="89"/>
        <v>7</v>
      </c>
      <c r="DP23" s="402">
        <f t="shared" si="90"/>
        <v>1</v>
      </c>
      <c r="DQ23" s="438">
        <f t="shared" si="34"/>
        <v>1.142857142857144E-3</v>
      </c>
      <c r="DR23" s="430">
        <f t="shared" si="91"/>
        <v>7</v>
      </c>
      <c r="DS23" s="402">
        <f t="shared" si="92"/>
        <v>1</v>
      </c>
      <c r="DT23" s="438">
        <f t="shared" si="37"/>
        <v>2.2857142857142881E-3</v>
      </c>
      <c r="DU23" s="430">
        <f t="shared" si="93"/>
        <v>7</v>
      </c>
      <c r="DV23" s="402">
        <f t="shared" si="94"/>
        <v>1</v>
      </c>
      <c r="DW23" s="438">
        <f t="shared" si="40"/>
        <v>4.5714285714285761E-3</v>
      </c>
      <c r="DX23" s="430">
        <f t="shared" si="95"/>
        <v>7</v>
      </c>
      <c r="DY23" s="402">
        <f t="shared" si="96"/>
        <v>1</v>
      </c>
      <c r="DZ23" s="438">
        <f t="shared" si="43"/>
        <v>6.8571428571428637E-3</v>
      </c>
      <c r="EA23" s="430">
        <f t="shared" si="97"/>
        <v>7</v>
      </c>
      <c r="EB23" s="402">
        <f t="shared" si="98"/>
        <v>1</v>
      </c>
      <c r="EC23" s="438">
        <f t="shared" si="46"/>
        <v>9.1428571428571522E-3</v>
      </c>
      <c r="ED23" s="430">
        <f t="shared" si="99"/>
        <v>7</v>
      </c>
      <c r="EE23" s="402">
        <f t="shared" si="100"/>
        <v>1</v>
      </c>
      <c r="EF23" s="438">
        <f t="shared" si="49"/>
        <v>1.1428571428571441E-2</v>
      </c>
      <c r="EG23" s="430">
        <f t="shared" si="50"/>
        <v>14</v>
      </c>
      <c r="EH23" s="402">
        <f t="shared" si="51"/>
        <v>2</v>
      </c>
      <c r="EI23" s="438">
        <f t="shared" si="52"/>
        <v>1.1428571428571441E-2</v>
      </c>
      <c r="EJ23" s="430">
        <f t="shared" si="53"/>
        <v>28</v>
      </c>
      <c r="EK23" s="402">
        <f t="shared" si="54"/>
        <v>4</v>
      </c>
      <c r="EL23" s="438">
        <f t="shared" si="55"/>
        <v>1.1428571428571441E-2</v>
      </c>
      <c r="EM23" s="430">
        <f t="shared" si="56"/>
        <v>42</v>
      </c>
      <c r="EN23" s="402">
        <f t="shared" si="57"/>
        <v>6</v>
      </c>
      <c r="EO23" s="438">
        <f t="shared" si="58"/>
        <v>1.1428571428571441E-2</v>
      </c>
      <c r="EP23" s="430">
        <f t="shared" si="59"/>
        <v>56</v>
      </c>
      <c r="EQ23" s="402">
        <f t="shared" si="60"/>
        <v>8</v>
      </c>
      <c r="ER23" s="438">
        <f t="shared" si="61"/>
        <v>1.1428571428571441E-2</v>
      </c>
      <c r="ES23" s="430">
        <f t="shared" si="62"/>
        <v>70</v>
      </c>
      <c r="ET23" s="402">
        <f t="shared" si="63"/>
        <v>10</v>
      </c>
      <c r="EU23" s="438">
        <f t="shared" si="64"/>
        <v>1.1428571428571441E-2</v>
      </c>
      <c r="EV23" s="430">
        <f t="shared" si="65"/>
        <v>140</v>
      </c>
      <c r="EW23" s="402">
        <f t="shared" si="66"/>
        <v>20</v>
      </c>
      <c r="EX23" s="438">
        <f t="shared" si="67"/>
        <v>1.1428571428571441E-2</v>
      </c>
      <c r="EY23" s="430">
        <f t="shared" si="68"/>
        <v>280</v>
      </c>
      <c r="EZ23" s="402">
        <f t="shared" si="69"/>
        <v>40</v>
      </c>
      <c r="FA23" s="438">
        <f t="shared" si="70"/>
        <v>1.1428571428571441E-2</v>
      </c>
      <c r="FB23" s="430">
        <f t="shared" si="71"/>
        <v>420</v>
      </c>
      <c r="FC23" s="402">
        <f t="shared" si="72"/>
        <v>60</v>
      </c>
      <c r="FD23" s="438">
        <f t="shared" si="73"/>
        <v>1.1428571428571441E-2</v>
      </c>
      <c r="FE23" s="430">
        <f t="shared" si="74"/>
        <v>560</v>
      </c>
      <c r="FF23" s="402">
        <f t="shared" si="75"/>
        <v>80</v>
      </c>
      <c r="FG23" s="438">
        <f t="shared" si="76"/>
        <v>1.1428571428571441E-2</v>
      </c>
      <c r="FH23" s="430">
        <f t="shared" si="77"/>
        <v>700</v>
      </c>
      <c r="FI23" s="402">
        <f t="shared" si="78"/>
        <v>100</v>
      </c>
      <c r="FJ23" s="438">
        <f t="shared" si="79"/>
        <v>1.1428571428571441E-2</v>
      </c>
    </row>
    <row r="24" spans="1:166" x14ac:dyDescent="0.45">
      <c r="A24" s="1">
        <v>20</v>
      </c>
      <c r="B24" s="305"/>
      <c r="C24" s="1">
        <v>3</v>
      </c>
      <c r="D24" s="1">
        <v>-1</v>
      </c>
      <c r="E24" s="1">
        <v>10</v>
      </c>
      <c r="F24" s="1">
        <f t="shared" si="0"/>
        <v>10</v>
      </c>
      <c r="G24" s="1"/>
      <c r="H24" s="1">
        <f t="shared" si="103"/>
        <v>0</v>
      </c>
      <c r="I24" s="1">
        <f t="shared" si="2"/>
        <v>0</v>
      </c>
      <c r="J24" s="1">
        <v>0</v>
      </c>
      <c r="K24" s="313">
        <v>0</v>
      </c>
      <c r="L24" s="314">
        <v>1</v>
      </c>
      <c r="M24" s="320">
        <f>ROUND(IF(L24&lt;&gt;0,$BI$4/('全局参数|GlobalPar'!$B$18/10000/E24)/L24,0),6)</f>
        <v>0</v>
      </c>
      <c r="N24" s="320">
        <f t="shared" si="3"/>
        <v>0</v>
      </c>
      <c r="O24" s="323">
        <v>0</v>
      </c>
      <c r="P24" s="322">
        <v>8</v>
      </c>
      <c r="Q24" s="331">
        <v>1</v>
      </c>
      <c r="R24" s="332" t="s">
        <v>1144</v>
      </c>
      <c r="S24" s="1"/>
      <c r="T24" s="333">
        <v>0</v>
      </c>
      <c r="U24" s="348">
        <v>0</v>
      </c>
      <c r="V24" s="348">
        <v>0</v>
      </c>
      <c r="W24" s="348">
        <v>0</v>
      </c>
      <c r="X24" s="1" t="s">
        <v>1145</v>
      </c>
      <c r="Y24" s="192" t="s">
        <v>1146</v>
      </c>
      <c r="Z24" s="192">
        <v>0</v>
      </c>
      <c r="AA24" s="192">
        <v>0</v>
      </c>
      <c r="AB24" s="354">
        <v>8</v>
      </c>
      <c r="AC24" s="1">
        <v>-1</v>
      </c>
      <c r="AD24" s="1">
        <v>0</v>
      </c>
      <c r="AE24" s="1">
        <v>1</v>
      </c>
      <c r="AF24" s="1">
        <v>3</v>
      </c>
      <c r="AG24" s="1">
        <v>1</v>
      </c>
      <c r="AH24" s="1">
        <v>1.5</v>
      </c>
      <c r="AI24" s="1">
        <v>1</v>
      </c>
      <c r="AJ24" s="1">
        <v>1</v>
      </c>
      <c r="AK24" s="1">
        <v>1</v>
      </c>
      <c r="AL24" s="1" t="s">
        <v>1215</v>
      </c>
      <c r="AM24" s="1"/>
      <c r="AN24" s="1"/>
      <c r="AO24" s="356">
        <v>0.6</v>
      </c>
      <c r="AP24" s="1">
        <v>55</v>
      </c>
      <c r="AQ24" s="1">
        <v>0.18</v>
      </c>
      <c r="AR24" s="1">
        <v>0.8</v>
      </c>
      <c r="AS24" s="1">
        <v>1</v>
      </c>
      <c r="AT24" s="1" t="s">
        <v>1216</v>
      </c>
      <c r="AU24" s="358" t="s">
        <v>1217</v>
      </c>
      <c r="AV24" s="358" t="s">
        <v>1218</v>
      </c>
      <c r="AW24" s="360" t="s">
        <v>132</v>
      </c>
      <c r="AX24" s="360" t="s">
        <v>189</v>
      </c>
      <c r="AY24" s="1">
        <f t="shared" si="5"/>
        <v>7.5</v>
      </c>
      <c r="AZ24" s="362">
        <f t="shared" si="6"/>
        <v>8</v>
      </c>
      <c r="BA24" s="1" t="s">
        <v>1150</v>
      </c>
      <c r="BB24" s="1">
        <f t="shared" si="7"/>
        <v>1.119</v>
      </c>
      <c r="BC24" s="1"/>
      <c r="BD24" s="1">
        <f t="shared" si="8"/>
        <v>10</v>
      </c>
      <c r="BE24" s="1">
        <f t="shared" si="9"/>
        <v>10.600000000000001</v>
      </c>
      <c r="BG24" s="1">
        <f t="shared" si="10"/>
        <v>0</v>
      </c>
      <c r="BR24" s="301">
        <f t="shared" si="11"/>
        <v>11</v>
      </c>
      <c r="BS24" s="356">
        <f t="shared" si="101"/>
        <v>0.1</v>
      </c>
      <c r="BT24" s="297">
        <v>2</v>
      </c>
      <c r="BU24" s="1">
        <v>5</v>
      </c>
      <c r="BV24" s="297">
        <v>3</v>
      </c>
      <c r="BW24" s="1">
        <v>2</v>
      </c>
      <c r="BX24" s="297">
        <v>4</v>
      </c>
      <c r="BY24" s="1">
        <v>1</v>
      </c>
      <c r="BZ24" s="1">
        <f t="shared" si="80"/>
        <v>2.5</v>
      </c>
      <c r="CA24" s="1">
        <f t="shared" si="81"/>
        <v>7.5</v>
      </c>
      <c r="CB24" s="389">
        <f t="shared" si="104"/>
        <v>5.3332999999999998E-2</v>
      </c>
      <c r="CC24" s="1">
        <f t="shared" si="81"/>
        <v>15</v>
      </c>
      <c r="CD24" s="391">
        <f t="shared" si="105"/>
        <v>2.6667E-2</v>
      </c>
      <c r="CE24" s="1">
        <f t="shared" si="81"/>
        <v>22.5</v>
      </c>
      <c r="CF24" s="392">
        <f t="shared" si="106"/>
        <v>1.7777999999999999E-2</v>
      </c>
      <c r="CH24" s="190">
        <v>2E-3</v>
      </c>
      <c r="CI24" s="403">
        <f t="shared" si="102"/>
        <v>0</v>
      </c>
      <c r="CJ24" s="402">
        <f t="shared" si="16"/>
        <v>0</v>
      </c>
      <c r="CK24" s="411">
        <f t="shared" si="17"/>
        <v>0</v>
      </c>
      <c r="CL24" s="411">
        <f t="shared" si="18"/>
        <v>0</v>
      </c>
      <c r="CM24" s="412">
        <f t="shared" si="82"/>
        <v>0</v>
      </c>
      <c r="CN24" s="413">
        <f t="shared" si="19"/>
        <v>0</v>
      </c>
      <c r="CO24" s="411">
        <f t="shared" si="20"/>
        <v>0</v>
      </c>
      <c r="CP24" s="429" t="e">
        <f t="shared" si="21"/>
        <v>#DIV/0!</v>
      </c>
      <c r="CQ24" s="430">
        <f t="shared" si="83"/>
        <v>8</v>
      </c>
      <c r="CR24" s="431">
        <f t="shared" si="84"/>
        <v>1</v>
      </c>
      <c r="CS24" s="332"/>
      <c r="CT24" s="322">
        <v>8</v>
      </c>
      <c r="CU24" s="331">
        <v>1</v>
      </c>
      <c r="CW24" s="436"/>
      <c r="DB24" s="438"/>
      <c r="DC24" s="430">
        <v>8</v>
      </c>
      <c r="DD24" s="402">
        <v>1</v>
      </c>
      <c r="DE24" s="438">
        <f t="shared" si="22"/>
        <v>2.000000000000002E-4</v>
      </c>
      <c r="DF24" s="430">
        <f t="shared" si="23"/>
        <v>8</v>
      </c>
      <c r="DG24" s="402">
        <f t="shared" si="85"/>
        <v>1</v>
      </c>
      <c r="DH24" s="438">
        <f t="shared" si="25"/>
        <v>4.000000000000004E-4</v>
      </c>
      <c r="DI24" s="430">
        <f t="shared" si="26"/>
        <v>8</v>
      </c>
      <c r="DJ24" s="402">
        <f t="shared" si="86"/>
        <v>1</v>
      </c>
      <c r="DK24" s="438">
        <f t="shared" si="28"/>
        <v>6.000000000000006E-4</v>
      </c>
      <c r="DL24" s="430">
        <f t="shared" si="87"/>
        <v>8</v>
      </c>
      <c r="DM24" s="402">
        <f t="shared" si="88"/>
        <v>1</v>
      </c>
      <c r="DN24" s="438">
        <f t="shared" si="31"/>
        <v>8.000000000000008E-4</v>
      </c>
      <c r="DO24" s="430">
        <f t="shared" si="89"/>
        <v>8</v>
      </c>
      <c r="DP24" s="402">
        <f t="shared" si="90"/>
        <v>1</v>
      </c>
      <c r="DQ24" s="438">
        <f t="shared" si="34"/>
        <v>1.0000000000000011E-3</v>
      </c>
      <c r="DR24" s="430">
        <f t="shared" si="91"/>
        <v>8</v>
      </c>
      <c r="DS24" s="402">
        <f t="shared" si="92"/>
        <v>1</v>
      </c>
      <c r="DT24" s="438">
        <f t="shared" si="37"/>
        <v>2.0000000000000022E-3</v>
      </c>
      <c r="DU24" s="430">
        <f t="shared" si="93"/>
        <v>8</v>
      </c>
      <c r="DV24" s="402">
        <f t="shared" si="94"/>
        <v>1</v>
      </c>
      <c r="DW24" s="438">
        <f t="shared" si="40"/>
        <v>4.0000000000000044E-3</v>
      </c>
      <c r="DX24" s="430">
        <f t="shared" si="95"/>
        <v>8</v>
      </c>
      <c r="DY24" s="402">
        <f t="shared" si="96"/>
        <v>1</v>
      </c>
      <c r="DZ24" s="438">
        <f t="shared" si="43"/>
        <v>6.0000000000000062E-3</v>
      </c>
      <c r="EA24" s="430">
        <f t="shared" si="97"/>
        <v>8</v>
      </c>
      <c r="EB24" s="402">
        <f t="shared" si="98"/>
        <v>1</v>
      </c>
      <c r="EC24" s="438">
        <f t="shared" si="46"/>
        <v>8.0000000000000088E-3</v>
      </c>
      <c r="ED24" s="430">
        <f t="shared" si="99"/>
        <v>8</v>
      </c>
      <c r="EE24" s="402">
        <f t="shared" si="100"/>
        <v>1</v>
      </c>
      <c r="EF24" s="438">
        <f t="shared" si="49"/>
        <v>1.0000000000000011E-2</v>
      </c>
      <c r="EG24" s="430">
        <f t="shared" si="50"/>
        <v>16</v>
      </c>
      <c r="EH24" s="402">
        <f t="shared" si="51"/>
        <v>2</v>
      </c>
      <c r="EI24" s="438">
        <f t="shared" si="52"/>
        <v>1.0000000000000011E-2</v>
      </c>
      <c r="EJ24" s="430">
        <f t="shared" si="53"/>
        <v>32</v>
      </c>
      <c r="EK24" s="402">
        <f t="shared" si="54"/>
        <v>4</v>
      </c>
      <c r="EL24" s="438">
        <f t="shared" si="55"/>
        <v>1.0000000000000011E-2</v>
      </c>
      <c r="EM24" s="430">
        <f t="shared" si="56"/>
        <v>48</v>
      </c>
      <c r="EN24" s="402">
        <f t="shared" si="57"/>
        <v>6</v>
      </c>
      <c r="EO24" s="438">
        <f t="shared" si="58"/>
        <v>1.0000000000000011E-2</v>
      </c>
      <c r="EP24" s="430">
        <f t="shared" si="59"/>
        <v>64</v>
      </c>
      <c r="EQ24" s="402">
        <f t="shared" si="60"/>
        <v>8</v>
      </c>
      <c r="ER24" s="438">
        <f t="shared" si="61"/>
        <v>1.0000000000000011E-2</v>
      </c>
      <c r="ES24" s="430">
        <f t="shared" si="62"/>
        <v>80</v>
      </c>
      <c r="ET24" s="402">
        <f t="shared" si="63"/>
        <v>10</v>
      </c>
      <c r="EU24" s="438">
        <f t="shared" si="64"/>
        <v>1.0000000000000011E-2</v>
      </c>
      <c r="EV24" s="430">
        <f t="shared" si="65"/>
        <v>160</v>
      </c>
      <c r="EW24" s="402">
        <f t="shared" si="66"/>
        <v>20</v>
      </c>
      <c r="EX24" s="438">
        <f t="shared" si="67"/>
        <v>1.0000000000000011E-2</v>
      </c>
      <c r="EY24" s="430">
        <f t="shared" si="68"/>
        <v>320</v>
      </c>
      <c r="EZ24" s="402">
        <f t="shared" si="69"/>
        <v>40</v>
      </c>
      <c r="FA24" s="438">
        <f t="shared" si="70"/>
        <v>1.0000000000000011E-2</v>
      </c>
      <c r="FB24" s="430">
        <f t="shared" si="71"/>
        <v>480</v>
      </c>
      <c r="FC24" s="402">
        <f t="shared" si="72"/>
        <v>60</v>
      </c>
      <c r="FD24" s="438">
        <f t="shared" si="73"/>
        <v>1.0000000000000011E-2</v>
      </c>
      <c r="FE24" s="430">
        <f t="shared" si="74"/>
        <v>640</v>
      </c>
      <c r="FF24" s="402">
        <f t="shared" si="75"/>
        <v>80</v>
      </c>
      <c r="FG24" s="438">
        <f t="shared" si="76"/>
        <v>1.0000000000000011E-2</v>
      </c>
      <c r="FH24" s="430">
        <f t="shared" si="77"/>
        <v>800</v>
      </c>
      <c r="FI24" s="402">
        <f t="shared" si="78"/>
        <v>100</v>
      </c>
      <c r="FJ24" s="438">
        <f t="shared" si="79"/>
        <v>1.0000000000000011E-2</v>
      </c>
    </row>
    <row r="25" spans="1:166" x14ac:dyDescent="0.45">
      <c r="A25" s="1">
        <v>21</v>
      </c>
      <c r="B25" s="305"/>
      <c r="C25" s="1">
        <v>3</v>
      </c>
      <c r="D25" s="1">
        <v>-1</v>
      </c>
      <c r="E25" s="1">
        <v>10</v>
      </c>
      <c r="F25" s="1">
        <f t="shared" si="0"/>
        <v>10</v>
      </c>
      <c r="G25" s="1"/>
      <c r="H25" s="1">
        <f t="shared" si="103"/>
        <v>0</v>
      </c>
      <c r="I25" s="1">
        <f t="shared" si="2"/>
        <v>0</v>
      </c>
      <c r="J25" s="1">
        <v>0</v>
      </c>
      <c r="K25" s="313">
        <v>0</v>
      </c>
      <c r="L25" s="314">
        <v>1</v>
      </c>
      <c r="M25" s="320">
        <f>ROUND(IF(L25&lt;&gt;0,$BI$4/('全局参数|GlobalPar'!$B$18/10000/E25)/L25,0),6)</f>
        <v>0</v>
      </c>
      <c r="N25" s="320">
        <f t="shared" si="3"/>
        <v>0</v>
      </c>
      <c r="O25" s="323">
        <v>0</v>
      </c>
      <c r="P25" s="322">
        <v>8</v>
      </c>
      <c r="Q25" s="331">
        <v>1</v>
      </c>
      <c r="R25" s="332" t="s">
        <v>1144</v>
      </c>
      <c r="S25" s="1"/>
      <c r="T25" s="333">
        <v>0</v>
      </c>
      <c r="U25" s="348">
        <v>0</v>
      </c>
      <c r="V25" s="348">
        <v>0</v>
      </c>
      <c r="W25" s="348">
        <v>0</v>
      </c>
      <c r="X25" s="1" t="s">
        <v>1145</v>
      </c>
      <c r="Y25" s="192" t="s">
        <v>1146</v>
      </c>
      <c r="Z25" s="192">
        <v>0</v>
      </c>
      <c r="AA25" s="192">
        <v>0</v>
      </c>
      <c r="AB25" s="354">
        <v>9</v>
      </c>
      <c r="AC25" s="1">
        <v>-1</v>
      </c>
      <c r="AD25" s="1">
        <v>0</v>
      </c>
      <c r="AE25" s="1">
        <v>1</v>
      </c>
      <c r="AF25" s="1">
        <v>3</v>
      </c>
      <c r="AG25" s="1">
        <v>1</v>
      </c>
      <c r="AH25" s="1">
        <v>1.5</v>
      </c>
      <c r="AI25" s="1">
        <v>1</v>
      </c>
      <c r="AJ25" s="1">
        <v>1</v>
      </c>
      <c r="AK25" s="1">
        <v>1</v>
      </c>
      <c r="AL25" s="196" t="s">
        <v>1215</v>
      </c>
      <c r="AM25" s="1"/>
      <c r="AN25" s="1"/>
      <c r="AO25" s="356">
        <v>0.6</v>
      </c>
      <c r="AP25" s="1">
        <v>60</v>
      </c>
      <c r="AQ25" s="1">
        <v>0.18</v>
      </c>
      <c r="AR25" s="1">
        <v>1</v>
      </c>
      <c r="AS25" s="1">
        <v>1</v>
      </c>
      <c r="AT25" s="1" t="s">
        <v>1216</v>
      </c>
      <c r="AU25" s="358" t="s">
        <v>1219</v>
      </c>
      <c r="AV25" s="358" t="s">
        <v>1220</v>
      </c>
      <c r="AW25" s="360" t="s">
        <v>1221</v>
      </c>
      <c r="AX25" s="360" t="s">
        <v>189</v>
      </c>
      <c r="AY25" s="1">
        <f t="shared" si="5"/>
        <v>7.5</v>
      </c>
      <c r="AZ25" s="362">
        <f t="shared" si="6"/>
        <v>8</v>
      </c>
      <c r="BA25" s="1" t="s">
        <v>1150</v>
      </c>
      <c r="BB25" s="1">
        <f t="shared" si="7"/>
        <v>1.119</v>
      </c>
      <c r="BC25" s="1"/>
      <c r="BD25" s="1">
        <f t="shared" si="8"/>
        <v>10</v>
      </c>
      <c r="BE25" s="1">
        <f t="shared" si="9"/>
        <v>10.600000000000001</v>
      </c>
      <c r="BG25" s="1">
        <f t="shared" si="10"/>
        <v>0</v>
      </c>
      <c r="BR25" s="301">
        <f t="shared" si="11"/>
        <v>11</v>
      </c>
      <c r="BS25" s="356">
        <f t="shared" si="101"/>
        <v>0.1</v>
      </c>
      <c r="BT25" s="297">
        <v>2</v>
      </c>
      <c r="BU25" s="1">
        <v>5</v>
      </c>
      <c r="BV25" s="297">
        <v>3</v>
      </c>
      <c r="BW25" s="1">
        <v>2</v>
      </c>
      <c r="BX25" s="297">
        <v>4</v>
      </c>
      <c r="BY25" s="1">
        <v>1</v>
      </c>
      <c r="BZ25" s="1">
        <f t="shared" si="80"/>
        <v>2.5</v>
      </c>
      <c r="CA25" s="1">
        <f t="shared" si="81"/>
        <v>7.5</v>
      </c>
      <c r="CB25" s="389">
        <f t="shared" si="104"/>
        <v>5.3332999999999998E-2</v>
      </c>
      <c r="CC25" s="1">
        <f t="shared" si="81"/>
        <v>15</v>
      </c>
      <c r="CD25" s="391">
        <f t="shared" si="105"/>
        <v>2.6667E-2</v>
      </c>
      <c r="CE25" s="1">
        <f t="shared" si="81"/>
        <v>22.5</v>
      </c>
      <c r="CF25" s="392">
        <f t="shared" si="106"/>
        <v>1.7777999999999999E-2</v>
      </c>
      <c r="CH25" s="190">
        <v>2E-3</v>
      </c>
      <c r="CI25" s="403">
        <f t="shared" si="102"/>
        <v>0</v>
      </c>
      <c r="CJ25" s="402">
        <f t="shared" si="16"/>
        <v>0</v>
      </c>
      <c r="CK25" s="411">
        <f t="shared" si="17"/>
        <v>0</v>
      </c>
      <c r="CL25" s="411">
        <f t="shared" si="18"/>
        <v>0</v>
      </c>
      <c r="CM25" s="412">
        <f t="shared" si="82"/>
        <v>0</v>
      </c>
      <c r="CN25" s="413">
        <f t="shared" si="19"/>
        <v>0</v>
      </c>
      <c r="CO25" s="411">
        <f t="shared" si="20"/>
        <v>0</v>
      </c>
      <c r="CP25" s="429" t="e">
        <f t="shared" si="21"/>
        <v>#DIV/0!</v>
      </c>
      <c r="CQ25" s="430">
        <f t="shared" si="83"/>
        <v>8</v>
      </c>
      <c r="CR25" s="431">
        <f t="shared" si="84"/>
        <v>1</v>
      </c>
      <c r="CS25" s="332"/>
      <c r="CT25" s="322">
        <v>8</v>
      </c>
      <c r="CU25" s="331">
        <v>1</v>
      </c>
      <c r="CW25" s="436"/>
      <c r="DB25" s="438"/>
      <c r="DC25" s="430">
        <v>8</v>
      </c>
      <c r="DD25" s="402">
        <v>1</v>
      </c>
      <c r="DE25" s="438">
        <f t="shared" si="22"/>
        <v>2.000000000000002E-4</v>
      </c>
      <c r="DF25" s="430">
        <f t="shared" si="23"/>
        <v>8</v>
      </c>
      <c r="DG25" s="402">
        <f t="shared" si="85"/>
        <v>1</v>
      </c>
      <c r="DH25" s="438">
        <f t="shared" si="25"/>
        <v>4.000000000000004E-4</v>
      </c>
      <c r="DI25" s="430">
        <f t="shared" si="26"/>
        <v>8</v>
      </c>
      <c r="DJ25" s="402">
        <f t="shared" si="86"/>
        <v>1</v>
      </c>
      <c r="DK25" s="438">
        <f t="shared" si="28"/>
        <v>6.000000000000006E-4</v>
      </c>
      <c r="DL25" s="430">
        <f t="shared" si="87"/>
        <v>8</v>
      </c>
      <c r="DM25" s="402">
        <f t="shared" si="88"/>
        <v>1</v>
      </c>
      <c r="DN25" s="438">
        <f t="shared" si="31"/>
        <v>8.000000000000008E-4</v>
      </c>
      <c r="DO25" s="430">
        <f t="shared" si="89"/>
        <v>8</v>
      </c>
      <c r="DP25" s="402">
        <f t="shared" si="90"/>
        <v>1</v>
      </c>
      <c r="DQ25" s="438">
        <f t="shared" si="34"/>
        <v>1.0000000000000011E-3</v>
      </c>
      <c r="DR25" s="430">
        <f t="shared" si="91"/>
        <v>8</v>
      </c>
      <c r="DS25" s="402">
        <f t="shared" si="92"/>
        <v>1</v>
      </c>
      <c r="DT25" s="438">
        <f t="shared" si="37"/>
        <v>2.0000000000000022E-3</v>
      </c>
      <c r="DU25" s="430">
        <f t="shared" si="93"/>
        <v>8</v>
      </c>
      <c r="DV25" s="402">
        <f t="shared" si="94"/>
        <v>1</v>
      </c>
      <c r="DW25" s="438">
        <f t="shared" si="40"/>
        <v>4.0000000000000044E-3</v>
      </c>
      <c r="DX25" s="430">
        <f t="shared" si="95"/>
        <v>8</v>
      </c>
      <c r="DY25" s="402">
        <f t="shared" si="96"/>
        <v>1</v>
      </c>
      <c r="DZ25" s="438">
        <f t="shared" si="43"/>
        <v>6.0000000000000062E-3</v>
      </c>
      <c r="EA25" s="430">
        <f t="shared" si="97"/>
        <v>8</v>
      </c>
      <c r="EB25" s="402">
        <f t="shared" si="98"/>
        <v>1</v>
      </c>
      <c r="EC25" s="438">
        <f t="shared" si="46"/>
        <v>8.0000000000000088E-3</v>
      </c>
      <c r="ED25" s="430">
        <f t="shared" si="99"/>
        <v>8</v>
      </c>
      <c r="EE25" s="402">
        <f t="shared" si="100"/>
        <v>1</v>
      </c>
      <c r="EF25" s="438">
        <f t="shared" si="49"/>
        <v>1.0000000000000011E-2</v>
      </c>
      <c r="EG25" s="430">
        <f t="shared" si="50"/>
        <v>16</v>
      </c>
      <c r="EH25" s="402">
        <f t="shared" si="51"/>
        <v>2</v>
      </c>
      <c r="EI25" s="438">
        <f t="shared" si="52"/>
        <v>1.0000000000000011E-2</v>
      </c>
      <c r="EJ25" s="430">
        <f t="shared" si="53"/>
        <v>32</v>
      </c>
      <c r="EK25" s="402">
        <f t="shared" si="54"/>
        <v>4</v>
      </c>
      <c r="EL25" s="438">
        <f t="shared" si="55"/>
        <v>1.0000000000000011E-2</v>
      </c>
      <c r="EM25" s="430">
        <f t="shared" si="56"/>
        <v>48</v>
      </c>
      <c r="EN25" s="402">
        <f t="shared" si="57"/>
        <v>6</v>
      </c>
      <c r="EO25" s="438">
        <f t="shared" si="58"/>
        <v>1.0000000000000011E-2</v>
      </c>
      <c r="EP25" s="430">
        <f t="shared" si="59"/>
        <v>64</v>
      </c>
      <c r="EQ25" s="402">
        <f t="shared" si="60"/>
        <v>8</v>
      </c>
      <c r="ER25" s="438">
        <f t="shared" si="61"/>
        <v>1.0000000000000011E-2</v>
      </c>
      <c r="ES25" s="430">
        <f t="shared" si="62"/>
        <v>80</v>
      </c>
      <c r="ET25" s="402">
        <f t="shared" si="63"/>
        <v>10</v>
      </c>
      <c r="EU25" s="438">
        <f t="shared" si="64"/>
        <v>1.0000000000000011E-2</v>
      </c>
      <c r="EV25" s="430">
        <f t="shared" si="65"/>
        <v>160</v>
      </c>
      <c r="EW25" s="402">
        <f t="shared" si="66"/>
        <v>20</v>
      </c>
      <c r="EX25" s="438">
        <f t="shared" si="67"/>
        <v>1.0000000000000011E-2</v>
      </c>
      <c r="EY25" s="430">
        <f t="shared" si="68"/>
        <v>320</v>
      </c>
      <c r="EZ25" s="402">
        <f t="shared" si="69"/>
        <v>40</v>
      </c>
      <c r="FA25" s="438">
        <f t="shared" si="70"/>
        <v>1.0000000000000011E-2</v>
      </c>
      <c r="FB25" s="430">
        <f t="shared" si="71"/>
        <v>480</v>
      </c>
      <c r="FC25" s="402">
        <f t="shared" si="72"/>
        <v>60</v>
      </c>
      <c r="FD25" s="438">
        <f t="shared" si="73"/>
        <v>1.0000000000000011E-2</v>
      </c>
      <c r="FE25" s="430">
        <f t="shared" si="74"/>
        <v>640</v>
      </c>
      <c r="FF25" s="402">
        <f t="shared" si="75"/>
        <v>80</v>
      </c>
      <c r="FG25" s="438">
        <f t="shared" si="76"/>
        <v>1.0000000000000011E-2</v>
      </c>
      <c r="FH25" s="430">
        <f t="shared" si="77"/>
        <v>800</v>
      </c>
      <c r="FI25" s="402">
        <f t="shared" si="78"/>
        <v>100</v>
      </c>
      <c r="FJ25" s="438">
        <f t="shared" si="79"/>
        <v>1.0000000000000011E-2</v>
      </c>
    </row>
    <row r="26" spans="1:166" x14ac:dyDescent="0.45">
      <c r="A26" s="1">
        <v>22</v>
      </c>
      <c r="B26" s="305"/>
      <c r="C26" s="1">
        <f>C13</f>
        <v>1</v>
      </c>
      <c r="D26" s="1">
        <f t="shared" ref="D26:AV26" si="107">D13</f>
        <v>-1</v>
      </c>
      <c r="E26" s="1">
        <v>10</v>
      </c>
      <c r="F26" s="1">
        <f t="shared" si="107"/>
        <v>4</v>
      </c>
      <c r="G26" s="1"/>
      <c r="H26" s="1">
        <f t="shared" si="107"/>
        <v>0</v>
      </c>
      <c r="I26" s="1">
        <f t="shared" si="107"/>
        <v>0</v>
      </c>
      <c r="J26" s="1">
        <f t="shared" si="107"/>
        <v>0</v>
      </c>
      <c r="K26" s="313">
        <v>0</v>
      </c>
      <c r="L26" s="1">
        <f t="shared" si="107"/>
        <v>1</v>
      </c>
      <c r="M26" s="1">
        <f t="shared" si="107"/>
        <v>0</v>
      </c>
      <c r="N26" s="1">
        <f t="shared" si="107"/>
        <v>0</v>
      </c>
      <c r="O26" s="1">
        <v>0</v>
      </c>
      <c r="P26" s="1">
        <f t="shared" si="107"/>
        <v>2</v>
      </c>
      <c r="Q26" s="1">
        <f t="shared" si="107"/>
        <v>1</v>
      </c>
      <c r="R26" s="332" t="s">
        <v>1144</v>
      </c>
      <c r="S26" s="1"/>
      <c r="T26" s="1">
        <f t="shared" si="107"/>
        <v>0</v>
      </c>
      <c r="U26" s="348">
        <v>0</v>
      </c>
      <c r="V26" s="348">
        <v>0</v>
      </c>
      <c r="W26" s="348">
        <v>0</v>
      </c>
      <c r="X26" s="1" t="s">
        <v>1145</v>
      </c>
      <c r="Y26" s="192" t="s">
        <v>1146</v>
      </c>
      <c r="Z26" s="192">
        <v>0</v>
      </c>
      <c r="AA26" s="192">
        <v>0</v>
      </c>
      <c r="AB26" s="1">
        <f t="shared" si="107"/>
        <v>4</v>
      </c>
      <c r="AC26" s="1">
        <f t="shared" si="107"/>
        <v>-1</v>
      </c>
      <c r="AD26" s="1">
        <f t="shared" si="107"/>
        <v>0</v>
      </c>
      <c r="AE26" s="1">
        <f t="shared" si="107"/>
        <v>0</v>
      </c>
      <c r="AF26" s="1">
        <f t="shared" si="107"/>
        <v>0</v>
      </c>
      <c r="AG26" s="1">
        <f t="shared" si="107"/>
        <v>1</v>
      </c>
      <c r="AH26" s="1">
        <v>1.5</v>
      </c>
      <c r="AI26" s="1">
        <f t="shared" si="107"/>
        <v>1</v>
      </c>
      <c r="AJ26" s="1">
        <f t="shared" si="107"/>
        <v>0.5</v>
      </c>
      <c r="AK26" s="1">
        <f t="shared" si="107"/>
        <v>1</v>
      </c>
      <c r="AL26" s="1">
        <f t="shared" si="107"/>
        <v>0</v>
      </c>
      <c r="AM26" s="1"/>
      <c r="AN26" s="1"/>
      <c r="AO26" s="1">
        <f t="shared" si="107"/>
        <v>0.6</v>
      </c>
      <c r="AP26" s="1">
        <f t="shared" si="107"/>
        <v>10</v>
      </c>
      <c r="AQ26" s="1">
        <f t="shared" si="107"/>
        <v>0.18</v>
      </c>
      <c r="AR26" s="1">
        <f t="shared" si="107"/>
        <v>0.8</v>
      </c>
      <c r="AS26" s="1">
        <f t="shared" si="107"/>
        <v>1</v>
      </c>
      <c r="AT26" s="1" t="str">
        <f t="shared" si="107"/>
        <v>0,0,1</v>
      </c>
      <c r="AU26" s="1" t="str">
        <f t="shared" si="107"/>
        <v>-1,4,60,22</v>
      </c>
      <c r="AV26" s="1" t="str">
        <f t="shared" si="107"/>
        <v>5.84,-0.48,40,36</v>
      </c>
      <c r="AW26" s="1"/>
      <c r="AX26" s="360" t="str">
        <f>AX13</f>
        <v>1</v>
      </c>
      <c r="AY26" s="360">
        <f t="shared" ref="AY26:BB26" si="108">AY13</f>
        <v>3</v>
      </c>
      <c r="AZ26" s="360">
        <f t="shared" si="108"/>
        <v>20</v>
      </c>
      <c r="BA26" s="360" t="str">
        <f t="shared" si="108"/>
        <v>是</v>
      </c>
      <c r="BB26" s="360">
        <f t="shared" si="108"/>
        <v>1.119</v>
      </c>
      <c r="BC26" s="1"/>
      <c r="BD26" s="1">
        <f t="shared" si="8"/>
        <v>10</v>
      </c>
      <c r="BE26" s="1">
        <f t="shared" si="9"/>
        <v>10.600000000000001</v>
      </c>
      <c r="BG26" s="1">
        <f t="shared" si="10"/>
        <v>0</v>
      </c>
      <c r="BR26" s="301">
        <f t="shared" si="11"/>
        <v>11</v>
      </c>
      <c r="BS26" s="356">
        <f t="shared" si="101"/>
        <v>0.1</v>
      </c>
      <c r="BT26" s="297">
        <v>2</v>
      </c>
      <c r="BU26" s="1">
        <v>5</v>
      </c>
      <c r="BV26" s="297">
        <v>3</v>
      </c>
      <c r="BW26" s="1">
        <v>2</v>
      </c>
      <c r="BX26" s="297">
        <v>4</v>
      </c>
      <c r="BY26" s="1">
        <v>1</v>
      </c>
      <c r="BZ26" s="1">
        <f t="shared" si="80"/>
        <v>2.5</v>
      </c>
      <c r="CA26" s="1">
        <f t="shared" si="81"/>
        <v>7.5</v>
      </c>
      <c r="CB26" s="389">
        <f t="shared" si="104"/>
        <v>5.3332999999999998E-2</v>
      </c>
      <c r="CC26" s="1">
        <f t="shared" si="81"/>
        <v>15</v>
      </c>
      <c r="CD26" s="391">
        <f t="shared" si="105"/>
        <v>2.6667E-2</v>
      </c>
      <c r="CE26" s="1">
        <f t="shared" si="81"/>
        <v>22.5</v>
      </c>
      <c r="CF26" s="392">
        <f t="shared" si="106"/>
        <v>1.7777999999999999E-2</v>
      </c>
      <c r="CH26" s="190">
        <v>2E-3</v>
      </c>
      <c r="CI26" s="403">
        <f t="shared" si="102"/>
        <v>0</v>
      </c>
      <c r="CJ26" s="402">
        <f t="shared" si="16"/>
        <v>0</v>
      </c>
      <c r="CK26" s="411">
        <f t="shared" si="17"/>
        <v>0</v>
      </c>
      <c r="CL26" s="411">
        <f t="shared" si="18"/>
        <v>0</v>
      </c>
      <c r="CM26" s="412">
        <f t="shared" si="82"/>
        <v>0</v>
      </c>
      <c r="CN26" s="413">
        <f t="shared" si="19"/>
        <v>0</v>
      </c>
      <c r="CO26" s="411">
        <f t="shared" si="20"/>
        <v>0</v>
      </c>
      <c r="CP26" s="429" t="e">
        <f t="shared" si="21"/>
        <v>#DIV/0!</v>
      </c>
      <c r="CQ26" s="430">
        <f t="shared" si="83"/>
        <v>9</v>
      </c>
      <c r="CR26" s="431">
        <f t="shared" si="84"/>
        <v>1</v>
      </c>
      <c r="CS26" s="332"/>
      <c r="CT26" s="322">
        <v>9</v>
      </c>
      <c r="CU26" s="331">
        <v>1</v>
      </c>
      <c r="CW26" s="436"/>
      <c r="DB26" s="438"/>
      <c r="DC26" s="430">
        <f>DC11</f>
        <v>2</v>
      </c>
      <c r="DD26" s="402">
        <v>1</v>
      </c>
      <c r="DE26" s="438">
        <f t="shared" si="22"/>
        <v>8.000000000000008E-4</v>
      </c>
      <c r="DF26" s="430">
        <f t="shared" si="23"/>
        <v>2</v>
      </c>
      <c r="DG26" s="402">
        <f t="shared" si="85"/>
        <v>1</v>
      </c>
      <c r="DH26" s="438">
        <f t="shared" si="25"/>
        <v>1.6000000000000016E-3</v>
      </c>
      <c r="DI26" s="430">
        <f t="shared" si="26"/>
        <v>2</v>
      </c>
      <c r="DJ26" s="402">
        <f t="shared" si="86"/>
        <v>1</v>
      </c>
      <c r="DK26" s="438">
        <f t="shared" si="28"/>
        <v>2.4000000000000024E-3</v>
      </c>
      <c r="DL26" s="430">
        <f t="shared" si="87"/>
        <v>2</v>
      </c>
      <c r="DM26" s="402">
        <f t="shared" si="88"/>
        <v>1</v>
      </c>
      <c r="DN26" s="438">
        <f t="shared" si="31"/>
        <v>3.2000000000000032E-3</v>
      </c>
      <c r="DO26" s="430">
        <f t="shared" si="89"/>
        <v>2</v>
      </c>
      <c r="DP26" s="402">
        <f t="shared" si="90"/>
        <v>1</v>
      </c>
      <c r="DQ26" s="438">
        <f t="shared" si="34"/>
        <v>4.0000000000000044E-3</v>
      </c>
      <c r="DR26" s="430">
        <f t="shared" si="91"/>
        <v>2</v>
      </c>
      <c r="DS26" s="402">
        <f t="shared" si="92"/>
        <v>1</v>
      </c>
      <c r="DT26" s="438">
        <f t="shared" si="37"/>
        <v>8.0000000000000088E-3</v>
      </c>
      <c r="DU26" s="430">
        <f t="shared" si="93"/>
        <v>2</v>
      </c>
      <c r="DV26" s="402">
        <f t="shared" si="94"/>
        <v>1</v>
      </c>
      <c r="DW26" s="438">
        <f t="shared" si="40"/>
        <v>1.6000000000000018E-2</v>
      </c>
      <c r="DX26" s="430">
        <f t="shared" si="95"/>
        <v>2</v>
      </c>
      <c r="DY26" s="402">
        <f t="shared" si="96"/>
        <v>1</v>
      </c>
      <c r="DZ26" s="438">
        <f t="shared" si="43"/>
        <v>2.4000000000000025E-2</v>
      </c>
      <c r="EA26" s="430">
        <f t="shared" si="97"/>
        <v>2</v>
      </c>
      <c r="EB26" s="402">
        <f t="shared" si="98"/>
        <v>1</v>
      </c>
      <c r="EC26" s="438">
        <f t="shared" si="46"/>
        <v>3.2000000000000035E-2</v>
      </c>
      <c r="ED26" s="430">
        <f t="shared" si="99"/>
        <v>2</v>
      </c>
      <c r="EE26" s="402">
        <f t="shared" si="100"/>
        <v>1</v>
      </c>
      <c r="EF26" s="438">
        <f t="shared" si="49"/>
        <v>4.0000000000000042E-2</v>
      </c>
      <c r="EG26" s="430">
        <f t="shared" si="50"/>
        <v>4</v>
      </c>
      <c r="EH26" s="402">
        <f t="shared" si="51"/>
        <v>2</v>
      </c>
      <c r="EI26" s="438">
        <f t="shared" si="52"/>
        <v>4.0000000000000042E-2</v>
      </c>
      <c r="EJ26" s="430">
        <f t="shared" si="53"/>
        <v>8</v>
      </c>
      <c r="EK26" s="402">
        <f t="shared" si="54"/>
        <v>4</v>
      </c>
      <c r="EL26" s="438">
        <f t="shared" si="55"/>
        <v>4.0000000000000042E-2</v>
      </c>
      <c r="EM26" s="430">
        <f t="shared" si="56"/>
        <v>12</v>
      </c>
      <c r="EN26" s="402">
        <f t="shared" si="57"/>
        <v>6</v>
      </c>
      <c r="EO26" s="438">
        <f t="shared" si="58"/>
        <v>4.0000000000000042E-2</v>
      </c>
      <c r="EP26" s="430">
        <f t="shared" si="59"/>
        <v>16</v>
      </c>
      <c r="EQ26" s="402">
        <f t="shared" si="60"/>
        <v>8</v>
      </c>
      <c r="ER26" s="438">
        <f t="shared" si="61"/>
        <v>4.0000000000000042E-2</v>
      </c>
      <c r="ES26" s="430">
        <f t="shared" si="62"/>
        <v>20</v>
      </c>
      <c r="ET26" s="402">
        <f t="shared" si="63"/>
        <v>10</v>
      </c>
      <c r="EU26" s="438">
        <f t="shared" si="64"/>
        <v>4.0000000000000042E-2</v>
      </c>
      <c r="EV26" s="430">
        <f t="shared" si="65"/>
        <v>40</v>
      </c>
      <c r="EW26" s="402">
        <f t="shared" si="66"/>
        <v>20</v>
      </c>
      <c r="EX26" s="438">
        <f t="shared" si="67"/>
        <v>4.0000000000000042E-2</v>
      </c>
      <c r="EY26" s="430">
        <f t="shared" si="68"/>
        <v>80</v>
      </c>
      <c r="EZ26" s="402">
        <f t="shared" si="69"/>
        <v>40</v>
      </c>
      <c r="FA26" s="438">
        <f t="shared" si="70"/>
        <v>4.0000000000000042E-2</v>
      </c>
      <c r="FB26" s="430">
        <f t="shared" si="71"/>
        <v>120</v>
      </c>
      <c r="FC26" s="402">
        <f t="shared" si="72"/>
        <v>60</v>
      </c>
      <c r="FD26" s="438">
        <f t="shared" si="73"/>
        <v>4.0000000000000042E-2</v>
      </c>
      <c r="FE26" s="430">
        <f t="shared" si="74"/>
        <v>160</v>
      </c>
      <c r="FF26" s="402">
        <f t="shared" si="75"/>
        <v>80</v>
      </c>
      <c r="FG26" s="438">
        <f t="shared" si="76"/>
        <v>4.0000000000000042E-2</v>
      </c>
      <c r="FH26" s="430">
        <f t="shared" si="77"/>
        <v>200</v>
      </c>
      <c r="FI26" s="402">
        <f t="shared" si="78"/>
        <v>100</v>
      </c>
      <c r="FJ26" s="438">
        <f t="shared" si="79"/>
        <v>4.0000000000000042E-2</v>
      </c>
    </row>
    <row r="27" spans="1:166" x14ac:dyDescent="0.45">
      <c r="A27" s="1">
        <v>23</v>
      </c>
      <c r="B27" s="306" t="s">
        <v>1222</v>
      </c>
      <c r="C27" s="1">
        <v>3</v>
      </c>
      <c r="D27" s="1">
        <v>-1</v>
      </c>
      <c r="E27" s="1">
        <v>12</v>
      </c>
      <c r="F27" s="1">
        <f t="shared" ref="F27:F40" si="109">IF(C27=4,BI27,E27)</f>
        <v>12</v>
      </c>
      <c r="G27" s="1"/>
      <c r="H27" s="1">
        <f t="shared" si="103"/>
        <v>0</v>
      </c>
      <c r="I27" s="1">
        <f t="shared" si="2"/>
        <v>0</v>
      </c>
      <c r="J27" s="1">
        <v>0</v>
      </c>
      <c r="K27" s="313">
        <v>0</v>
      </c>
      <c r="L27" s="314">
        <v>2</v>
      </c>
      <c r="M27" s="320">
        <f>ROUND(IF(L27&lt;&gt;0,$BI$4/('全局参数|GlobalPar'!$B$18/10000/E27)/L27,0),6)</f>
        <v>0</v>
      </c>
      <c r="N27" s="320">
        <f t="shared" ref="N27:N62" si="110">IF(A27=47,1,ROUND(E27*V27/$BL$2,6))</f>
        <v>0</v>
      </c>
      <c r="O27" s="323">
        <v>0</v>
      </c>
      <c r="P27" s="322">
        <v>9</v>
      </c>
      <c r="Q27" s="331">
        <v>1</v>
      </c>
      <c r="R27" s="332" t="s">
        <v>1144</v>
      </c>
      <c r="S27" s="1"/>
      <c r="T27" s="333">
        <v>0</v>
      </c>
      <c r="U27" s="348">
        <v>0</v>
      </c>
      <c r="V27" s="348">
        <v>0</v>
      </c>
      <c r="W27" s="348">
        <v>0</v>
      </c>
      <c r="X27" s="1" t="s">
        <v>1145</v>
      </c>
      <c r="Y27" s="192" t="s">
        <v>1146</v>
      </c>
      <c r="Z27" s="192">
        <v>0</v>
      </c>
      <c r="AA27" s="192">
        <v>0</v>
      </c>
      <c r="AB27" s="354">
        <v>10</v>
      </c>
      <c r="AC27" s="1">
        <v>13</v>
      </c>
      <c r="AD27" s="1">
        <v>0</v>
      </c>
      <c r="AE27" s="1">
        <v>1</v>
      </c>
      <c r="AF27" s="1">
        <v>3</v>
      </c>
      <c r="AG27" s="1">
        <v>1</v>
      </c>
      <c r="AH27" s="1">
        <v>1</v>
      </c>
      <c r="AI27" s="1">
        <v>1</v>
      </c>
      <c r="AJ27" s="1">
        <v>1</v>
      </c>
      <c r="AK27" s="1">
        <v>1</v>
      </c>
      <c r="AL27" s="1" t="s">
        <v>1223</v>
      </c>
      <c r="AM27" s="1"/>
      <c r="AN27" s="1"/>
      <c r="AO27" s="356">
        <v>0.6</v>
      </c>
      <c r="AP27" s="1">
        <v>65</v>
      </c>
      <c r="AQ27" s="1">
        <v>0.18</v>
      </c>
      <c r="AR27" s="1">
        <v>1</v>
      </c>
      <c r="AS27" s="1">
        <v>1</v>
      </c>
      <c r="AT27" s="1" t="s">
        <v>1216</v>
      </c>
      <c r="AU27" s="358" t="s">
        <v>1224</v>
      </c>
      <c r="AV27" s="358" t="s">
        <v>1225</v>
      </c>
      <c r="AW27" s="360" t="s">
        <v>1226</v>
      </c>
      <c r="AX27" s="360" t="s">
        <v>189</v>
      </c>
      <c r="AY27" s="1">
        <f t="shared" ref="AY27:AY62" si="111">IF(C27&lt;4,MIN($BC$1*$BC$3,BD27*$BC$2),BD27*0.1)</f>
        <v>9</v>
      </c>
      <c r="AZ27" s="362">
        <f t="shared" si="6"/>
        <v>6.666666666666667</v>
      </c>
      <c r="BA27" s="1" t="s">
        <v>1150</v>
      </c>
      <c r="BB27" s="1">
        <f t="shared" ref="BB27:BB62" si="112">ROUND(IF(AD27=0,AH27/2/0.67,AH27),3)</f>
        <v>0.746</v>
      </c>
      <c r="BC27" s="1"/>
      <c r="BD27" s="1">
        <f t="shared" si="8"/>
        <v>12</v>
      </c>
      <c r="BE27" s="1">
        <f t="shared" si="9"/>
        <v>12.72</v>
      </c>
      <c r="BG27" s="1">
        <f t="shared" si="10"/>
        <v>0</v>
      </c>
      <c r="BJ27" s="379" t="s">
        <v>1227</v>
      </c>
      <c r="BR27" s="301">
        <f t="shared" si="11"/>
        <v>13.200000000000001</v>
      </c>
      <c r="BS27" s="356">
        <f t="shared" si="101"/>
        <v>0.1</v>
      </c>
      <c r="BT27" s="297">
        <v>2</v>
      </c>
      <c r="BU27" s="1">
        <v>5</v>
      </c>
      <c r="BV27" s="297">
        <v>3</v>
      </c>
      <c r="BW27" s="1">
        <v>2</v>
      </c>
      <c r="BX27" s="297">
        <v>4</v>
      </c>
      <c r="BY27" s="1">
        <v>1</v>
      </c>
      <c r="BZ27" s="1">
        <f t="shared" si="80"/>
        <v>2.5</v>
      </c>
      <c r="CA27" s="1">
        <f t="shared" si="81"/>
        <v>7.5</v>
      </c>
      <c r="CB27" s="389">
        <f t="shared" si="104"/>
        <v>6.4000000000000001E-2</v>
      </c>
      <c r="CC27" s="1">
        <f t="shared" si="81"/>
        <v>15</v>
      </c>
      <c r="CD27" s="391">
        <f t="shared" si="105"/>
        <v>3.2000000000000001E-2</v>
      </c>
      <c r="CE27" s="1">
        <f t="shared" si="81"/>
        <v>22.5</v>
      </c>
      <c r="CF27" s="392">
        <f t="shared" si="106"/>
        <v>2.1333000000000001E-2</v>
      </c>
      <c r="CH27" s="190">
        <v>2E-3</v>
      </c>
      <c r="CI27" s="403">
        <f t="shared" si="102"/>
        <v>0</v>
      </c>
      <c r="CJ27" s="402">
        <f t="shared" si="16"/>
        <v>0</v>
      </c>
      <c r="CK27" s="411">
        <f t="shared" si="17"/>
        <v>0</v>
      </c>
      <c r="CL27" s="411">
        <f t="shared" si="18"/>
        <v>0</v>
      </c>
      <c r="CM27" s="412">
        <f t="shared" si="82"/>
        <v>0</v>
      </c>
      <c r="CN27" s="413">
        <f t="shared" si="19"/>
        <v>0</v>
      </c>
      <c r="CO27" s="411">
        <f t="shared" si="20"/>
        <v>0</v>
      </c>
      <c r="CP27" s="429" t="e">
        <f t="shared" si="21"/>
        <v>#DIV/0!</v>
      </c>
      <c r="CQ27" s="430">
        <f t="shared" si="83"/>
        <v>9</v>
      </c>
      <c r="CR27" s="431">
        <f t="shared" si="84"/>
        <v>1</v>
      </c>
      <c r="CS27" s="332"/>
      <c r="CT27" s="322">
        <v>9</v>
      </c>
      <c r="CU27" s="331">
        <v>1</v>
      </c>
      <c r="CW27" s="436"/>
      <c r="DB27" s="438"/>
      <c r="DC27" s="430">
        <v>9</v>
      </c>
      <c r="DD27" s="402">
        <v>1</v>
      </c>
      <c r="DE27" s="438">
        <f t="shared" si="22"/>
        <v>2.1333333333333355E-4</v>
      </c>
      <c r="DF27" s="430">
        <f t="shared" si="23"/>
        <v>9</v>
      </c>
      <c r="DG27" s="402">
        <f t="shared" si="85"/>
        <v>1</v>
      </c>
      <c r="DH27" s="438">
        <f t="shared" si="25"/>
        <v>4.266666666666671E-4</v>
      </c>
      <c r="DI27" s="430">
        <f t="shared" si="26"/>
        <v>9</v>
      </c>
      <c r="DJ27" s="402">
        <f t="shared" si="86"/>
        <v>1</v>
      </c>
      <c r="DK27" s="438">
        <f t="shared" si="28"/>
        <v>6.4000000000000059E-4</v>
      </c>
      <c r="DL27" s="430">
        <f t="shared" si="87"/>
        <v>9</v>
      </c>
      <c r="DM27" s="402">
        <f t="shared" si="88"/>
        <v>1</v>
      </c>
      <c r="DN27" s="438">
        <f t="shared" si="31"/>
        <v>8.533333333333342E-4</v>
      </c>
      <c r="DO27" s="430">
        <f t="shared" si="89"/>
        <v>9</v>
      </c>
      <c r="DP27" s="402">
        <f t="shared" si="90"/>
        <v>1</v>
      </c>
      <c r="DQ27" s="438">
        <f t="shared" si="34"/>
        <v>1.0666666666666678E-3</v>
      </c>
      <c r="DR27" s="430">
        <f t="shared" si="91"/>
        <v>9</v>
      </c>
      <c r="DS27" s="402">
        <f t="shared" si="92"/>
        <v>1</v>
      </c>
      <c r="DT27" s="438">
        <f t="shared" si="37"/>
        <v>2.1333333333333356E-3</v>
      </c>
      <c r="DU27" s="430">
        <f t="shared" si="93"/>
        <v>9</v>
      </c>
      <c r="DV27" s="402">
        <f t="shared" si="94"/>
        <v>1</v>
      </c>
      <c r="DW27" s="438">
        <f t="shared" si="40"/>
        <v>4.2666666666666712E-3</v>
      </c>
      <c r="DX27" s="430">
        <f t="shared" si="95"/>
        <v>9</v>
      </c>
      <c r="DY27" s="402">
        <f t="shared" si="96"/>
        <v>1</v>
      </c>
      <c r="DZ27" s="438">
        <f t="shared" si="43"/>
        <v>6.4000000000000064E-3</v>
      </c>
      <c r="EA27" s="430">
        <f t="shared" si="97"/>
        <v>9</v>
      </c>
      <c r="EB27" s="402">
        <f t="shared" si="98"/>
        <v>1</v>
      </c>
      <c r="EC27" s="438">
        <f t="shared" si="46"/>
        <v>8.5333333333333424E-3</v>
      </c>
      <c r="ED27" s="430">
        <f t="shared" si="99"/>
        <v>9</v>
      </c>
      <c r="EE27" s="402">
        <f t="shared" si="100"/>
        <v>1</v>
      </c>
      <c r="EF27" s="438">
        <f t="shared" si="49"/>
        <v>1.0666666666666677E-2</v>
      </c>
      <c r="EG27" s="430">
        <f t="shared" si="50"/>
        <v>18</v>
      </c>
      <c r="EH27" s="402">
        <f t="shared" si="51"/>
        <v>2</v>
      </c>
      <c r="EI27" s="438">
        <f t="shared" si="52"/>
        <v>1.0666666666666677E-2</v>
      </c>
      <c r="EJ27" s="430">
        <f t="shared" si="53"/>
        <v>36</v>
      </c>
      <c r="EK27" s="402">
        <f t="shared" si="54"/>
        <v>4</v>
      </c>
      <c r="EL27" s="438">
        <f t="shared" si="55"/>
        <v>1.0666666666666677E-2</v>
      </c>
      <c r="EM27" s="430">
        <f t="shared" si="56"/>
        <v>54</v>
      </c>
      <c r="EN27" s="402">
        <f t="shared" si="57"/>
        <v>6</v>
      </c>
      <c r="EO27" s="438">
        <f t="shared" si="58"/>
        <v>1.0666666666666677E-2</v>
      </c>
      <c r="EP27" s="430">
        <f t="shared" si="59"/>
        <v>72</v>
      </c>
      <c r="EQ27" s="402">
        <f t="shared" si="60"/>
        <v>8</v>
      </c>
      <c r="ER27" s="438">
        <f t="shared" si="61"/>
        <v>1.0666666666666677E-2</v>
      </c>
      <c r="ES27" s="430">
        <f t="shared" si="62"/>
        <v>90</v>
      </c>
      <c r="ET27" s="402">
        <f t="shared" si="63"/>
        <v>10</v>
      </c>
      <c r="EU27" s="438">
        <f t="shared" si="64"/>
        <v>1.0666666666666677E-2</v>
      </c>
      <c r="EV27" s="430">
        <f t="shared" si="65"/>
        <v>180</v>
      </c>
      <c r="EW27" s="402">
        <f t="shared" si="66"/>
        <v>20</v>
      </c>
      <c r="EX27" s="438">
        <f t="shared" si="67"/>
        <v>1.0666666666666677E-2</v>
      </c>
      <c r="EY27" s="430">
        <f t="shared" si="68"/>
        <v>360</v>
      </c>
      <c r="EZ27" s="402">
        <f t="shared" si="69"/>
        <v>40</v>
      </c>
      <c r="FA27" s="438">
        <f t="shared" si="70"/>
        <v>1.0666666666666677E-2</v>
      </c>
      <c r="FB27" s="430">
        <f t="shared" si="71"/>
        <v>540</v>
      </c>
      <c r="FC27" s="402">
        <f t="shared" si="72"/>
        <v>60</v>
      </c>
      <c r="FD27" s="438">
        <f t="shared" si="73"/>
        <v>1.0666666666666677E-2</v>
      </c>
      <c r="FE27" s="430">
        <f t="shared" si="74"/>
        <v>720</v>
      </c>
      <c r="FF27" s="402">
        <f t="shared" si="75"/>
        <v>80</v>
      </c>
      <c r="FG27" s="438">
        <f t="shared" si="76"/>
        <v>1.0666666666666677E-2</v>
      </c>
      <c r="FH27" s="430">
        <f t="shared" si="77"/>
        <v>900</v>
      </c>
      <c r="FI27" s="402">
        <f t="shared" si="78"/>
        <v>100</v>
      </c>
      <c r="FJ27" s="438">
        <f t="shared" si="79"/>
        <v>1.0666666666666677E-2</v>
      </c>
    </row>
    <row r="28" spans="1:166" x14ac:dyDescent="0.45">
      <c r="A28" s="1">
        <v>24</v>
      </c>
      <c r="B28" s="306" t="s">
        <v>1228</v>
      </c>
      <c r="C28" s="1">
        <v>3</v>
      </c>
      <c r="D28" s="1">
        <v>-1</v>
      </c>
      <c r="E28" s="1">
        <v>15</v>
      </c>
      <c r="F28" s="1">
        <f t="shared" si="109"/>
        <v>15</v>
      </c>
      <c r="G28" s="1"/>
      <c r="H28" s="1">
        <f t="shared" si="103"/>
        <v>0</v>
      </c>
      <c r="I28" s="1">
        <f t="shared" si="2"/>
        <v>0</v>
      </c>
      <c r="J28" s="1">
        <v>0</v>
      </c>
      <c r="K28" s="313">
        <v>0</v>
      </c>
      <c r="L28" s="314">
        <v>2</v>
      </c>
      <c r="M28" s="320">
        <f>ROUND(IF(L28&lt;&gt;0,$BI$4/('全局参数|GlobalPar'!$B$18/10000/E28)/L28,0),6)</f>
        <v>0</v>
      </c>
      <c r="N28" s="320">
        <f t="shared" si="110"/>
        <v>0</v>
      </c>
      <c r="O28" s="323">
        <v>0</v>
      </c>
      <c r="P28" s="322">
        <v>10</v>
      </c>
      <c r="Q28" s="331">
        <v>1</v>
      </c>
      <c r="R28" s="332" t="s">
        <v>1144</v>
      </c>
      <c r="S28" s="1"/>
      <c r="T28" s="333">
        <v>0</v>
      </c>
      <c r="U28" s="348">
        <v>0</v>
      </c>
      <c r="V28" s="348">
        <v>0</v>
      </c>
      <c r="W28" s="348">
        <v>0</v>
      </c>
      <c r="X28" s="1" t="s">
        <v>1145</v>
      </c>
      <c r="Y28" s="192" t="s">
        <v>1146</v>
      </c>
      <c r="Z28" s="192">
        <v>0</v>
      </c>
      <c r="AA28" s="192">
        <v>0</v>
      </c>
      <c r="AB28" s="354">
        <v>10</v>
      </c>
      <c r="AC28" s="1">
        <v>13</v>
      </c>
      <c r="AD28" s="1">
        <v>0</v>
      </c>
      <c r="AE28" s="1">
        <v>1</v>
      </c>
      <c r="AF28" s="1">
        <v>3</v>
      </c>
      <c r="AG28" s="1">
        <v>0</v>
      </c>
      <c r="AH28" s="1">
        <v>1</v>
      </c>
      <c r="AI28" s="1">
        <v>1</v>
      </c>
      <c r="AJ28" s="1">
        <v>1</v>
      </c>
      <c r="AK28" s="1">
        <v>1</v>
      </c>
      <c r="AL28" s="1" t="s">
        <v>1223</v>
      </c>
      <c r="AM28" s="1"/>
      <c r="AN28" s="1"/>
      <c r="AO28" s="356">
        <v>0.6</v>
      </c>
      <c r="AP28" s="1">
        <v>70</v>
      </c>
      <c r="AQ28" s="1">
        <v>0.18</v>
      </c>
      <c r="AR28" s="1">
        <v>0.8</v>
      </c>
      <c r="AS28" s="1">
        <v>1</v>
      </c>
      <c r="AT28" s="1" t="s">
        <v>1216</v>
      </c>
      <c r="AU28" s="359" t="s">
        <v>1229</v>
      </c>
      <c r="AV28" s="359" t="s">
        <v>1230</v>
      </c>
      <c r="AW28" s="360" t="s">
        <v>1231</v>
      </c>
      <c r="AX28" s="360" t="s">
        <v>189</v>
      </c>
      <c r="AY28" s="1">
        <f t="shared" si="111"/>
        <v>11.25</v>
      </c>
      <c r="AZ28" s="362">
        <f t="shared" si="6"/>
        <v>5.333333333333333</v>
      </c>
      <c r="BA28" s="1" t="s">
        <v>1150</v>
      </c>
      <c r="BB28" s="1">
        <f t="shared" si="112"/>
        <v>0.746</v>
      </c>
      <c r="BC28" s="1"/>
      <c r="BD28" s="1">
        <f t="shared" si="8"/>
        <v>15</v>
      </c>
      <c r="BE28" s="1">
        <f t="shared" si="9"/>
        <v>15.9</v>
      </c>
      <c r="BG28" s="1">
        <f t="shared" si="10"/>
        <v>0</v>
      </c>
      <c r="BI28" s="510" t="s">
        <v>1232</v>
      </c>
      <c r="BJ28" s="511"/>
      <c r="BK28" s="512" t="s">
        <v>1233</v>
      </c>
      <c r="BL28" s="512"/>
      <c r="BM28" s="513" t="s">
        <v>1234</v>
      </c>
      <c r="BN28" s="513"/>
      <c r="BR28" s="301">
        <f t="shared" si="11"/>
        <v>16.5</v>
      </c>
      <c r="BS28" s="356">
        <f t="shared" si="101"/>
        <v>0.1</v>
      </c>
      <c r="BT28" s="297">
        <v>2</v>
      </c>
      <c r="BU28" s="1">
        <v>5</v>
      </c>
      <c r="BV28" s="297">
        <v>3</v>
      </c>
      <c r="BW28" s="1">
        <v>2</v>
      </c>
      <c r="BX28" s="297">
        <v>4</v>
      </c>
      <c r="BY28" s="1">
        <v>1</v>
      </c>
      <c r="BZ28" s="1">
        <f t="shared" si="80"/>
        <v>2.5</v>
      </c>
      <c r="CA28" s="1">
        <f t="shared" si="81"/>
        <v>7.5</v>
      </c>
      <c r="CB28" s="389">
        <f t="shared" si="104"/>
        <v>0.08</v>
      </c>
      <c r="CC28" s="1">
        <f t="shared" si="81"/>
        <v>15</v>
      </c>
      <c r="CD28" s="391">
        <f t="shared" si="105"/>
        <v>0.04</v>
      </c>
      <c r="CE28" s="1">
        <f t="shared" si="81"/>
        <v>22.5</v>
      </c>
      <c r="CF28" s="392">
        <f t="shared" si="106"/>
        <v>2.6667E-2</v>
      </c>
      <c r="CH28" s="190">
        <v>2E-3</v>
      </c>
      <c r="CI28" s="403">
        <f t="shared" si="102"/>
        <v>0</v>
      </c>
      <c r="CJ28" s="402">
        <f t="shared" si="16"/>
        <v>0</v>
      </c>
      <c r="CK28" s="411">
        <f t="shared" si="17"/>
        <v>0</v>
      </c>
      <c r="CL28" s="411">
        <f t="shared" si="18"/>
        <v>0</v>
      </c>
      <c r="CM28" s="412">
        <f t="shared" si="82"/>
        <v>0</v>
      </c>
      <c r="CN28" s="413">
        <f t="shared" si="19"/>
        <v>0</v>
      </c>
      <c r="CO28" s="411">
        <f t="shared" si="20"/>
        <v>0</v>
      </c>
      <c r="CP28" s="429" t="e">
        <f t="shared" si="21"/>
        <v>#DIV/0!</v>
      </c>
      <c r="CQ28" s="430">
        <f t="shared" si="83"/>
        <v>10</v>
      </c>
      <c r="CR28" s="431">
        <f t="shared" si="84"/>
        <v>1</v>
      </c>
      <c r="CS28" s="332"/>
      <c r="CT28" s="322">
        <v>10</v>
      </c>
      <c r="CU28" s="331">
        <v>1</v>
      </c>
      <c r="CW28" s="436"/>
      <c r="DB28" s="438"/>
      <c r="DC28" s="430">
        <v>10</v>
      </c>
      <c r="DD28" s="402">
        <v>1</v>
      </c>
      <c r="DE28" s="438">
        <f t="shared" si="22"/>
        <v>2.4000000000000025E-4</v>
      </c>
      <c r="DF28" s="430">
        <f t="shared" si="23"/>
        <v>10</v>
      </c>
      <c r="DG28" s="402">
        <f t="shared" si="85"/>
        <v>1</v>
      </c>
      <c r="DH28" s="438">
        <f t="shared" si="25"/>
        <v>4.800000000000005E-4</v>
      </c>
      <c r="DI28" s="430">
        <f t="shared" si="26"/>
        <v>10</v>
      </c>
      <c r="DJ28" s="402">
        <f t="shared" si="86"/>
        <v>1</v>
      </c>
      <c r="DK28" s="438">
        <f t="shared" si="28"/>
        <v>7.200000000000007E-4</v>
      </c>
      <c r="DL28" s="430">
        <f t="shared" si="87"/>
        <v>10</v>
      </c>
      <c r="DM28" s="402">
        <f t="shared" si="88"/>
        <v>1</v>
      </c>
      <c r="DN28" s="438">
        <f t="shared" si="31"/>
        <v>9.60000000000001E-4</v>
      </c>
      <c r="DO28" s="430">
        <f t="shared" si="89"/>
        <v>10</v>
      </c>
      <c r="DP28" s="402">
        <f t="shared" si="90"/>
        <v>1</v>
      </c>
      <c r="DQ28" s="438">
        <f t="shared" si="34"/>
        <v>1.2000000000000012E-3</v>
      </c>
      <c r="DR28" s="430">
        <f t="shared" si="91"/>
        <v>10</v>
      </c>
      <c r="DS28" s="402">
        <f t="shared" si="92"/>
        <v>1</v>
      </c>
      <c r="DT28" s="438">
        <f t="shared" si="37"/>
        <v>2.4000000000000024E-3</v>
      </c>
      <c r="DU28" s="430">
        <f t="shared" si="93"/>
        <v>10</v>
      </c>
      <c r="DV28" s="402">
        <f t="shared" si="94"/>
        <v>1</v>
      </c>
      <c r="DW28" s="438">
        <f t="shared" si="40"/>
        <v>4.8000000000000048E-3</v>
      </c>
      <c r="DX28" s="430">
        <f t="shared" si="95"/>
        <v>10</v>
      </c>
      <c r="DY28" s="402">
        <f t="shared" si="96"/>
        <v>1</v>
      </c>
      <c r="DZ28" s="438">
        <f t="shared" si="43"/>
        <v>7.2000000000000076E-3</v>
      </c>
      <c r="EA28" s="430">
        <f t="shared" si="97"/>
        <v>10</v>
      </c>
      <c r="EB28" s="402">
        <f t="shared" si="98"/>
        <v>1</v>
      </c>
      <c r="EC28" s="438">
        <f t="shared" si="46"/>
        <v>9.6000000000000096E-3</v>
      </c>
      <c r="ED28" s="430">
        <f t="shared" si="99"/>
        <v>10</v>
      </c>
      <c r="EE28" s="402">
        <f t="shared" si="100"/>
        <v>1</v>
      </c>
      <c r="EF28" s="438">
        <f t="shared" si="49"/>
        <v>1.2000000000000012E-2</v>
      </c>
      <c r="EG28" s="430">
        <f t="shared" si="50"/>
        <v>20</v>
      </c>
      <c r="EH28" s="402">
        <f t="shared" si="51"/>
        <v>2</v>
      </c>
      <c r="EI28" s="438">
        <f t="shared" si="52"/>
        <v>1.2000000000000012E-2</v>
      </c>
      <c r="EJ28" s="430">
        <f t="shared" si="53"/>
        <v>40</v>
      </c>
      <c r="EK28" s="402">
        <f t="shared" si="54"/>
        <v>4</v>
      </c>
      <c r="EL28" s="438">
        <f t="shared" si="55"/>
        <v>1.2000000000000012E-2</v>
      </c>
      <c r="EM28" s="430">
        <f t="shared" si="56"/>
        <v>60</v>
      </c>
      <c r="EN28" s="402">
        <f t="shared" si="57"/>
        <v>6</v>
      </c>
      <c r="EO28" s="438">
        <f t="shared" si="58"/>
        <v>1.2000000000000012E-2</v>
      </c>
      <c r="EP28" s="430">
        <f t="shared" si="59"/>
        <v>80</v>
      </c>
      <c r="EQ28" s="402">
        <f t="shared" si="60"/>
        <v>8</v>
      </c>
      <c r="ER28" s="438">
        <f t="shared" si="61"/>
        <v>1.2000000000000012E-2</v>
      </c>
      <c r="ES28" s="430">
        <f t="shared" si="62"/>
        <v>100</v>
      </c>
      <c r="ET28" s="402">
        <f t="shared" si="63"/>
        <v>10</v>
      </c>
      <c r="EU28" s="438">
        <f t="shared" si="64"/>
        <v>1.2000000000000012E-2</v>
      </c>
      <c r="EV28" s="430">
        <f t="shared" si="65"/>
        <v>200</v>
      </c>
      <c r="EW28" s="402">
        <f t="shared" si="66"/>
        <v>20</v>
      </c>
      <c r="EX28" s="438">
        <f t="shared" si="67"/>
        <v>1.2000000000000012E-2</v>
      </c>
      <c r="EY28" s="430">
        <f t="shared" si="68"/>
        <v>400</v>
      </c>
      <c r="EZ28" s="402">
        <f t="shared" si="69"/>
        <v>40</v>
      </c>
      <c r="FA28" s="438">
        <f t="shared" si="70"/>
        <v>1.2000000000000012E-2</v>
      </c>
      <c r="FB28" s="430">
        <f t="shared" si="71"/>
        <v>600</v>
      </c>
      <c r="FC28" s="402">
        <f t="shared" si="72"/>
        <v>60</v>
      </c>
      <c r="FD28" s="438">
        <f t="shared" si="73"/>
        <v>1.2000000000000012E-2</v>
      </c>
      <c r="FE28" s="430">
        <f t="shared" si="74"/>
        <v>800</v>
      </c>
      <c r="FF28" s="402">
        <f t="shared" si="75"/>
        <v>80</v>
      </c>
      <c r="FG28" s="438">
        <f t="shared" si="76"/>
        <v>1.2000000000000012E-2</v>
      </c>
      <c r="FH28" s="430">
        <f t="shared" si="77"/>
        <v>1000</v>
      </c>
      <c r="FI28" s="402">
        <f t="shared" si="78"/>
        <v>100</v>
      </c>
      <c r="FJ28" s="438">
        <f t="shared" si="79"/>
        <v>1.2000000000000012E-2</v>
      </c>
    </row>
    <row r="29" spans="1:166" x14ac:dyDescent="0.45">
      <c r="A29" s="1">
        <v>25</v>
      </c>
      <c r="B29" s="305"/>
      <c r="C29" s="1">
        <v>3</v>
      </c>
      <c r="D29" s="1">
        <v>-1</v>
      </c>
      <c r="E29" s="1">
        <v>15</v>
      </c>
      <c r="F29" s="1">
        <f t="shared" si="109"/>
        <v>15</v>
      </c>
      <c r="G29" s="1"/>
      <c r="H29" s="1">
        <f t="shared" si="103"/>
        <v>0</v>
      </c>
      <c r="I29" s="1">
        <f t="shared" si="2"/>
        <v>0</v>
      </c>
      <c r="J29" s="1">
        <v>0</v>
      </c>
      <c r="K29" s="313">
        <v>0</v>
      </c>
      <c r="L29" s="314">
        <v>2</v>
      </c>
      <c r="M29" s="320">
        <f>ROUND(IF(L29&lt;&gt;0,$BI$4/('全局参数|GlobalPar'!$B$18/10000/E29)/L29,0),6)</f>
        <v>0</v>
      </c>
      <c r="N29" s="320">
        <f t="shared" si="110"/>
        <v>0</v>
      </c>
      <c r="O29" s="323">
        <v>0</v>
      </c>
      <c r="P29" s="322">
        <v>11</v>
      </c>
      <c r="Q29" s="331">
        <v>1</v>
      </c>
      <c r="R29" s="332" t="s">
        <v>1144</v>
      </c>
      <c r="S29" s="1"/>
      <c r="T29" s="1">
        <f t="shared" ref="T29" si="113">T16</f>
        <v>0</v>
      </c>
      <c r="U29" s="348">
        <v>0</v>
      </c>
      <c r="V29" s="348">
        <v>0</v>
      </c>
      <c r="W29" s="348">
        <v>0</v>
      </c>
      <c r="X29" s="1" t="s">
        <v>1145</v>
      </c>
      <c r="Y29" s="192" t="s">
        <v>1146</v>
      </c>
      <c r="Z29" s="192">
        <v>0</v>
      </c>
      <c r="AA29" s="192">
        <v>0</v>
      </c>
      <c r="AB29" s="354">
        <v>10</v>
      </c>
      <c r="AC29" s="1">
        <v>13</v>
      </c>
      <c r="AD29" s="1">
        <v>0</v>
      </c>
      <c r="AE29" s="1">
        <v>1</v>
      </c>
      <c r="AF29" s="1">
        <v>3</v>
      </c>
      <c r="AG29" s="1">
        <v>0</v>
      </c>
      <c r="AH29" s="1">
        <v>1.5</v>
      </c>
      <c r="AI29" s="1">
        <v>1</v>
      </c>
      <c r="AJ29" s="1">
        <v>1</v>
      </c>
      <c r="AK29" s="1">
        <v>1</v>
      </c>
      <c r="AL29" s="1" t="s">
        <v>1223</v>
      </c>
      <c r="AM29" s="1"/>
      <c r="AN29" s="1"/>
      <c r="AO29" s="356">
        <v>0.6</v>
      </c>
      <c r="AP29" s="1">
        <v>80</v>
      </c>
      <c r="AQ29" s="1">
        <v>0.18</v>
      </c>
      <c r="AR29" s="1">
        <v>0.8</v>
      </c>
      <c r="AS29" s="1">
        <v>1</v>
      </c>
      <c r="AT29" s="1" t="s">
        <v>1216</v>
      </c>
      <c r="AU29" s="358" t="s">
        <v>1235</v>
      </c>
      <c r="AV29" s="358" t="s">
        <v>1236</v>
      </c>
      <c r="AW29" s="360" t="s">
        <v>1237</v>
      </c>
      <c r="AX29" s="360" t="s">
        <v>189</v>
      </c>
      <c r="AY29" s="1">
        <f t="shared" si="111"/>
        <v>11.25</v>
      </c>
      <c r="AZ29" s="362">
        <f t="shared" si="6"/>
        <v>5.333333333333333</v>
      </c>
      <c r="BA29" s="1" t="s">
        <v>1150</v>
      </c>
      <c r="BB29" s="1">
        <f t="shared" si="112"/>
        <v>1.119</v>
      </c>
      <c r="BC29" s="1"/>
      <c r="BD29" s="1">
        <f t="shared" si="8"/>
        <v>15</v>
      </c>
      <c r="BE29" s="1">
        <f t="shared" si="9"/>
        <v>15.9</v>
      </c>
      <c r="BG29" s="1">
        <f t="shared" si="10"/>
        <v>0</v>
      </c>
      <c r="BI29" s="380" t="s">
        <v>1238</v>
      </c>
      <c r="BJ29" s="1" t="s">
        <v>1239</v>
      </c>
      <c r="BK29" s="380" t="s">
        <v>1240</v>
      </c>
      <c r="BL29" s="1" t="s">
        <v>1239</v>
      </c>
      <c r="BM29" s="380" t="s">
        <v>1241</v>
      </c>
      <c r="BN29" s="1" t="s">
        <v>1239</v>
      </c>
      <c r="BO29" s="1" t="s">
        <v>1242</v>
      </c>
      <c r="BR29" s="301">
        <f t="shared" si="11"/>
        <v>16.5</v>
      </c>
      <c r="BS29" s="356">
        <f t="shared" si="101"/>
        <v>0.1</v>
      </c>
      <c r="BT29" s="297">
        <v>2</v>
      </c>
      <c r="BU29" s="1">
        <v>5</v>
      </c>
      <c r="BV29" s="297">
        <v>3</v>
      </c>
      <c r="BW29" s="1">
        <v>2</v>
      </c>
      <c r="BX29" s="297">
        <v>4</v>
      </c>
      <c r="BY29" s="1">
        <v>1</v>
      </c>
      <c r="BZ29" s="1">
        <f t="shared" si="80"/>
        <v>2.5</v>
      </c>
      <c r="CA29" s="1">
        <f t="shared" si="81"/>
        <v>7.5</v>
      </c>
      <c r="CB29" s="389">
        <f t="shared" si="104"/>
        <v>0.08</v>
      </c>
      <c r="CC29" s="1">
        <f t="shared" si="81"/>
        <v>15</v>
      </c>
      <c r="CD29" s="391">
        <f t="shared" si="105"/>
        <v>0.04</v>
      </c>
      <c r="CE29" s="1">
        <f t="shared" si="81"/>
        <v>22.5</v>
      </c>
      <c r="CF29" s="392">
        <f t="shared" si="106"/>
        <v>2.6667E-2</v>
      </c>
      <c r="CH29" s="190">
        <v>2E-3</v>
      </c>
      <c r="CI29" s="403">
        <f t="shared" si="102"/>
        <v>0</v>
      </c>
      <c r="CJ29" s="402">
        <f t="shared" si="16"/>
        <v>0</v>
      </c>
      <c r="CK29" s="411">
        <f t="shared" si="17"/>
        <v>0</v>
      </c>
      <c r="CL29" s="411">
        <f t="shared" si="18"/>
        <v>0</v>
      </c>
      <c r="CM29" s="412">
        <f t="shared" si="82"/>
        <v>0</v>
      </c>
      <c r="CN29" s="413">
        <f t="shared" si="19"/>
        <v>0</v>
      </c>
      <c r="CO29" s="411">
        <f t="shared" si="20"/>
        <v>0</v>
      </c>
      <c r="CP29" s="429" t="e">
        <f t="shared" si="21"/>
        <v>#DIV/0!</v>
      </c>
      <c r="CQ29" s="430">
        <f t="shared" si="83"/>
        <v>11</v>
      </c>
      <c r="CR29" s="431">
        <f t="shared" si="84"/>
        <v>1</v>
      </c>
      <c r="CS29" s="332"/>
      <c r="CT29" s="322">
        <v>11</v>
      </c>
      <c r="CU29" s="331">
        <v>1</v>
      </c>
      <c r="CW29" s="436"/>
      <c r="DB29" s="438"/>
      <c r="DC29" s="430">
        <v>11</v>
      </c>
      <c r="DD29" s="402">
        <v>1</v>
      </c>
      <c r="DE29" s="438">
        <f t="shared" si="22"/>
        <v>2.181818181818184E-4</v>
      </c>
      <c r="DF29" s="430">
        <f t="shared" si="23"/>
        <v>11</v>
      </c>
      <c r="DG29" s="402">
        <f t="shared" si="85"/>
        <v>1</v>
      </c>
      <c r="DH29" s="438">
        <f t="shared" si="25"/>
        <v>4.363636363636368E-4</v>
      </c>
      <c r="DI29" s="430">
        <f t="shared" si="26"/>
        <v>11</v>
      </c>
      <c r="DJ29" s="402">
        <f t="shared" si="86"/>
        <v>1</v>
      </c>
      <c r="DK29" s="438">
        <f t="shared" si="28"/>
        <v>6.5454545454545518E-4</v>
      </c>
      <c r="DL29" s="430">
        <f t="shared" si="87"/>
        <v>11</v>
      </c>
      <c r="DM29" s="402">
        <f t="shared" si="88"/>
        <v>1</v>
      </c>
      <c r="DN29" s="438">
        <f t="shared" si="31"/>
        <v>8.7272727272727361E-4</v>
      </c>
      <c r="DO29" s="430">
        <f t="shared" si="89"/>
        <v>11</v>
      </c>
      <c r="DP29" s="402">
        <f t="shared" si="90"/>
        <v>1</v>
      </c>
      <c r="DQ29" s="438">
        <f t="shared" si="34"/>
        <v>1.090909090909092E-3</v>
      </c>
      <c r="DR29" s="430">
        <f t="shared" si="91"/>
        <v>11</v>
      </c>
      <c r="DS29" s="402">
        <f t="shared" si="92"/>
        <v>1</v>
      </c>
      <c r="DT29" s="438">
        <f t="shared" si="37"/>
        <v>2.1818181818181841E-3</v>
      </c>
      <c r="DU29" s="430">
        <f t="shared" si="93"/>
        <v>11</v>
      </c>
      <c r="DV29" s="402">
        <f t="shared" si="94"/>
        <v>1</v>
      </c>
      <c r="DW29" s="438">
        <f t="shared" si="40"/>
        <v>4.3636363636363681E-3</v>
      </c>
      <c r="DX29" s="430">
        <f t="shared" si="95"/>
        <v>11</v>
      </c>
      <c r="DY29" s="402">
        <f t="shared" si="96"/>
        <v>1</v>
      </c>
      <c r="DZ29" s="438">
        <f t="shared" si="43"/>
        <v>6.5454545454545513E-3</v>
      </c>
      <c r="EA29" s="430">
        <f t="shared" si="97"/>
        <v>11</v>
      </c>
      <c r="EB29" s="402">
        <f t="shared" si="98"/>
        <v>1</v>
      </c>
      <c r="EC29" s="438">
        <f t="shared" si="46"/>
        <v>8.7272727272727363E-3</v>
      </c>
      <c r="ED29" s="430">
        <f t="shared" si="99"/>
        <v>11</v>
      </c>
      <c r="EE29" s="402">
        <f t="shared" si="100"/>
        <v>1</v>
      </c>
      <c r="EF29" s="438">
        <f t="shared" si="49"/>
        <v>1.090909090909092E-2</v>
      </c>
      <c r="EG29" s="430">
        <f t="shared" si="50"/>
        <v>22</v>
      </c>
      <c r="EH29" s="402">
        <f t="shared" si="51"/>
        <v>2</v>
      </c>
      <c r="EI29" s="438">
        <f t="shared" si="52"/>
        <v>1.090909090909092E-2</v>
      </c>
      <c r="EJ29" s="430">
        <f t="shared" si="53"/>
        <v>44</v>
      </c>
      <c r="EK29" s="402">
        <f t="shared" si="54"/>
        <v>4</v>
      </c>
      <c r="EL29" s="438">
        <f t="shared" si="55"/>
        <v>1.090909090909092E-2</v>
      </c>
      <c r="EM29" s="430">
        <f t="shared" si="56"/>
        <v>66</v>
      </c>
      <c r="EN29" s="402">
        <f t="shared" si="57"/>
        <v>6</v>
      </c>
      <c r="EO29" s="438">
        <f t="shared" si="58"/>
        <v>1.090909090909092E-2</v>
      </c>
      <c r="EP29" s="430">
        <f t="shared" si="59"/>
        <v>88</v>
      </c>
      <c r="EQ29" s="402">
        <f t="shared" si="60"/>
        <v>8</v>
      </c>
      <c r="ER29" s="438">
        <f t="shared" si="61"/>
        <v>1.090909090909092E-2</v>
      </c>
      <c r="ES29" s="430">
        <f t="shared" si="62"/>
        <v>110</v>
      </c>
      <c r="ET29" s="402">
        <f t="shared" si="63"/>
        <v>10</v>
      </c>
      <c r="EU29" s="438">
        <f t="shared" si="64"/>
        <v>1.090909090909092E-2</v>
      </c>
      <c r="EV29" s="430">
        <f t="shared" si="65"/>
        <v>220</v>
      </c>
      <c r="EW29" s="402">
        <f t="shared" si="66"/>
        <v>20</v>
      </c>
      <c r="EX29" s="438">
        <f t="shared" si="67"/>
        <v>1.090909090909092E-2</v>
      </c>
      <c r="EY29" s="430">
        <f t="shared" si="68"/>
        <v>440</v>
      </c>
      <c r="EZ29" s="402">
        <f t="shared" si="69"/>
        <v>40</v>
      </c>
      <c r="FA29" s="438">
        <f t="shared" si="70"/>
        <v>1.090909090909092E-2</v>
      </c>
      <c r="FB29" s="430">
        <f t="shared" si="71"/>
        <v>660</v>
      </c>
      <c r="FC29" s="402">
        <f t="shared" si="72"/>
        <v>60</v>
      </c>
      <c r="FD29" s="438">
        <f t="shared" si="73"/>
        <v>1.090909090909092E-2</v>
      </c>
      <c r="FE29" s="430">
        <f t="shared" si="74"/>
        <v>880</v>
      </c>
      <c r="FF29" s="402">
        <f t="shared" si="75"/>
        <v>80</v>
      </c>
      <c r="FG29" s="438">
        <f t="shared" si="76"/>
        <v>1.090909090909092E-2</v>
      </c>
      <c r="FH29" s="430">
        <f t="shared" si="77"/>
        <v>1100</v>
      </c>
      <c r="FI29" s="402">
        <f t="shared" si="78"/>
        <v>100</v>
      </c>
      <c r="FJ29" s="438">
        <f t="shared" si="79"/>
        <v>1.090909090909092E-2</v>
      </c>
    </row>
    <row r="30" spans="1:166" x14ac:dyDescent="0.45">
      <c r="A30" s="1">
        <v>26</v>
      </c>
      <c r="B30" s="306" t="s">
        <v>1243</v>
      </c>
      <c r="C30" s="1">
        <v>4</v>
      </c>
      <c r="D30" s="1">
        <v>-1</v>
      </c>
      <c r="E30" s="1">
        <f t="shared" ref="E30:E38" si="114">BO30</f>
        <v>22</v>
      </c>
      <c r="F30" s="1">
        <f t="shared" si="109"/>
        <v>20</v>
      </c>
      <c r="G30" s="1" t="str">
        <f>"[["&amp;BI30&amp;","&amp;BJ30&amp;"],["&amp;BK30&amp;","&amp;BL30&amp;"],["&amp;BM30&amp;","&amp;BN30&amp;"]]"</f>
        <v>[[20,17],[30,2],[40,1]]</v>
      </c>
      <c r="H30" s="1">
        <v>5</v>
      </c>
      <c r="I30" s="1">
        <v>1</v>
      </c>
      <c r="J30" s="1">
        <v>0</v>
      </c>
      <c r="K30" s="313">
        <v>0</v>
      </c>
      <c r="L30" s="314">
        <v>2</v>
      </c>
      <c r="M30" s="320">
        <f>ROUND(IF(L30&lt;&gt;0,$BI$4/('全局参数|GlobalPar'!$B$18/10000/E30)/L30,0),6)</f>
        <v>0</v>
      </c>
      <c r="N30" s="320">
        <f t="shared" si="110"/>
        <v>0</v>
      </c>
      <c r="O30" s="323">
        <v>0</v>
      </c>
      <c r="P30" s="322">
        <v>12</v>
      </c>
      <c r="Q30" s="331">
        <v>1</v>
      </c>
      <c r="R30" s="332" t="s">
        <v>1144</v>
      </c>
      <c r="S30" s="1"/>
      <c r="T30" s="333">
        <v>0</v>
      </c>
      <c r="U30" s="348">
        <v>0</v>
      </c>
      <c r="V30" s="348">
        <v>0</v>
      </c>
      <c r="W30" s="348">
        <v>0</v>
      </c>
      <c r="X30" s="1" t="s">
        <v>1145</v>
      </c>
      <c r="Y30" s="192" t="s">
        <v>1146</v>
      </c>
      <c r="Z30" s="192">
        <v>0</v>
      </c>
      <c r="AA30" s="192">
        <v>0</v>
      </c>
      <c r="AB30" s="354">
        <v>11</v>
      </c>
      <c r="AC30" s="1">
        <f t="shared" ref="AC30:AC38" si="115">IF(C30=4,1,IF(C30=6,2,-1))</f>
        <v>1</v>
      </c>
      <c r="AD30" s="1">
        <v>0</v>
      </c>
      <c r="AE30" s="1">
        <v>2</v>
      </c>
      <c r="AF30" s="1">
        <v>4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 t="s">
        <v>1215</v>
      </c>
      <c r="AM30" s="1"/>
      <c r="AN30" s="1"/>
      <c r="AO30" s="356">
        <v>0.75</v>
      </c>
      <c r="AP30" s="1">
        <v>80</v>
      </c>
      <c r="AQ30" s="1">
        <v>0.18</v>
      </c>
      <c r="AR30" s="1">
        <v>0.8</v>
      </c>
      <c r="AS30" s="1">
        <v>1</v>
      </c>
      <c r="AT30" s="1" t="s">
        <v>1216</v>
      </c>
      <c r="AU30" s="359" t="s">
        <v>1244</v>
      </c>
      <c r="AV30" s="359" t="s">
        <v>1245</v>
      </c>
      <c r="AW30" s="300" t="s">
        <v>189</v>
      </c>
      <c r="AX30" s="360" t="s">
        <v>189</v>
      </c>
      <c r="AY30" s="1">
        <f t="shared" si="111"/>
        <v>2.8000000000000003</v>
      </c>
      <c r="AZ30" s="362">
        <f t="shared" si="6"/>
        <v>21.428571428571427</v>
      </c>
      <c r="BA30" s="1" t="s">
        <v>1150</v>
      </c>
      <c r="BB30" s="1">
        <f t="shared" si="112"/>
        <v>0.746</v>
      </c>
      <c r="BC30" s="1"/>
      <c r="BD30" s="1">
        <f t="shared" si="8"/>
        <v>28</v>
      </c>
      <c r="BE30" s="1">
        <f t="shared" si="9"/>
        <v>29.32</v>
      </c>
      <c r="BG30" s="1">
        <f t="shared" si="10"/>
        <v>0</v>
      </c>
      <c r="BH30" s="320">
        <v>0.08</v>
      </c>
      <c r="BI30" s="380">
        <v>20</v>
      </c>
      <c r="BJ30" s="1">
        <v>17</v>
      </c>
      <c r="BK30" s="381">
        <f>BI30+10</f>
        <v>30</v>
      </c>
      <c r="BL30" s="192">
        <v>2</v>
      </c>
      <c r="BM30" s="381">
        <f>BK30+10</f>
        <v>40</v>
      </c>
      <c r="BN30" s="1">
        <v>1</v>
      </c>
      <c r="BO30" s="380">
        <f t="shared" ref="BO30:BO38" si="116">(BI30*BJ30+BK30*BL30+BM30*BN30)/(BJ30+BL30+BN30)</f>
        <v>22</v>
      </c>
      <c r="BP30" s="1">
        <f>(BJ30+BL30+BN30)/BJ30</f>
        <v>1.1764705882352942</v>
      </c>
      <c r="BQ30" s="1">
        <f>MIN(BP30*BH30,0.8)</f>
        <v>9.4117647058823528E-2</v>
      </c>
      <c r="BR30" s="301">
        <f t="shared" si="11"/>
        <v>24.200000000000003</v>
      </c>
      <c r="BS30" s="356">
        <f t="shared" si="101"/>
        <v>0.1</v>
      </c>
      <c r="BT30" s="297">
        <v>2</v>
      </c>
      <c r="BU30" s="1">
        <v>5</v>
      </c>
      <c r="BV30" s="297">
        <v>3</v>
      </c>
      <c r="BW30" s="1">
        <v>2</v>
      </c>
      <c r="BX30" s="297">
        <v>4</v>
      </c>
      <c r="BY30" s="1">
        <v>1</v>
      </c>
      <c r="BZ30" s="1">
        <f t="shared" si="80"/>
        <v>2.5</v>
      </c>
      <c r="CA30" s="1">
        <f t="shared" si="81"/>
        <v>7.5</v>
      </c>
      <c r="CB30" s="389">
        <f t="shared" si="104"/>
        <v>0.11733300000000001</v>
      </c>
      <c r="CC30" s="1">
        <f t="shared" si="81"/>
        <v>15</v>
      </c>
      <c r="CD30" s="391">
        <f t="shared" si="105"/>
        <v>5.8666999999999997E-2</v>
      </c>
      <c r="CE30" s="1">
        <f t="shared" si="81"/>
        <v>22.5</v>
      </c>
      <c r="CF30" s="392">
        <f t="shared" si="106"/>
        <v>3.9111E-2</v>
      </c>
      <c r="CH30" s="190">
        <v>2E-3</v>
      </c>
      <c r="CI30" s="403">
        <f t="shared" si="102"/>
        <v>0</v>
      </c>
      <c r="CJ30" s="402">
        <f t="shared" si="16"/>
        <v>0</v>
      </c>
      <c r="CK30" s="411">
        <f t="shared" si="17"/>
        <v>0</v>
      </c>
      <c r="CL30" s="411">
        <f t="shared" si="18"/>
        <v>0</v>
      </c>
      <c r="CM30" s="412">
        <f t="shared" si="82"/>
        <v>0</v>
      </c>
      <c r="CN30" s="413">
        <f t="shared" si="19"/>
        <v>0</v>
      </c>
      <c r="CO30" s="411">
        <f t="shared" si="20"/>
        <v>0</v>
      </c>
      <c r="CP30" s="429" t="e">
        <f t="shared" si="21"/>
        <v>#DIV/0!</v>
      </c>
      <c r="CQ30" s="430">
        <f t="shared" si="83"/>
        <v>12</v>
      </c>
      <c r="CR30" s="431">
        <f t="shared" si="84"/>
        <v>1</v>
      </c>
      <c r="CS30" s="332"/>
      <c r="CT30" s="322">
        <v>12</v>
      </c>
      <c r="CU30" s="331">
        <v>1</v>
      </c>
      <c r="CW30" s="436"/>
      <c r="DB30" s="438"/>
      <c r="DC30" s="430">
        <v>12</v>
      </c>
      <c r="DD30" s="402">
        <v>1</v>
      </c>
      <c r="DE30" s="438">
        <f t="shared" si="22"/>
        <v>2.933333333333336E-4</v>
      </c>
      <c r="DF30" s="430">
        <f t="shared" si="23"/>
        <v>12</v>
      </c>
      <c r="DG30" s="402">
        <f t="shared" si="85"/>
        <v>1</v>
      </c>
      <c r="DH30" s="438">
        <f t="shared" si="25"/>
        <v>5.8666666666666719E-4</v>
      </c>
      <c r="DI30" s="430">
        <f t="shared" si="26"/>
        <v>12</v>
      </c>
      <c r="DJ30" s="402">
        <f t="shared" si="86"/>
        <v>1</v>
      </c>
      <c r="DK30" s="438">
        <f t="shared" si="28"/>
        <v>8.800000000000009E-4</v>
      </c>
      <c r="DL30" s="430">
        <f t="shared" si="87"/>
        <v>12</v>
      </c>
      <c r="DM30" s="402">
        <f t="shared" si="88"/>
        <v>1</v>
      </c>
      <c r="DN30" s="438">
        <f t="shared" si="31"/>
        <v>1.1733333333333344E-3</v>
      </c>
      <c r="DO30" s="430">
        <f t="shared" si="89"/>
        <v>12</v>
      </c>
      <c r="DP30" s="402">
        <f t="shared" si="90"/>
        <v>1</v>
      </c>
      <c r="DQ30" s="438">
        <f t="shared" si="34"/>
        <v>1.4666666666666682E-3</v>
      </c>
      <c r="DR30" s="430">
        <f t="shared" si="91"/>
        <v>12</v>
      </c>
      <c r="DS30" s="402">
        <f t="shared" si="92"/>
        <v>1</v>
      </c>
      <c r="DT30" s="438">
        <f t="shared" si="37"/>
        <v>2.9333333333333364E-3</v>
      </c>
      <c r="DU30" s="430">
        <f t="shared" si="93"/>
        <v>12</v>
      </c>
      <c r="DV30" s="402">
        <f t="shared" si="94"/>
        <v>1</v>
      </c>
      <c r="DW30" s="438">
        <f t="shared" si="40"/>
        <v>5.8666666666666728E-3</v>
      </c>
      <c r="DX30" s="430">
        <f t="shared" si="95"/>
        <v>12</v>
      </c>
      <c r="DY30" s="402">
        <f t="shared" si="96"/>
        <v>1</v>
      </c>
      <c r="DZ30" s="438">
        <f t="shared" si="43"/>
        <v>8.8000000000000092E-3</v>
      </c>
      <c r="EA30" s="430">
        <f t="shared" si="97"/>
        <v>12</v>
      </c>
      <c r="EB30" s="402">
        <f t="shared" si="98"/>
        <v>1</v>
      </c>
      <c r="EC30" s="438">
        <f t="shared" si="46"/>
        <v>1.1733333333333346E-2</v>
      </c>
      <c r="ED30" s="430">
        <f t="shared" si="99"/>
        <v>12</v>
      </c>
      <c r="EE30" s="402">
        <f t="shared" si="100"/>
        <v>1</v>
      </c>
      <c r="EF30" s="438">
        <f t="shared" si="49"/>
        <v>1.466666666666668E-2</v>
      </c>
      <c r="EG30" s="430">
        <f t="shared" si="50"/>
        <v>24</v>
      </c>
      <c r="EH30" s="402">
        <f t="shared" si="51"/>
        <v>2</v>
      </c>
      <c r="EI30" s="438">
        <f t="shared" si="52"/>
        <v>1.466666666666668E-2</v>
      </c>
      <c r="EJ30" s="430">
        <f t="shared" si="53"/>
        <v>48</v>
      </c>
      <c r="EK30" s="402">
        <f t="shared" si="54"/>
        <v>4</v>
      </c>
      <c r="EL30" s="438">
        <f t="shared" si="55"/>
        <v>1.466666666666668E-2</v>
      </c>
      <c r="EM30" s="430">
        <f t="shared" si="56"/>
        <v>72</v>
      </c>
      <c r="EN30" s="402">
        <f t="shared" si="57"/>
        <v>6</v>
      </c>
      <c r="EO30" s="438">
        <f t="shared" si="58"/>
        <v>1.466666666666668E-2</v>
      </c>
      <c r="EP30" s="430">
        <f t="shared" si="59"/>
        <v>96</v>
      </c>
      <c r="EQ30" s="402">
        <f t="shared" si="60"/>
        <v>8</v>
      </c>
      <c r="ER30" s="438">
        <f t="shared" si="61"/>
        <v>1.466666666666668E-2</v>
      </c>
      <c r="ES30" s="430">
        <f t="shared" si="62"/>
        <v>120</v>
      </c>
      <c r="ET30" s="402">
        <f t="shared" si="63"/>
        <v>10</v>
      </c>
      <c r="EU30" s="438">
        <f t="shared" si="64"/>
        <v>1.466666666666668E-2</v>
      </c>
      <c r="EV30" s="430">
        <f t="shared" si="65"/>
        <v>240</v>
      </c>
      <c r="EW30" s="402">
        <f t="shared" si="66"/>
        <v>20</v>
      </c>
      <c r="EX30" s="438">
        <f t="shared" si="67"/>
        <v>1.466666666666668E-2</v>
      </c>
      <c r="EY30" s="430">
        <f t="shared" si="68"/>
        <v>480</v>
      </c>
      <c r="EZ30" s="402">
        <f t="shared" si="69"/>
        <v>40</v>
      </c>
      <c r="FA30" s="438">
        <f t="shared" si="70"/>
        <v>1.466666666666668E-2</v>
      </c>
      <c r="FB30" s="430">
        <f t="shared" si="71"/>
        <v>720</v>
      </c>
      <c r="FC30" s="402">
        <f t="shared" si="72"/>
        <v>60</v>
      </c>
      <c r="FD30" s="438">
        <f t="shared" si="73"/>
        <v>1.466666666666668E-2</v>
      </c>
      <c r="FE30" s="430">
        <f t="shared" si="74"/>
        <v>960</v>
      </c>
      <c r="FF30" s="402">
        <f t="shared" si="75"/>
        <v>80</v>
      </c>
      <c r="FG30" s="438">
        <f t="shared" si="76"/>
        <v>1.466666666666668E-2</v>
      </c>
      <c r="FH30" s="430">
        <f t="shared" si="77"/>
        <v>1200</v>
      </c>
      <c r="FI30" s="402">
        <f t="shared" si="78"/>
        <v>100</v>
      </c>
      <c r="FJ30" s="438">
        <f t="shared" si="79"/>
        <v>1.466666666666668E-2</v>
      </c>
    </row>
    <row r="31" spans="1:166" x14ac:dyDescent="0.45">
      <c r="A31" s="1">
        <v>27</v>
      </c>
      <c r="B31" s="306" t="s">
        <v>1246</v>
      </c>
      <c r="C31" s="1">
        <v>4</v>
      </c>
      <c r="D31" s="1">
        <v>-1</v>
      </c>
      <c r="E31" s="1">
        <f t="shared" si="114"/>
        <v>32</v>
      </c>
      <c r="F31" s="1">
        <f t="shared" si="109"/>
        <v>30</v>
      </c>
      <c r="G31" s="1" t="str">
        <f t="shared" ref="G31:G38" si="117">"[["&amp;BI31&amp;","&amp;BJ31&amp;"],["&amp;BK31&amp;","&amp;BL31&amp;"],["&amp;BM31&amp;","&amp;BN31&amp;"]]"</f>
        <v>[[30,17],[40,2],[50,1]]</v>
      </c>
      <c r="H31" s="1">
        <f>H30</f>
        <v>5</v>
      </c>
      <c r="I31" s="1">
        <f>I30</f>
        <v>1</v>
      </c>
      <c r="J31" s="1">
        <v>0</v>
      </c>
      <c r="K31" s="313">
        <v>0</v>
      </c>
      <c r="L31" s="314">
        <v>2</v>
      </c>
      <c r="M31" s="320">
        <f>ROUND(IF(L31&lt;&gt;0,$BI$4/('全局参数|GlobalPar'!$B$18/10000/E31)/L31,0),6)</f>
        <v>0</v>
      </c>
      <c r="N31" s="320">
        <f t="shared" si="110"/>
        <v>0</v>
      </c>
      <c r="O31" s="323">
        <v>0</v>
      </c>
      <c r="P31" s="322">
        <v>12</v>
      </c>
      <c r="Q31" s="331">
        <v>1</v>
      </c>
      <c r="R31" s="332" t="s">
        <v>1144</v>
      </c>
      <c r="S31" s="1"/>
      <c r="T31" s="333">
        <v>0</v>
      </c>
      <c r="U31" s="348">
        <v>0</v>
      </c>
      <c r="V31" s="348">
        <v>0</v>
      </c>
      <c r="W31" s="348">
        <v>0</v>
      </c>
      <c r="X31" s="1" t="s">
        <v>1145</v>
      </c>
      <c r="Y31" s="192" t="s">
        <v>1146</v>
      </c>
      <c r="Z31" s="192">
        <v>0</v>
      </c>
      <c r="AA31" s="192">
        <v>0</v>
      </c>
      <c r="AB31" s="354">
        <v>11</v>
      </c>
      <c r="AC31" s="1">
        <f t="shared" si="115"/>
        <v>1</v>
      </c>
      <c r="AD31" s="1">
        <v>0</v>
      </c>
      <c r="AE31" s="1">
        <v>2</v>
      </c>
      <c r="AF31" s="1">
        <v>4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 t="s">
        <v>1215</v>
      </c>
      <c r="AM31" s="1"/>
      <c r="AN31" s="1"/>
      <c r="AO31" s="356">
        <v>0.75</v>
      </c>
      <c r="AP31" s="1">
        <v>90</v>
      </c>
      <c r="AQ31" s="1">
        <v>0.18</v>
      </c>
      <c r="AR31" s="1">
        <v>0.8</v>
      </c>
      <c r="AS31" s="1">
        <v>1</v>
      </c>
      <c r="AT31" s="1" t="s">
        <v>1216</v>
      </c>
      <c r="AU31" s="358" t="s">
        <v>1247</v>
      </c>
      <c r="AV31" s="358" t="s">
        <v>1248</v>
      </c>
      <c r="AW31" s="300" t="s">
        <v>333</v>
      </c>
      <c r="AX31" s="360" t="s">
        <v>189</v>
      </c>
      <c r="AY31" s="1">
        <f t="shared" si="111"/>
        <v>3.8000000000000003</v>
      </c>
      <c r="AZ31" s="362">
        <f t="shared" si="6"/>
        <v>15.789473684210526</v>
      </c>
      <c r="BA31" s="1" t="s">
        <v>1150</v>
      </c>
      <c r="BB31" s="1">
        <f t="shared" si="112"/>
        <v>0.746</v>
      </c>
      <c r="BC31" s="1"/>
      <c r="BD31" s="1">
        <f t="shared" si="8"/>
        <v>38</v>
      </c>
      <c r="BE31" s="1">
        <f t="shared" si="9"/>
        <v>39.92</v>
      </c>
      <c r="BG31" s="1">
        <f t="shared" si="10"/>
        <v>0</v>
      </c>
      <c r="BH31" s="320">
        <v>0.08</v>
      </c>
      <c r="BI31" s="380">
        <v>30</v>
      </c>
      <c r="BJ31" s="1">
        <v>17</v>
      </c>
      <c r="BK31" s="381">
        <f t="shared" ref="BK31:BM38" si="118">BI31+10</f>
        <v>40</v>
      </c>
      <c r="BL31" s="192">
        <v>2</v>
      </c>
      <c r="BM31" s="381">
        <f t="shared" ref="BM31" si="119">BK31+10</f>
        <v>50</v>
      </c>
      <c r="BN31" s="1">
        <v>1</v>
      </c>
      <c r="BO31" s="380">
        <f t="shared" si="116"/>
        <v>32</v>
      </c>
      <c r="BP31" s="1">
        <f>(BJ31+BL31+BN31)/BN31</f>
        <v>20</v>
      </c>
      <c r="BQ31" s="1">
        <f t="shared" ref="BQ31:BQ38" si="120">MIN(BP31*BH31,0.8)</f>
        <v>0.8</v>
      </c>
      <c r="BR31" s="301">
        <f t="shared" si="11"/>
        <v>35.200000000000003</v>
      </c>
      <c r="BS31" s="356">
        <f t="shared" si="101"/>
        <v>0.1</v>
      </c>
      <c r="BT31" s="297">
        <v>2</v>
      </c>
      <c r="BU31" s="1">
        <v>5</v>
      </c>
      <c r="BV31" s="297">
        <v>3</v>
      </c>
      <c r="BW31" s="1">
        <v>2</v>
      </c>
      <c r="BX31" s="297">
        <v>4</v>
      </c>
      <c r="BY31" s="1">
        <v>1</v>
      </c>
      <c r="BZ31" s="1">
        <f t="shared" si="80"/>
        <v>2.5</v>
      </c>
      <c r="CA31" s="1">
        <f t="shared" si="81"/>
        <v>7.5</v>
      </c>
      <c r="CB31" s="389">
        <f t="shared" si="104"/>
        <v>0.17066700000000001</v>
      </c>
      <c r="CC31" s="1">
        <f t="shared" si="81"/>
        <v>15</v>
      </c>
      <c r="CD31" s="391">
        <f t="shared" si="105"/>
        <v>8.5333000000000006E-2</v>
      </c>
      <c r="CE31" s="1">
        <f t="shared" si="81"/>
        <v>22.5</v>
      </c>
      <c r="CF31" s="392">
        <f t="shared" si="106"/>
        <v>5.6889000000000002E-2</v>
      </c>
      <c r="CH31" s="190">
        <v>2E-3</v>
      </c>
      <c r="CI31" s="403">
        <f t="shared" si="102"/>
        <v>0</v>
      </c>
      <c r="CJ31" s="402">
        <f t="shared" si="16"/>
        <v>0</v>
      </c>
      <c r="CK31" s="411">
        <f t="shared" si="17"/>
        <v>0</v>
      </c>
      <c r="CL31" s="411">
        <f t="shared" si="18"/>
        <v>0</v>
      </c>
      <c r="CM31" s="412">
        <f t="shared" si="82"/>
        <v>0</v>
      </c>
      <c r="CN31" s="413">
        <f t="shared" si="19"/>
        <v>0</v>
      </c>
      <c r="CO31" s="411">
        <f t="shared" si="20"/>
        <v>0</v>
      </c>
      <c r="CP31" s="429" t="e">
        <f t="shared" si="21"/>
        <v>#DIV/0!</v>
      </c>
      <c r="CQ31" s="430">
        <f t="shared" si="83"/>
        <v>12</v>
      </c>
      <c r="CR31" s="431">
        <f t="shared" si="84"/>
        <v>1</v>
      </c>
      <c r="CS31" s="332"/>
      <c r="CT31" s="322">
        <v>12</v>
      </c>
      <c r="CU31" s="331">
        <v>1</v>
      </c>
      <c r="CW31" s="436"/>
      <c r="DB31" s="438"/>
      <c r="DC31" s="430">
        <v>12</v>
      </c>
      <c r="DD31" s="402">
        <v>1</v>
      </c>
      <c r="DE31" s="438">
        <f t="shared" si="22"/>
        <v>4.266666666666671E-4</v>
      </c>
      <c r="DF31" s="430">
        <f t="shared" si="23"/>
        <v>12</v>
      </c>
      <c r="DG31" s="402">
        <f t="shared" si="85"/>
        <v>1</v>
      </c>
      <c r="DH31" s="438">
        <f t="shared" si="25"/>
        <v>8.533333333333342E-4</v>
      </c>
      <c r="DI31" s="430">
        <f t="shared" si="26"/>
        <v>12</v>
      </c>
      <c r="DJ31" s="402">
        <f t="shared" si="86"/>
        <v>1</v>
      </c>
      <c r="DK31" s="438">
        <f t="shared" si="28"/>
        <v>1.2800000000000012E-3</v>
      </c>
      <c r="DL31" s="430">
        <f t="shared" si="87"/>
        <v>12</v>
      </c>
      <c r="DM31" s="402">
        <f t="shared" si="88"/>
        <v>1</v>
      </c>
      <c r="DN31" s="438">
        <f t="shared" si="31"/>
        <v>1.7066666666666684E-3</v>
      </c>
      <c r="DO31" s="430">
        <f t="shared" si="89"/>
        <v>12</v>
      </c>
      <c r="DP31" s="402">
        <f t="shared" si="90"/>
        <v>1</v>
      </c>
      <c r="DQ31" s="438">
        <f t="shared" si="34"/>
        <v>2.1333333333333356E-3</v>
      </c>
      <c r="DR31" s="430">
        <f t="shared" si="91"/>
        <v>12</v>
      </c>
      <c r="DS31" s="402">
        <f t="shared" si="92"/>
        <v>1</v>
      </c>
      <c r="DT31" s="438">
        <f t="shared" si="37"/>
        <v>4.2666666666666712E-3</v>
      </c>
      <c r="DU31" s="430">
        <f t="shared" si="93"/>
        <v>12</v>
      </c>
      <c r="DV31" s="402">
        <f t="shared" si="94"/>
        <v>1</v>
      </c>
      <c r="DW31" s="438">
        <f t="shared" si="40"/>
        <v>8.5333333333333424E-3</v>
      </c>
      <c r="DX31" s="430">
        <f t="shared" si="95"/>
        <v>12</v>
      </c>
      <c r="DY31" s="402">
        <f t="shared" si="96"/>
        <v>1</v>
      </c>
      <c r="DZ31" s="438">
        <f t="shared" si="43"/>
        <v>1.2800000000000013E-2</v>
      </c>
      <c r="EA31" s="430">
        <f t="shared" si="97"/>
        <v>12</v>
      </c>
      <c r="EB31" s="402">
        <f t="shared" si="98"/>
        <v>1</v>
      </c>
      <c r="EC31" s="438">
        <f t="shared" si="46"/>
        <v>1.7066666666666685E-2</v>
      </c>
      <c r="ED31" s="430">
        <f t="shared" si="99"/>
        <v>12</v>
      </c>
      <c r="EE31" s="402">
        <f t="shared" si="100"/>
        <v>1</v>
      </c>
      <c r="EF31" s="438">
        <f t="shared" si="49"/>
        <v>2.1333333333333353E-2</v>
      </c>
      <c r="EG31" s="430">
        <f t="shared" si="50"/>
        <v>24</v>
      </c>
      <c r="EH31" s="402">
        <f t="shared" si="51"/>
        <v>2</v>
      </c>
      <c r="EI31" s="438">
        <f t="shared" si="52"/>
        <v>2.1333333333333353E-2</v>
      </c>
      <c r="EJ31" s="430">
        <f t="shared" si="53"/>
        <v>48</v>
      </c>
      <c r="EK31" s="402">
        <f t="shared" si="54"/>
        <v>4</v>
      </c>
      <c r="EL31" s="438">
        <f t="shared" si="55"/>
        <v>2.1333333333333353E-2</v>
      </c>
      <c r="EM31" s="430">
        <f t="shared" si="56"/>
        <v>72</v>
      </c>
      <c r="EN31" s="402">
        <f t="shared" si="57"/>
        <v>6</v>
      </c>
      <c r="EO31" s="438">
        <f t="shared" si="58"/>
        <v>2.1333333333333353E-2</v>
      </c>
      <c r="EP31" s="430">
        <f t="shared" si="59"/>
        <v>96</v>
      </c>
      <c r="EQ31" s="402">
        <f t="shared" si="60"/>
        <v>8</v>
      </c>
      <c r="ER31" s="438">
        <f t="shared" si="61"/>
        <v>2.1333333333333353E-2</v>
      </c>
      <c r="ES31" s="430">
        <f t="shared" si="62"/>
        <v>120</v>
      </c>
      <c r="ET31" s="402">
        <f t="shared" si="63"/>
        <v>10</v>
      </c>
      <c r="EU31" s="438">
        <f t="shared" si="64"/>
        <v>2.1333333333333353E-2</v>
      </c>
      <c r="EV31" s="430">
        <f t="shared" si="65"/>
        <v>240</v>
      </c>
      <c r="EW31" s="402">
        <f t="shared" si="66"/>
        <v>20</v>
      </c>
      <c r="EX31" s="438">
        <f t="shared" si="67"/>
        <v>2.1333333333333353E-2</v>
      </c>
      <c r="EY31" s="430">
        <f t="shared" si="68"/>
        <v>480</v>
      </c>
      <c r="EZ31" s="402">
        <f t="shared" si="69"/>
        <v>40</v>
      </c>
      <c r="FA31" s="438">
        <f t="shared" si="70"/>
        <v>2.1333333333333353E-2</v>
      </c>
      <c r="FB31" s="430">
        <f t="shared" si="71"/>
        <v>720</v>
      </c>
      <c r="FC31" s="402">
        <f t="shared" si="72"/>
        <v>60</v>
      </c>
      <c r="FD31" s="438">
        <f t="shared" si="73"/>
        <v>2.1333333333333353E-2</v>
      </c>
      <c r="FE31" s="430">
        <f t="shared" si="74"/>
        <v>960</v>
      </c>
      <c r="FF31" s="402">
        <f t="shared" si="75"/>
        <v>80</v>
      </c>
      <c r="FG31" s="438">
        <f t="shared" si="76"/>
        <v>2.1333333333333353E-2</v>
      </c>
      <c r="FH31" s="430">
        <f t="shared" si="77"/>
        <v>1200</v>
      </c>
      <c r="FI31" s="402">
        <f t="shared" si="78"/>
        <v>100</v>
      </c>
      <c r="FJ31" s="438">
        <f t="shared" si="79"/>
        <v>2.1333333333333353E-2</v>
      </c>
    </row>
    <row r="32" spans="1:166" x14ac:dyDescent="0.45">
      <c r="A32" s="1">
        <v>28</v>
      </c>
      <c r="B32" s="305"/>
      <c r="C32" s="1">
        <v>4</v>
      </c>
      <c r="D32" s="1">
        <v>-1</v>
      </c>
      <c r="E32" s="1">
        <f t="shared" si="114"/>
        <v>42</v>
      </c>
      <c r="F32" s="1">
        <f t="shared" si="109"/>
        <v>40</v>
      </c>
      <c r="G32" s="1" t="str">
        <f t="shared" si="117"/>
        <v>[[40,17],[50,2],[60,1]]</v>
      </c>
      <c r="H32" s="1">
        <f t="shared" ref="H32:H38" si="121">H31</f>
        <v>5</v>
      </c>
      <c r="I32" s="1">
        <f t="shared" ref="I32:I38" si="122">I31</f>
        <v>1</v>
      </c>
      <c r="J32" s="1">
        <v>0</v>
      </c>
      <c r="K32" s="313">
        <v>0</v>
      </c>
      <c r="L32" s="314">
        <v>2</v>
      </c>
      <c r="M32" s="320">
        <f>ROUND(IF(L32&lt;&gt;0,$BI$4/('全局参数|GlobalPar'!$B$18/10000/E32)/L32,0),6)</f>
        <v>0</v>
      </c>
      <c r="N32" s="320">
        <f t="shared" si="110"/>
        <v>0</v>
      </c>
      <c r="O32" s="323">
        <v>0</v>
      </c>
      <c r="P32" s="322">
        <v>12</v>
      </c>
      <c r="Q32" s="331">
        <v>1</v>
      </c>
      <c r="R32" s="332" t="s">
        <v>1144</v>
      </c>
      <c r="S32" s="1"/>
      <c r="T32" s="1">
        <f t="shared" ref="T32" si="123">T19</f>
        <v>0</v>
      </c>
      <c r="U32" s="348">
        <v>0</v>
      </c>
      <c r="V32" s="348">
        <v>0</v>
      </c>
      <c r="W32" s="348">
        <v>0</v>
      </c>
      <c r="X32" s="1" t="s">
        <v>1145</v>
      </c>
      <c r="Y32" s="192" t="s">
        <v>1146</v>
      </c>
      <c r="Z32" s="192">
        <v>0</v>
      </c>
      <c r="AA32" s="192">
        <v>0</v>
      </c>
      <c r="AB32" s="354">
        <v>11</v>
      </c>
      <c r="AC32" s="1">
        <f t="shared" si="115"/>
        <v>1</v>
      </c>
      <c r="AD32" s="1">
        <v>0</v>
      </c>
      <c r="AE32" s="1">
        <v>2</v>
      </c>
      <c r="AF32" s="1">
        <v>4</v>
      </c>
      <c r="AG32" s="1">
        <v>0</v>
      </c>
      <c r="AH32" s="1">
        <v>1.5</v>
      </c>
      <c r="AI32" s="1">
        <v>1</v>
      </c>
      <c r="AJ32" s="1">
        <v>1</v>
      </c>
      <c r="AK32" s="1">
        <v>1</v>
      </c>
      <c r="AL32" s="1" t="s">
        <v>1215</v>
      </c>
      <c r="AM32" s="1"/>
      <c r="AN32" s="1"/>
      <c r="AO32" s="356">
        <v>0.75</v>
      </c>
      <c r="AP32" s="1">
        <v>100</v>
      </c>
      <c r="AQ32" s="1">
        <v>0.18</v>
      </c>
      <c r="AR32" s="1">
        <v>0.8</v>
      </c>
      <c r="AS32" s="1">
        <v>1</v>
      </c>
      <c r="AT32" s="1" t="s">
        <v>1216</v>
      </c>
      <c r="AU32" s="358" t="s">
        <v>1249</v>
      </c>
      <c r="AV32" s="358" t="s">
        <v>1250</v>
      </c>
      <c r="AW32" s="300" t="s">
        <v>179</v>
      </c>
      <c r="AX32" s="360" t="s">
        <v>189</v>
      </c>
      <c r="AY32" s="1">
        <f t="shared" si="111"/>
        <v>4.8000000000000007</v>
      </c>
      <c r="AZ32" s="362">
        <f t="shared" si="6"/>
        <v>12.499999999999998</v>
      </c>
      <c r="BA32" s="1" t="s">
        <v>1150</v>
      </c>
      <c r="BB32" s="1">
        <f t="shared" si="112"/>
        <v>1.119</v>
      </c>
      <c r="BC32" s="1"/>
      <c r="BD32" s="1">
        <f t="shared" si="8"/>
        <v>48</v>
      </c>
      <c r="BE32" s="1">
        <f t="shared" si="9"/>
        <v>50.52</v>
      </c>
      <c r="BG32" s="1">
        <f t="shared" si="10"/>
        <v>0</v>
      </c>
      <c r="BH32" s="320">
        <v>0.09</v>
      </c>
      <c r="BI32" s="382">
        <v>40</v>
      </c>
      <c r="BJ32" s="1">
        <v>17</v>
      </c>
      <c r="BK32" s="381">
        <f t="shared" si="118"/>
        <v>50</v>
      </c>
      <c r="BL32" s="192">
        <v>2</v>
      </c>
      <c r="BM32" s="381">
        <f t="shared" si="118"/>
        <v>60</v>
      </c>
      <c r="BN32" s="1">
        <v>1</v>
      </c>
      <c r="BO32" s="380">
        <f t="shared" si="116"/>
        <v>42</v>
      </c>
      <c r="BP32" s="1">
        <f t="shared" ref="BP32:BP33" si="124">(BJ32+BL32+BN32)/BN32</f>
        <v>20</v>
      </c>
      <c r="BQ32" s="1">
        <f t="shared" si="120"/>
        <v>0.8</v>
      </c>
      <c r="BR32" s="301">
        <f t="shared" si="11"/>
        <v>46.2</v>
      </c>
      <c r="BS32" s="356">
        <f t="shared" si="101"/>
        <v>0.1</v>
      </c>
      <c r="BT32" s="297">
        <v>2</v>
      </c>
      <c r="BU32" s="1">
        <v>5</v>
      </c>
      <c r="BV32" s="297">
        <v>3</v>
      </c>
      <c r="BW32" s="1">
        <v>2</v>
      </c>
      <c r="BX32" s="297">
        <v>4</v>
      </c>
      <c r="BY32" s="1">
        <v>1</v>
      </c>
      <c r="BZ32" s="1">
        <f t="shared" si="80"/>
        <v>2.5</v>
      </c>
      <c r="CA32" s="1">
        <f t="shared" si="81"/>
        <v>7.5</v>
      </c>
      <c r="CB32" s="389">
        <f t="shared" si="104"/>
        <v>0.224</v>
      </c>
      <c r="CC32" s="1">
        <f t="shared" si="81"/>
        <v>15</v>
      </c>
      <c r="CD32" s="391">
        <f t="shared" si="105"/>
        <v>0.112</v>
      </c>
      <c r="CE32" s="1">
        <f t="shared" si="81"/>
        <v>22.5</v>
      </c>
      <c r="CF32" s="392">
        <f t="shared" si="106"/>
        <v>7.4666999999999997E-2</v>
      </c>
      <c r="CH32" s="190">
        <v>2E-3</v>
      </c>
      <c r="CI32" s="403">
        <f t="shared" si="102"/>
        <v>0</v>
      </c>
      <c r="CJ32" s="402">
        <f t="shared" si="16"/>
        <v>0</v>
      </c>
      <c r="CK32" s="411">
        <f t="shared" si="17"/>
        <v>0</v>
      </c>
      <c r="CL32" s="411">
        <f t="shared" si="18"/>
        <v>0</v>
      </c>
      <c r="CM32" s="412">
        <f t="shared" si="82"/>
        <v>0</v>
      </c>
      <c r="CN32" s="413">
        <f t="shared" si="19"/>
        <v>0</v>
      </c>
      <c r="CO32" s="411">
        <f t="shared" si="20"/>
        <v>0</v>
      </c>
      <c r="CP32" s="429" t="e">
        <f t="shared" si="21"/>
        <v>#DIV/0!</v>
      </c>
      <c r="CQ32" s="430">
        <f t="shared" si="83"/>
        <v>12</v>
      </c>
      <c r="CR32" s="431">
        <f t="shared" si="84"/>
        <v>1</v>
      </c>
      <c r="CS32" s="332"/>
      <c r="CT32" s="322">
        <v>12</v>
      </c>
      <c r="CU32" s="331">
        <v>1</v>
      </c>
      <c r="CW32" s="436"/>
      <c r="DB32" s="438"/>
      <c r="DC32" s="430">
        <v>12</v>
      </c>
      <c r="DD32" s="402">
        <v>1</v>
      </c>
      <c r="DE32" s="438">
        <f t="shared" si="22"/>
        <v>5.600000000000006E-4</v>
      </c>
      <c r="DF32" s="430">
        <f t="shared" si="23"/>
        <v>12</v>
      </c>
      <c r="DG32" s="402">
        <f t="shared" si="85"/>
        <v>1</v>
      </c>
      <c r="DH32" s="438">
        <f t="shared" si="25"/>
        <v>1.1200000000000012E-3</v>
      </c>
      <c r="DI32" s="430">
        <f t="shared" si="26"/>
        <v>12</v>
      </c>
      <c r="DJ32" s="402">
        <f t="shared" si="86"/>
        <v>1</v>
      </c>
      <c r="DK32" s="438">
        <f t="shared" si="28"/>
        <v>1.6800000000000018E-3</v>
      </c>
      <c r="DL32" s="430">
        <f t="shared" si="87"/>
        <v>12</v>
      </c>
      <c r="DM32" s="402">
        <f t="shared" si="88"/>
        <v>1</v>
      </c>
      <c r="DN32" s="438">
        <f t="shared" si="31"/>
        <v>2.2400000000000024E-3</v>
      </c>
      <c r="DO32" s="430">
        <f t="shared" si="89"/>
        <v>12</v>
      </c>
      <c r="DP32" s="402">
        <f t="shared" si="90"/>
        <v>1</v>
      </c>
      <c r="DQ32" s="438">
        <f t="shared" si="34"/>
        <v>2.800000000000003E-3</v>
      </c>
      <c r="DR32" s="430">
        <f t="shared" si="91"/>
        <v>12</v>
      </c>
      <c r="DS32" s="402">
        <f t="shared" si="92"/>
        <v>1</v>
      </c>
      <c r="DT32" s="438">
        <f t="shared" si="37"/>
        <v>5.600000000000006E-3</v>
      </c>
      <c r="DU32" s="430">
        <f t="shared" si="93"/>
        <v>12</v>
      </c>
      <c r="DV32" s="402">
        <f t="shared" si="94"/>
        <v>1</v>
      </c>
      <c r="DW32" s="438">
        <f t="shared" si="40"/>
        <v>1.1200000000000012E-2</v>
      </c>
      <c r="DX32" s="430">
        <f t="shared" si="95"/>
        <v>12</v>
      </c>
      <c r="DY32" s="402">
        <f t="shared" si="96"/>
        <v>1</v>
      </c>
      <c r="DZ32" s="438">
        <f t="shared" si="43"/>
        <v>1.6800000000000016E-2</v>
      </c>
      <c r="EA32" s="430">
        <f t="shared" si="97"/>
        <v>12</v>
      </c>
      <c r="EB32" s="402">
        <f t="shared" si="98"/>
        <v>1</v>
      </c>
      <c r="EC32" s="438">
        <f t="shared" si="46"/>
        <v>2.2400000000000024E-2</v>
      </c>
      <c r="ED32" s="430">
        <f t="shared" si="99"/>
        <v>12</v>
      </c>
      <c r="EE32" s="402">
        <f t="shared" si="100"/>
        <v>1</v>
      </c>
      <c r="EF32" s="438">
        <f t="shared" si="49"/>
        <v>2.8000000000000028E-2</v>
      </c>
      <c r="EG32" s="430">
        <f t="shared" si="50"/>
        <v>24</v>
      </c>
      <c r="EH32" s="402">
        <f t="shared" si="51"/>
        <v>2</v>
      </c>
      <c r="EI32" s="438">
        <f t="shared" si="52"/>
        <v>2.8000000000000028E-2</v>
      </c>
      <c r="EJ32" s="430">
        <f t="shared" si="53"/>
        <v>48</v>
      </c>
      <c r="EK32" s="402">
        <f t="shared" si="54"/>
        <v>4</v>
      </c>
      <c r="EL32" s="438">
        <f t="shared" si="55"/>
        <v>2.8000000000000028E-2</v>
      </c>
      <c r="EM32" s="430">
        <f t="shared" si="56"/>
        <v>72</v>
      </c>
      <c r="EN32" s="402">
        <f t="shared" si="57"/>
        <v>6</v>
      </c>
      <c r="EO32" s="438">
        <f t="shared" si="58"/>
        <v>2.8000000000000028E-2</v>
      </c>
      <c r="EP32" s="430">
        <f t="shared" si="59"/>
        <v>96</v>
      </c>
      <c r="EQ32" s="402">
        <f t="shared" si="60"/>
        <v>8</v>
      </c>
      <c r="ER32" s="438">
        <f t="shared" si="61"/>
        <v>2.8000000000000028E-2</v>
      </c>
      <c r="ES32" s="430">
        <f t="shared" si="62"/>
        <v>120</v>
      </c>
      <c r="ET32" s="402">
        <f t="shared" si="63"/>
        <v>10</v>
      </c>
      <c r="EU32" s="438">
        <f t="shared" si="64"/>
        <v>2.8000000000000028E-2</v>
      </c>
      <c r="EV32" s="430">
        <f t="shared" si="65"/>
        <v>240</v>
      </c>
      <c r="EW32" s="402">
        <f t="shared" si="66"/>
        <v>20</v>
      </c>
      <c r="EX32" s="438">
        <f t="shared" si="67"/>
        <v>2.8000000000000028E-2</v>
      </c>
      <c r="EY32" s="430">
        <f t="shared" si="68"/>
        <v>480</v>
      </c>
      <c r="EZ32" s="402">
        <f t="shared" si="69"/>
        <v>40</v>
      </c>
      <c r="FA32" s="438">
        <f t="shared" si="70"/>
        <v>2.8000000000000028E-2</v>
      </c>
      <c r="FB32" s="430">
        <f t="shared" si="71"/>
        <v>720</v>
      </c>
      <c r="FC32" s="402">
        <f t="shared" si="72"/>
        <v>60</v>
      </c>
      <c r="FD32" s="438">
        <f t="shared" si="73"/>
        <v>2.8000000000000028E-2</v>
      </c>
      <c r="FE32" s="430">
        <f t="shared" si="74"/>
        <v>960</v>
      </c>
      <c r="FF32" s="402">
        <f t="shared" si="75"/>
        <v>80</v>
      </c>
      <c r="FG32" s="438">
        <f t="shared" si="76"/>
        <v>2.8000000000000028E-2</v>
      </c>
      <c r="FH32" s="430">
        <f t="shared" si="77"/>
        <v>1200</v>
      </c>
      <c r="FI32" s="402">
        <f t="shared" si="78"/>
        <v>100</v>
      </c>
      <c r="FJ32" s="438">
        <f t="shared" si="79"/>
        <v>2.8000000000000028E-2</v>
      </c>
    </row>
    <row r="33" spans="1:166" x14ac:dyDescent="0.45">
      <c r="A33" s="1">
        <v>29</v>
      </c>
      <c r="B33" s="305"/>
      <c r="C33" s="1">
        <v>4</v>
      </c>
      <c r="D33" s="1">
        <v>-1</v>
      </c>
      <c r="E33" s="1">
        <f t="shared" si="114"/>
        <v>47</v>
      </c>
      <c r="F33" s="1">
        <f t="shared" si="109"/>
        <v>45</v>
      </c>
      <c r="G33" s="1" t="str">
        <f t="shared" si="117"/>
        <v>[[45,17],[55,2],[65,1]]</v>
      </c>
      <c r="H33" s="1">
        <f t="shared" si="121"/>
        <v>5</v>
      </c>
      <c r="I33" s="1">
        <f t="shared" si="122"/>
        <v>1</v>
      </c>
      <c r="J33" s="1">
        <v>0</v>
      </c>
      <c r="K33" s="313">
        <v>0</v>
      </c>
      <c r="L33" s="314">
        <v>2</v>
      </c>
      <c r="M33" s="320">
        <f>ROUND(IF(L33&lt;&gt;0,$BI$4/('全局参数|GlobalPar'!$B$18/10000/E33)/L33,0),6)</f>
        <v>0</v>
      </c>
      <c r="N33" s="320">
        <f t="shared" si="110"/>
        <v>0</v>
      </c>
      <c r="O33" s="323">
        <v>0</v>
      </c>
      <c r="P33" s="322">
        <v>13</v>
      </c>
      <c r="Q33" s="331">
        <v>1</v>
      </c>
      <c r="R33" s="332" t="s">
        <v>1144</v>
      </c>
      <c r="S33" s="1"/>
      <c r="T33" s="333">
        <v>0</v>
      </c>
      <c r="U33" s="348">
        <v>0</v>
      </c>
      <c r="V33" s="348">
        <v>0</v>
      </c>
      <c r="W33" s="348">
        <v>0</v>
      </c>
      <c r="X33" s="1" t="s">
        <v>1145</v>
      </c>
      <c r="Y33" s="192" t="s">
        <v>1146</v>
      </c>
      <c r="Z33" s="192">
        <v>0</v>
      </c>
      <c r="AA33" s="192">
        <v>0</v>
      </c>
      <c r="AB33" s="354">
        <v>11</v>
      </c>
      <c r="AC33" s="1">
        <f t="shared" si="115"/>
        <v>1</v>
      </c>
      <c r="AD33" s="1">
        <v>0</v>
      </c>
      <c r="AE33" s="1">
        <v>2</v>
      </c>
      <c r="AF33" s="1">
        <v>4</v>
      </c>
      <c r="AG33" s="1">
        <v>1</v>
      </c>
      <c r="AH33" s="1">
        <v>1.5</v>
      </c>
      <c r="AI33" s="1">
        <v>1</v>
      </c>
      <c r="AJ33" s="1">
        <v>1</v>
      </c>
      <c r="AK33" s="1">
        <v>1</v>
      </c>
      <c r="AL33" s="1" t="s">
        <v>1251</v>
      </c>
      <c r="AM33" s="1"/>
      <c r="AN33" s="1"/>
      <c r="AO33" s="356">
        <v>0.75</v>
      </c>
      <c r="AP33" s="1">
        <v>110</v>
      </c>
      <c r="AQ33" s="1">
        <v>0.18</v>
      </c>
      <c r="AR33" s="1">
        <v>0.8</v>
      </c>
      <c r="AS33" s="1">
        <v>1</v>
      </c>
      <c r="AT33" s="1" t="s">
        <v>1216</v>
      </c>
      <c r="AU33" s="358" t="s">
        <v>1252</v>
      </c>
      <c r="AV33" s="358" t="s">
        <v>1253</v>
      </c>
      <c r="AW33" s="300" t="s">
        <v>454</v>
      </c>
      <c r="AX33" s="360" t="s">
        <v>189</v>
      </c>
      <c r="AY33" s="1">
        <f t="shared" si="111"/>
        <v>5.3000000000000007</v>
      </c>
      <c r="AZ33" s="362">
        <f t="shared" si="6"/>
        <v>11.320754716981131</v>
      </c>
      <c r="BA33" s="1" t="s">
        <v>1150</v>
      </c>
      <c r="BB33" s="1">
        <f t="shared" si="112"/>
        <v>1.119</v>
      </c>
      <c r="BC33" s="1"/>
      <c r="BD33" s="1">
        <f t="shared" si="8"/>
        <v>53</v>
      </c>
      <c r="BE33" s="1">
        <f t="shared" si="9"/>
        <v>55.82</v>
      </c>
      <c r="BG33" s="1">
        <f t="shared" si="10"/>
        <v>0</v>
      </c>
      <c r="BH33" s="320">
        <v>0.09</v>
      </c>
      <c r="BI33" s="382">
        <v>45</v>
      </c>
      <c r="BJ33" s="1">
        <v>17</v>
      </c>
      <c r="BK33" s="381">
        <f t="shared" si="118"/>
        <v>55</v>
      </c>
      <c r="BL33" s="192">
        <v>2</v>
      </c>
      <c r="BM33" s="381">
        <f t="shared" si="118"/>
        <v>65</v>
      </c>
      <c r="BN33" s="1">
        <v>1</v>
      </c>
      <c r="BO33" s="380">
        <f t="shared" si="116"/>
        <v>47</v>
      </c>
      <c r="BP33" s="1">
        <f t="shared" si="124"/>
        <v>20</v>
      </c>
      <c r="BQ33" s="1">
        <f t="shared" si="120"/>
        <v>0.8</v>
      </c>
      <c r="BR33" s="301">
        <f t="shared" si="11"/>
        <v>51.7</v>
      </c>
      <c r="BS33" s="356">
        <f t="shared" si="101"/>
        <v>0.1</v>
      </c>
      <c r="BT33" s="297">
        <v>2</v>
      </c>
      <c r="BU33" s="1">
        <v>5</v>
      </c>
      <c r="BV33" s="297">
        <v>3</v>
      </c>
      <c r="BW33" s="1">
        <v>2</v>
      </c>
      <c r="BX33" s="297">
        <v>4</v>
      </c>
      <c r="BY33" s="1">
        <v>1</v>
      </c>
      <c r="BZ33" s="1">
        <f t="shared" si="80"/>
        <v>2.5</v>
      </c>
      <c r="CA33" s="1">
        <f t="shared" si="81"/>
        <v>7.5</v>
      </c>
      <c r="CB33" s="389">
        <f t="shared" si="104"/>
        <v>0.25066699999999997</v>
      </c>
      <c r="CC33" s="1">
        <f t="shared" si="81"/>
        <v>15</v>
      </c>
      <c r="CD33" s="391">
        <f t="shared" si="105"/>
        <v>0.125333</v>
      </c>
      <c r="CE33" s="1">
        <f t="shared" si="81"/>
        <v>22.5</v>
      </c>
      <c r="CF33" s="392">
        <f t="shared" si="106"/>
        <v>8.3556000000000005E-2</v>
      </c>
      <c r="CH33" s="190">
        <v>2E-3</v>
      </c>
      <c r="CI33" s="403">
        <f t="shared" si="102"/>
        <v>0</v>
      </c>
      <c r="CJ33" s="402">
        <f t="shared" si="16"/>
        <v>0</v>
      </c>
      <c r="CK33" s="411">
        <f t="shared" si="17"/>
        <v>0</v>
      </c>
      <c r="CL33" s="411">
        <f t="shared" si="18"/>
        <v>0</v>
      </c>
      <c r="CM33" s="412">
        <f t="shared" si="82"/>
        <v>0</v>
      </c>
      <c r="CN33" s="413">
        <f t="shared" si="19"/>
        <v>0</v>
      </c>
      <c r="CO33" s="411">
        <f t="shared" si="20"/>
        <v>0</v>
      </c>
      <c r="CP33" s="429" t="e">
        <f t="shared" si="21"/>
        <v>#DIV/0!</v>
      </c>
      <c r="CQ33" s="430">
        <f t="shared" si="83"/>
        <v>13</v>
      </c>
      <c r="CR33" s="431">
        <f t="shared" si="84"/>
        <v>1</v>
      </c>
      <c r="CS33" s="332"/>
      <c r="CT33" s="322">
        <v>13</v>
      </c>
      <c r="CU33" s="331">
        <v>1</v>
      </c>
      <c r="CW33" s="436"/>
      <c r="DB33" s="438"/>
      <c r="DC33" s="430">
        <v>13</v>
      </c>
      <c r="DD33" s="402">
        <v>1</v>
      </c>
      <c r="DE33" s="438">
        <f t="shared" si="22"/>
        <v>5.7846153846153909E-4</v>
      </c>
      <c r="DF33" s="430">
        <f t="shared" si="23"/>
        <v>13</v>
      </c>
      <c r="DG33" s="402">
        <f t="shared" si="85"/>
        <v>1</v>
      </c>
      <c r="DH33" s="438">
        <f t="shared" si="25"/>
        <v>1.1569230769230782E-3</v>
      </c>
      <c r="DI33" s="430">
        <f t="shared" si="26"/>
        <v>13</v>
      </c>
      <c r="DJ33" s="402">
        <f t="shared" si="86"/>
        <v>1</v>
      </c>
      <c r="DK33" s="438">
        <f t="shared" si="28"/>
        <v>1.7353846153846172E-3</v>
      </c>
      <c r="DL33" s="430">
        <f t="shared" si="87"/>
        <v>13</v>
      </c>
      <c r="DM33" s="402">
        <f t="shared" si="88"/>
        <v>1</v>
      </c>
      <c r="DN33" s="438">
        <f t="shared" si="31"/>
        <v>2.3138461538461563E-3</v>
      </c>
      <c r="DO33" s="430">
        <f t="shared" si="89"/>
        <v>13</v>
      </c>
      <c r="DP33" s="402">
        <f t="shared" si="90"/>
        <v>1</v>
      </c>
      <c r="DQ33" s="438">
        <f t="shared" si="34"/>
        <v>2.8923076923076953E-3</v>
      </c>
      <c r="DR33" s="430">
        <f t="shared" si="91"/>
        <v>13</v>
      </c>
      <c r="DS33" s="402">
        <f t="shared" si="92"/>
        <v>1</v>
      </c>
      <c r="DT33" s="438">
        <f t="shared" si="37"/>
        <v>5.7846153846153906E-3</v>
      </c>
      <c r="DU33" s="430">
        <f t="shared" si="93"/>
        <v>13</v>
      </c>
      <c r="DV33" s="402">
        <f t="shared" si="94"/>
        <v>1</v>
      </c>
      <c r="DW33" s="438">
        <f t="shared" si="40"/>
        <v>1.1569230769230781E-2</v>
      </c>
      <c r="DX33" s="430">
        <f t="shared" si="95"/>
        <v>13</v>
      </c>
      <c r="DY33" s="402">
        <f t="shared" si="96"/>
        <v>1</v>
      </c>
      <c r="DZ33" s="438">
        <f t="shared" si="43"/>
        <v>1.7353846153846171E-2</v>
      </c>
      <c r="EA33" s="430">
        <f t="shared" si="97"/>
        <v>13</v>
      </c>
      <c r="EB33" s="402">
        <f t="shared" si="98"/>
        <v>1</v>
      </c>
      <c r="EC33" s="438">
        <f t="shared" si="46"/>
        <v>2.3138461538461563E-2</v>
      </c>
      <c r="ED33" s="430">
        <f t="shared" si="99"/>
        <v>13</v>
      </c>
      <c r="EE33" s="402">
        <f t="shared" si="100"/>
        <v>1</v>
      </c>
      <c r="EF33" s="438">
        <f t="shared" si="49"/>
        <v>2.8923076923076951E-2</v>
      </c>
      <c r="EG33" s="430">
        <f t="shared" si="50"/>
        <v>26</v>
      </c>
      <c r="EH33" s="402">
        <f t="shared" si="51"/>
        <v>2</v>
      </c>
      <c r="EI33" s="438">
        <f t="shared" si="52"/>
        <v>2.8923076923076951E-2</v>
      </c>
      <c r="EJ33" s="430">
        <f t="shared" si="53"/>
        <v>52</v>
      </c>
      <c r="EK33" s="402">
        <f t="shared" si="54"/>
        <v>4</v>
      </c>
      <c r="EL33" s="438">
        <f t="shared" si="55"/>
        <v>2.8923076923076951E-2</v>
      </c>
      <c r="EM33" s="430">
        <f t="shared" si="56"/>
        <v>78</v>
      </c>
      <c r="EN33" s="402">
        <f t="shared" si="57"/>
        <v>6</v>
      </c>
      <c r="EO33" s="438">
        <f t="shared" si="58"/>
        <v>2.8923076923076951E-2</v>
      </c>
      <c r="EP33" s="430">
        <f t="shared" si="59"/>
        <v>104</v>
      </c>
      <c r="EQ33" s="402">
        <f t="shared" si="60"/>
        <v>8</v>
      </c>
      <c r="ER33" s="438">
        <f t="shared" si="61"/>
        <v>2.8923076923076951E-2</v>
      </c>
      <c r="ES33" s="430">
        <f t="shared" si="62"/>
        <v>130</v>
      </c>
      <c r="ET33" s="402">
        <f t="shared" si="63"/>
        <v>10</v>
      </c>
      <c r="EU33" s="438">
        <f t="shared" si="64"/>
        <v>2.8923076923076951E-2</v>
      </c>
      <c r="EV33" s="430">
        <f t="shared" si="65"/>
        <v>260</v>
      </c>
      <c r="EW33" s="402">
        <f t="shared" si="66"/>
        <v>20</v>
      </c>
      <c r="EX33" s="438">
        <f t="shared" si="67"/>
        <v>2.8923076923076951E-2</v>
      </c>
      <c r="EY33" s="430">
        <f t="shared" si="68"/>
        <v>520</v>
      </c>
      <c r="EZ33" s="402">
        <f t="shared" si="69"/>
        <v>40</v>
      </c>
      <c r="FA33" s="438">
        <f t="shared" si="70"/>
        <v>2.8923076923076951E-2</v>
      </c>
      <c r="FB33" s="430">
        <f t="shared" si="71"/>
        <v>780</v>
      </c>
      <c r="FC33" s="402">
        <f t="shared" si="72"/>
        <v>60</v>
      </c>
      <c r="FD33" s="438">
        <f t="shared" si="73"/>
        <v>2.8923076923076951E-2</v>
      </c>
      <c r="FE33" s="430">
        <f t="shared" si="74"/>
        <v>1040</v>
      </c>
      <c r="FF33" s="402">
        <f t="shared" si="75"/>
        <v>80</v>
      </c>
      <c r="FG33" s="438">
        <f t="shared" si="76"/>
        <v>2.8923076923076951E-2</v>
      </c>
      <c r="FH33" s="430">
        <f t="shared" si="77"/>
        <v>1300</v>
      </c>
      <c r="FI33" s="402">
        <f t="shared" si="78"/>
        <v>100</v>
      </c>
      <c r="FJ33" s="438">
        <f t="shared" si="79"/>
        <v>2.8923076923076951E-2</v>
      </c>
    </row>
    <row r="34" spans="1:166" x14ac:dyDescent="0.45">
      <c r="A34" s="1">
        <v>30</v>
      </c>
      <c r="B34" s="306" t="s">
        <v>1254</v>
      </c>
      <c r="C34" s="1">
        <v>4</v>
      </c>
      <c r="D34" s="1">
        <v>-1</v>
      </c>
      <c r="E34" s="1">
        <f t="shared" si="114"/>
        <v>42</v>
      </c>
      <c r="F34" s="1">
        <f t="shared" si="109"/>
        <v>40</v>
      </c>
      <c r="G34" s="1" t="str">
        <f t="shared" si="117"/>
        <v>[[40,17],[50,2],[60,1]]</v>
      </c>
      <c r="H34" s="1">
        <f t="shared" si="121"/>
        <v>5</v>
      </c>
      <c r="I34" s="1">
        <f t="shared" si="122"/>
        <v>1</v>
      </c>
      <c r="J34" s="1">
        <v>0</v>
      </c>
      <c r="K34" s="313">
        <v>0</v>
      </c>
      <c r="L34" s="314">
        <v>2</v>
      </c>
      <c r="M34" s="320">
        <f>ROUND(IF(L34&lt;&gt;0,$BI$4/('全局参数|GlobalPar'!$B$18/10000/E34)/L34,0),6)</f>
        <v>0</v>
      </c>
      <c r="N34" s="320">
        <f t="shared" si="110"/>
        <v>0</v>
      </c>
      <c r="O34" s="323">
        <v>0</v>
      </c>
      <c r="P34" s="322">
        <v>13</v>
      </c>
      <c r="Q34" s="331">
        <v>1</v>
      </c>
      <c r="R34" s="332" t="s">
        <v>1144</v>
      </c>
      <c r="S34" s="1"/>
      <c r="T34" s="333">
        <v>0</v>
      </c>
      <c r="U34" s="348">
        <v>0</v>
      </c>
      <c r="V34" s="348">
        <v>0</v>
      </c>
      <c r="W34" s="348">
        <v>0</v>
      </c>
      <c r="X34" s="1" t="s">
        <v>1145</v>
      </c>
      <c r="Y34" s="192" t="s">
        <v>1146</v>
      </c>
      <c r="Z34" s="192">
        <v>0</v>
      </c>
      <c r="AA34" s="192">
        <v>0</v>
      </c>
      <c r="AB34" s="354">
        <v>11</v>
      </c>
      <c r="AC34" s="1">
        <f t="shared" si="115"/>
        <v>1</v>
      </c>
      <c r="AD34" s="1">
        <v>0</v>
      </c>
      <c r="AE34" s="1">
        <v>2</v>
      </c>
      <c r="AF34" s="1">
        <v>4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 t="s">
        <v>1251</v>
      </c>
      <c r="AM34" s="1"/>
      <c r="AN34" s="1"/>
      <c r="AO34" s="356">
        <v>0.75</v>
      </c>
      <c r="AP34" s="1">
        <v>120</v>
      </c>
      <c r="AQ34" s="1">
        <v>0.18</v>
      </c>
      <c r="AR34" s="1">
        <v>0.8</v>
      </c>
      <c r="AS34" s="1">
        <v>1</v>
      </c>
      <c r="AT34" s="1" t="s">
        <v>1216</v>
      </c>
      <c r="AU34" s="358" t="s">
        <v>1255</v>
      </c>
      <c r="AV34" s="358" t="s">
        <v>1256</v>
      </c>
      <c r="AW34" s="300" t="s">
        <v>275</v>
      </c>
      <c r="AX34" s="360" t="s">
        <v>189</v>
      </c>
      <c r="AY34" s="1">
        <f t="shared" si="111"/>
        <v>4.8000000000000007</v>
      </c>
      <c r="AZ34" s="362">
        <f t="shared" si="6"/>
        <v>12.499999999999998</v>
      </c>
      <c r="BA34" s="1" t="s">
        <v>1150</v>
      </c>
      <c r="BB34" s="1">
        <f t="shared" si="112"/>
        <v>0.746</v>
      </c>
      <c r="BC34" s="1"/>
      <c r="BD34" s="1">
        <f t="shared" si="8"/>
        <v>48</v>
      </c>
      <c r="BE34" s="1">
        <f t="shared" si="9"/>
        <v>50.52</v>
      </c>
      <c r="BG34" s="1">
        <f t="shared" si="10"/>
        <v>0</v>
      </c>
      <c r="BH34" s="320">
        <v>0.11</v>
      </c>
      <c r="BI34" s="380">
        <v>40</v>
      </c>
      <c r="BJ34" s="1">
        <v>17</v>
      </c>
      <c r="BK34" s="381">
        <f t="shared" si="118"/>
        <v>50</v>
      </c>
      <c r="BL34" s="192">
        <v>2</v>
      </c>
      <c r="BM34" s="381">
        <f t="shared" si="118"/>
        <v>60</v>
      </c>
      <c r="BN34" s="1">
        <v>1</v>
      </c>
      <c r="BO34" s="380">
        <f t="shared" si="116"/>
        <v>42</v>
      </c>
      <c r="BP34" s="1">
        <f>(BJ34+BL34+BN34)/BL34</f>
        <v>10</v>
      </c>
      <c r="BQ34" s="1">
        <f t="shared" si="120"/>
        <v>0.8</v>
      </c>
      <c r="BR34" s="301">
        <f t="shared" si="11"/>
        <v>46.2</v>
      </c>
      <c r="BS34" s="356">
        <f t="shared" si="101"/>
        <v>0.1</v>
      </c>
      <c r="BT34" s="297">
        <v>2</v>
      </c>
      <c r="BU34" s="1">
        <v>5</v>
      </c>
      <c r="BV34" s="297">
        <v>3</v>
      </c>
      <c r="BW34" s="1">
        <v>2</v>
      </c>
      <c r="BX34" s="297">
        <v>4</v>
      </c>
      <c r="BY34" s="1">
        <v>1</v>
      </c>
      <c r="BZ34" s="1">
        <f t="shared" si="80"/>
        <v>2.5</v>
      </c>
      <c r="CA34" s="1">
        <f t="shared" si="81"/>
        <v>7.5</v>
      </c>
      <c r="CB34" s="389">
        <f t="shared" si="104"/>
        <v>0.224</v>
      </c>
      <c r="CC34" s="1">
        <f t="shared" si="81"/>
        <v>15</v>
      </c>
      <c r="CD34" s="391">
        <f t="shared" si="105"/>
        <v>0.112</v>
      </c>
      <c r="CE34" s="1">
        <f t="shared" si="81"/>
        <v>22.5</v>
      </c>
      <c r="CF34" s="392">
        <f t="shared" si="106"/>
        <v>7.4666999999999997E-2</v>
      </c>
      <c r="CH34" s="190">
        <v>2E-3</v>
      </c>
      <c r="CI34" s="403">
        <f t="shared" si="102"/>
        <v>0</v>
      </c>
      <c r="CJ34" s="402">
        <f t="shared" si="16"/>
        <v>0</v>
      </c>
      <c r="CK34" s="411">
        <f t="shared" si="17"/>
        <v>0</v>
      </c>
      <c r="CL34" s="411">
        <f t="shared" si="18"/>
        <v>0</v>
      </c>
      <c r="CM34" s="412">
        <f t="shared" si="82"/>
        <v>0</v>
      </c>
      <c r="CN34" s="413">
        <f t="shared" si="19"/>
        <v>0</v>
      </c>
      <c r="CO34" s="411">
        <f t="shared" si="20"/>
        <v>0</v>
      </c>
      <c r="CP34" s="429" t="e">
        <f t="shared" si="21"/>
        <v>#DIV/0!</v>
      </c>
      <c r="CQ34" s="430">
        <f t="shared" si="83"/>
        <v>13</v>
      </c>
      <c r="CR34" s="431">
        <f t="shared" si="84"/>
        <v>1</v>
      </c>
      <c r="CS34" s="332"/>
      <c r="CT34" s="322">
        <v>13</v>
      </c>
      <c r="CU34" s="331">
        <v>1</v>
      </c>
      <c r="CW34" s="436"/>
      <c r="DB34" s="438"/>
      <c r="DC34" s="430">
        <v>13</v>
      </c>
      <c r="DD34" s="402">
        <v>1</v>
      </c>
      <c r="DE34" s="438">
        <f t="shared" si="22"/>
        <v>5.1692307692307747E-4</v>
      </c>
      <c r="DF34" s="430">
        <f t="shared" si="23"/>
        <v>13</v>
      </c>
      <c r="DG34" s="402">
        <f t="shared" si="85"/>
        <v>1</v>
      </c>
      <c r="DH34" s="438">
        <f t="shared" si="25"/>
        <v>1.0338461538461549E-3</v>
      </c>
      <c r="DI34" s="430">
        <f t="shared" si="26"/>
        <v>13</v>
      </c>
      <c r="DJ34" s="402">
        <f t="shared" si="86"/>
        <v>1</v>
      </c>
      <c r="DK34" s="438">
        <f t="shared" si="28"/>
        <v>1.5507692307692323E-3</v>
      </c>
      <c r="DL34" s="430">
        <f t="shared" si="87"/>
        <v>13</v>
      </c>
      <c r="DM34" s="402">
        <f t="shared" si="88"/>
        <v>1</v>
      </c>
      <c r="DN34" s="438">
        <f t="shared" si="31"/>
        <v>2.0676923076923099E-3</v>
      </c>
      <c r="DO34" s="430">
        <f t="shared" si="89"/>
        <v>13</v>
      </c>
      <c r="DP34" s="402">
        <f t="shared" si="90"/>
        <v>1</v>
      </c>
      <c r="DQ34" s="438">
        <f t="shared" si="34"/>
        <v>2.5846153846153875E-3</v>
      </c>
      <c r="DR34" s="430">
        <f t="shared" si="91"/>
        <v>13</v>
      </c>
      <c r="DS34" s="402">
        <f t="shared" si="92"/>
        <v>1</v>
      </c>
      <c r="DT34" s="438">
        <f t="shared" si="37"/>
        <v>5.1692307692307749E-3</v>
      </c>
      <c r="DU34" s="430">
        <f t="shared" si="93"/>
        <v>13</v>
      </c>
      <c r="DV34" s="402">
        <f t="shared" si="94"/>
        <v>1</v>
      </c>
      <c r="DW34" s="438">
        <f t="shared" si="40"/>
        <v>1.033846153846155E-2</v>
      </c>
      <c r="DX34" s="430">
        <f t="shared" si="95"/>
        <v>13</v>
      </c>
      <c r="DY34" s="402">
        <f t="shared" si="96"/>
        <v>1</v>
      </c>
      <c r="DZ34" s="438">
        <f t="shared" si="43"/>
        <v>1.5507692307692325E-2</v>
      </c>
      <c r="EA34" s="430">
        <f t="shared" si="97"/>
        <v>13</v>
      </c>
      <c r="EB34" s="402">
        <f t="shared" si="98"/>
        <v>1</v>
      </c>
      <c r="EC34" s="438">
        <f t="shared" si="46"/>
        <v>2.06769230769231E-2</v>
      </c>
      <c r="ED34" s="430">
        <f t="shared" si="99"/>
        <v>13</v>
      </c>
      <c r="EE34" s="402">
        <f t="shared" si="100"/>
        <v>1</v>
      </c>
      <c r="EF34" s="438">
        <f t="shared" si="49"/>
        <v>2.5846153846153873E-2</v>
      </c>
      <c r="EG34" s="430">
        <f t="shared" si="50"/>
        <v>26</v>
      </c>
      <c r="EH34" s="402">
        <f t="shared" si="51"/>
        <v>2</v>
      </c>
      <c r="EI34" s="438">
        <f t="shared" si="52"/>
        <v>2.5846153846153873E-2</v>
      </c>
      <c r="EJ34" s="430">
        <f t="shared" si="53"/>
        <v>52</v>
      </c>
      <c r="EK34" s="402">
        <f t="shared" si="54"/>
        <v>4</v>
      </c>
      <c r="EL34" s="438">
        <f t="shared" si="55"/>
        <v>2.5846153846153873E-2</v>
      </c>
      <c r="EM34" s="430">
        <f t="shared" si="56"/>
        <v>78</v>
      </c>
      <c r="EN34" s="402">
        <f t="shared" si="57"/>
        <v>6</v>
      </c>
      <c r="EO34" s="438">
        <f t="shared" si="58"/>
        <v>2.5846153846153873E-2</v>
      </c>
      <c r="EP34" s="430">
        <f t="shared" si="59"/>
        <v>104</v>
      </c>
      <c r="EQ34" s="402">
        <f t="shared" si="60"/>
        <v>8</v>
      </c>
      <c r="ER34" s="438">
        <f t="shared" si="61"/>
        <v>2.5846153846153873E-2</v>
      </c>
      <c r="ES34" s="430">
        <f t="shared" si="62"/>
        <v>130</v>
      </c>
      <c r="ET34" s="402">
        <f t="shared" si="63"/>
        <v>10</v>
      </c>
      <c r="EU34" s="438">
        <f t="shared" si="64"/>
        <v>2.5846153846153873E-2</v>
      </c>
      <c r="EV34" s="430">
        <f t="shared" si="65"/>
        <v>260</v>
      </c>
      <c r="EW34" s="402">
        <f t="shared" si="66"/>
        <v>20</v>
      </c>
      <c r="EX34" s="438">
        <f t="shared" si="67"/>
        <v>2.5846153846153873E-2</v>
      </c>
      <c r="EY34" s="430">
        <f t="shared" si="68"/>
        <v>520</v>
      </c>
      <c r="EZ34" s="402">
        <f t="shared" si="69"/>
        <v>40</v>
      </c>
      <c r="FA34" s="438">
        <f t="shared" si="70"/>
        <v>2.5846153846153873E-2</v>
      </c>
      <c r="FB34" s="430">
        <f t="shared" si="71"/>
        <v>780</v>
      </c>
      <c r="FC34" s="402">
        <f t="shared" si="72"/>
        <v>60</v>
      </c>
      <c r="FD34" s="438">
        <f t="shared" si="73"/>
        <v>2.5846153846153873E-2</v>
      </c>
      <c r="FE34" s="430">
        <f t="shared" si="74"/>
        <v>1040</v>
      </c>
      <c r="FF34" s="402">
        <f t="shared" si="75"/>
        <v>80</v>
      </c>
      <c r="FG34" s="438">
        <f t="shared" si="76"/>
        <v>2.5846153846153873E-2</v>
      </c>
      <c r="FH34" s="430">
        <f t="shared" si="77"/>
        <v>1300</v>
      </c>
      <c r="FI34" s="402">
        <f t="shared" si="78"/>
        <v>100</v>
      </c>
      <c r="FJ34" s="438">
        <f t="shared" si="79"/>
        <v>2.5846153846153873E-2</v>
      </c>
    </row>
    <row r="35" spans="1:166" x14ac:dyDescent="0.45">
      <c r="A35" s="1">
        <v>31</v>
      </c>
      <c r="B35" s="305"/>
      <c r="C35" s="1">
        <v>4</v>
      </c>
      <c r="D35" s="1">
        <v>-1</v>
      </c>
      <c r="E35" s="1">
        <f t="shared" si="114"/>
        <v>57</v>
      </c>
      <c r="F35" s="1">
        <f t="shared" si="109"/>
        <v>55</v>
      </c>
      <c r="G35" s="1" t="str">
        <f t="shared" si="117"/>
        <v>[[55,17],[65,2],[75,1]]</v>
      </c>
      <c r="H35" s="1">
        <f t="shared" si="121"/>
        <v>5</v>
      </c>
      <c r="I35" s="1">
        <f t="shared" si="122"/>
        <v>1</v>
      </c>
      <c r="J35" s="1">
        <v>0</v>
      </c>
      <c r="K35" s="313">
        <v>0</v>
      </c>
      <c r="L35" s="314">
        <v>3</v>
      </c>
      <c r="M35" s="320">
        <f>ROUND(IF(L35&lt;&gt;0,$BI$4/('全局参数|GlobalPar'!$B$18/10000/E35)/L35,0),6)</f>
        <v>0</v>
      </c>
      <c r="N35" s="320">
        <f t="shared" si="110"/>
        <v>0</v>
      </c>
      <c r="O35" s="323">
        <v>0</v>
      </c>
      <c r="P35" s="322">
        <v>13</v>
      </c>
      <c r="Q35" s="331">
        <v>1</v>
      </c>
      <c r="R35" s="332" t="s">
        <v>1144</v>
      </c>
      <c r="S35" s="1"/>
      <c r="T35" s="1">
        <f t="shared" ref="T35" si="125">T22</f>
        <v>0</v>
      </c>
      <c r="U35" s="348">
        <v>0</v>
      </c>
      <c r="V35" s="348">
        <v>0</v>
      </c>
      <c r="W35" s="348">
        <v>0</v>
      </c>
      <c r="X35" s="1" t="s">
        <v>1145</v>
      </c>
      <c r="Y35" s="192" t="s">
        <v>1146</v>
      </c>
      <c r="Z35" s="192">
        <v>0</v>
      </c>
      <c r="AA35" s="192">
        <v>0</v>
      </c>
      <c r="AB35" s="354">
        <v>11</v>
      </c>
      <c r="AC35" s="1">
        <f t="shared" si="115"/>
        <v>1</v>
      </c>
      <c r="AD35" s="1">
        <v>0</v>
      </c>
      <c r="AE35" s="1">
        <v>2</v>
      </c>
      <c r="AF35" s="1">
        <v>4</v>
      </c>
      <c r="AG35" s="1">
        <v>0</v>
      </c>
      <c r="AH35" s="1">
        <v>1.5</v>
      </c>
      <c r="AI35" s="1">
        <v>1</v>
      </c>
      <c r="AJ35" s="1">
        <v>1</v>
      </c>
      <c r="AK35" s="1">
        <v>1</v>
      </c>
      <c r="AL35" s="1" t="s">
        <v>1257</v>
      </c>
      <c r="AM35" s="1"/>
      <c r="AN35" s="1"/>
      <c r="AO35" s="356">
        <v>0.75</v>
      </c>
      <c r="AP35" s="1">
        <v>130</v>
      </c>
      <c r="AQ35" s="1">
        <v>0.18</v>
      </c>
      <c r="AR35" s="1">
        <v>0.8</v>
      </c>
      <c r="AS35" s="1">
        <v>1</v>
      </c>
      <c r="AT35" s="1" t="s">
        <v>1216</v>
      </c>
      <c r="AU35" s="358" t="s">
        <v>1258</v>
      </c>
      <c r="AV35" s="358" t="s">
        <v>1259</v>
      </c>
      <c r="AW35" s="300" t="s">
        <v>449</v>
      </c>
      <c r="AX35" s="360" t="s">
        <v>189</v>
      </c>
      <c r="AY35" s="1">
        <f t="shared" si="111"/>
        <v>6.3000000000000007</v>
      </c>
      <c r="AZ35" s="362">
        <f t="shared" si="6"/>
        <v>9.5238095238095219</v>
      </c>
      <c r="BA35" s="1" t="s">
        <v>1150</v>
      </c>
      <c r="BB35" s="1">
        <f t="shared" si="112"/>
        <v>1.119</v>
      </c>
      <c r="BC35" s="1"/>
      <c r="BD35" s="1">
        <f t="shared" si="8"/>
        <v>63</v>
      </c>
      <c r="BE35" s="1">
        <f t="shared" si="9"/>
        <v>66.42</v>
      </c>
      <c r="BG35" s="1">
        <f t="shared" si="10"/>
        <v>0</v>
      </c>
      <c r="BH35" s="320">
        <v>0.11</v>
      </c>
      <c r="BI35" s="382">
        <v>55</v>
      </c>
      <c r="BJ35" s="1">
        <v>17</v>
      </c>
      <c r="BK35" s="381">
        <f t="shared" si="118"/>
        <v>65</v>
      </c>
      <c r="BL35" s="192">
        <v>2</v>
      </c>
      <c r="BM35" s="381">
        <f t="shared" si="118"/>
        <v>75</v>
      </c>
      <c r="BN35" s="1">
        <v>1</v>
      </c>
      <c r="BO35" s="380">
        <f t="shared" si="116"/>
        <v>57</v>
      </c>
      <c r="BP35" s="1">
        <f>(BJ35+BL35+BN35)/BJ35</f>
        <v>1.1764705882352942</v>
      </c>
      <c r="BQ35" s="1">
        <f t="shared" si="120"/>
        <v>0.12941176470588237</v>
      </c>
      <c r="BR35" s="301">
        <f t="shared" si="11"/>
        <v>62.7</v>
      </c>
      <c r="BS35" s="356">
        <f t="shared" si="101"/>
        <v>0.1</v>
      </c>
      <c r="BT35" s="297">
        <v>2</v>
      </c>
      <c r="BU35" s="1">
        <v>5</v>
      </c>
      <c r="BV35" s="297">
        <v>3</v>
      </c>
      <c r="BW35" s="1">
        <v>2</v>
      </c>
      <c r="BX35" s="297">
        <v>4</v>
      </c>
      <c r="BY35" s="1">
        <v>1</v>
      </c>
      <c r="BZ35" s="1">
        <f t="shared" si="80"/>
        <v>2.5</v>
      </c>
      <c r="CA35" s="1">
        <f t="shared" si="81"/>
        <v>7.5</v>
      </c>
      <c r="CB35" s="389">
        <f t="shared" si="104"/>
        <v>0.30399999999999999</v>
      </c>
      <c r="CC35" s="1">
        <f t="shared" si="81"/>
        <v>15</v>
      </c>
      <c r="CD35" s="391">
        <f t="shared" si="105"/>
        <v>0.152</v>
      </c>
      <c r="CE35" s="1">
        <f t="shared" si="81"/>
        <v>22.5</v>
      </c>
      <c r="CF35" s="392">
        <f t="shared" si="106"/>
        <v>0.10133300000000001</v>
      </c>
      <c r="CH35" s="190">
        <v>2E-3</v>
      </c>
      <c r="CI35" s="403">
        <f t="shared" si="102"/>
        <v>0</v>
      </c>
      <c r="CJ35" s="402">
        <f t="shared" si="16"/>
        <v>0</v>
      </c>
      <c r="CK35" s="411">
        <f t="shared" si="17"/>
        <v>0</v>
      </c>
      <c r="CL35" s="411">
        <f t="shared" si="18"/>
        <v>0</v>
      </c>
      <c r="CM35" s="412">
        <f t="shared" si="82"/>
        <v>0</v>
      </c>
      <c r="CN35" s="413">
        <f t="shared" si="19"/>
        <v>0</v>
      </c>
      <c r="CO35" s="411">
        <f t="shared" si="20"/>
        <v>0</v>
      </c>
      <c r="CP35" s="429" t="e">
        <f t="shared" si="21"/>
        <v>#DIV/0!</v>
      </c>
      <c r="CQ35" s="430">
        <f t="shared" si="83"/>
        <v>13</v>
      </c>
      <c r="CR35" s="431">
        <f t="shared" si="84"/>
        <v>1</v>
      </c>
      <c r="CS35" s="332"/>
      <c r="CT35" s="322">
        <v>13</v>
      </c>
      <c r="CU35" s="331">
        <v>1</v>
      </c>
      <c r="CW35" s="436"/>
      <c r="DB35" s="438"/>
      <c r="DC35" s="430">
        <v>13</v>
      </c>
      <c r="DD35" s="402">
        <v>1</v>
      </c>
      <c r="DE35" s="438">
        <f t="shared" si="22"/>
        <v>7.0153846153846221E-4</v>
      </c>
      <c r="DF35" s="430">
        <f t="shared" si="23"/>
        <v>13</v>
      </c>
      <c r="DG35" s="402">
        <f t="shared" si="85"/>
        <v>1</v>
      </c>
      <c r="DH35" s="438">
        <f t="shared" si="25"/>
        <v>1.4030769230769244E-3</v>
      </c>
      <c r="DI35" s="430">
        <f t="shared" si="26"/>
        <v>13</v>
      </c>
      <c r="DJ35" s="402">
        <f t="shared" si="86"/>
        <v>1</v>
      </c>
      <c r="DK35" s="438">
        <f t="shared" si="28"/>
        <v>2.1046153846153871E-3</v>
      </c>
      <c r="DL35" s="430">
        <f t="shared" si="87"/>
        <v>13</v>
      </c>
      <c r="DM35" s="402">
        <f t="shared" si="88"/>
        <v>1</v>
      </c>
      <c r="DN35" s="438">
        <f t="shared" si="31"/>
        <v>2.8061538461538488E-3</v>
      </c>
      <c r="DO35" s="430">
        <f t="shared" si="89"/>
        <v>13</v>
      </c>
      <c r="DP35" s="402">
        <f t="shared" si="90"/>
        <v>1</v>
      </c>
      <c r="DQ35" s="438">
        <f t="shared" si="34"/>
        <v>3.5076923076923111E-3</v>
      </c>
      <c r="DR35" s="430">
        <f t="shared" si="91"/>
        <v>13</v>
      </c>
      <c r="DS35" s="402">
        <f t="shared" si="92"/>
        <v>1</v>
      </c>
      <c r="DT35" s="438">
        <f t="shared" si="37"/>
        <v>7.0153846153846221E-3</v>
      </c>
      <c r="DU35" s="430">
        <f t="shared" si="93"/>
        <v>13</v>
      </c>
      <c r="DV35" s="402">
        <f t="shared" si="94"/>
        <v>1</v>
      </c>
      <c r="DW35" s="438">
        <f t="shared" si="40"/>
        <v>1.4030769230769244E-2</v>
      </c>
      <c r="DX35" s="430">
        <f t="shared" si="95"/>
        <v>13</v>
      </c>
      <c r="DY35" s="402">
        <f t="shared" si="96"/>
        <v>1</v>
      </c>
      <c r="DZ35" s="438">
        <f t="shared" si="43"/>
        <v>2.1046153846153867E-2</v>
      </c>
      <c r="EA35" s="430">
        <f t="shared" si="97"/>
        <v>13</v>
      </c>
      <c r="EB35" s="402">
        <f t="shared" si="98"/>
        <v>1</v>
      </c>
      <c r="EC35" s="438">
        <f t="shared" si="46"/>
        <v>2.8061538461538488E-2</v>
      </c>
      <c r="ED35" s="430">
        <f t="shared" si="99"/>
        <v>13</v>
      </c>
      <c r="EE35" s="402">
        <f t="shared" si="100"/>
        <v>1</v>
      </c>
      <c r="EF35" s="438">
        <f t="shared" si="49"/>
        <v>3.5076923076923117E-2</v>
      </c>
      <c r="EG35" s="430">
        <f t="shared" si="50"/>
        <v>26</v>
      </c>
      <c r="EH35" s="402">
        <f t="shared" si="51"/>
        <v>2</v>
      </c>
      <c r="EI35" s="438">
        <f t="shared" si="52"/>
        <v>3.5076923076923117E-2</v>
      </c>
      <c r="EJ35" s="430">
        <f t="shared" si="53"/>
        <v>52</v>
      </c>
      <c r="EK35" s="402">
        <f t="shared" si="54"/>
        <v>4</v>
      </c>
      <c r="EL35" s="438">
        <f t="shared" si="55"/>
        <v>3.5076923076923117E-2</v>
      </c>
      <c r="EM35" s="430">
        <f t="shared" si="56"/>
        <v>78</v>
      </c>
      <c r="EN35" s="402">
        <f t="shared" si="57"/>
        <v>6</v>
      </c>
      <c r="EO35" s="438">
        <f t="shared" si="58"/>
        <v>3.5076923076923117E-2</v>
      </c>
      <c r="EP35" s="430">
        <f t="shared" si="59"/>
        <v>104</v>
      </c>
      <c r="EQ35" s="402">
        <f t="shared" si="60"/>
        <v>8</v>
      </c>
      <c r="ER35" s="438">
        <f t="shared" si="61"/>
        <v>3.5076923076923117E-2</v>
      </c>
      <c r="ES35" s="430">
        <f t="shared" si="62"/>
        <v>130</v>
      </c>
      <c r="ET35" s="402">
        <f t="shared" si="63"/>
        <v>10</v>
      </c>
      <c r="EU35" s="438">
        <f t="shared" si="64"/>
        <v>3.5076923076923117E-2</v>
      </c>
      <c r="EV35" s="430">
        <f t="shared" si="65"/>
        <v>260</v>
      </c>
      <c r="EW35" s="402">
        <f t="shared" si="66"/>
        <v>20</v>
      </c>
      <c r="EX35" s="438">
        <f t="shared" si="67"/>
        <v>3.5076923076923117E-2</v>
      </c>
      <c r="EY35" s="430">
        <f t="shared" si="68"/>
        <v>520</v>
      </c>
      <c r="EZ35" s="402">
        <f t="shared" si="69"/>
        <v>40</v>
      </c>
      <c r="FA35" s="438">
        <f t="shared" si="70"/>
        <v>3.5076923076923117E-2</v>
      </c>
      <c r="FB35" s="430">
        <f t="shared" si="71"/>
        <v>780</v>
      </c>
      <c r="FC35" s="402">
        <f t="shared" si="72"/>
        <v>60</v>
      </c>
      <c r="FD35" s="438">
        <f t="shared" si="73"/>
        <v>3.5076923076923117E-2</v>
      </c>
      <c r="FE35" s="430">
        <f t="shared" si="74"/>
        <v>1040</v>
      </c>
      <c r="FF35" s="402">
        <f t="shared" si="75"/>
        <v>80</v>
      </c>
      <c r="FG35" s="438">
        <f t="shared" si="76"/>
        <v>3.5076923076923117E-2</v>
      </c>
      <c r="FH35" s="430">
        <f t="shared" si="77"/>
        <v>1300</v>
      </c>
      <c r="FI35" s="402">
        <f t="shared" si="78"/>
        <v>100</v>
      </c>
      <c r="FJ35" s="438">
        <f t="shared" si="79"/>
        <v>3.5076923076923117E-2</v>
      </c>
    </row>
    <row r="36" spans="1:166" x14ac:dyDescent="0.45">
      <c r="A36" s="1">
        <v>32</v>
      </c>
      <c r="B36" s="306" t="s">
        <v>1260</v>
      </c>
      <c r="C36" s="1">
        <v>4</v>
      </c>
      <c r="D36" s="1">
        <v>-1</v>
      </c>
      <c r="E36" s="1">
        <f t="shared" si="114"/>
        <v>52</v>
      </c>
      <c r="F36" s="1">
        <f t="shared" si="109"/>
        <v>50</v>
      </c>
      <c r="G36" s="1" t="str">
        <f t="shared" si="117"/>
        <v>[[50,17],[60,2],[70,1]]</v>
      </c>
      <c r="H36" s="1">
        <f t="shared" si="121"/>
        <v>5</v>
      </c>
      <c r="I36" s="1">
        <f t="shared" si="122"/>
        <v>1</v>
      </c>
      <c r="J36" s="1">
        <v>0</v>
      </c>
      <c r="K36" s="313">
        <v>0</v>
      </c>
      <c r="L36" s="314">
        <v>3</v>
      </c>
      <c r="M36" s="320">
        <f>ROUND(IF(L36&lt;&gt;0,$BI$4/('全局参数|GlobalPar'!$B$18/10000/E36)/L36,0),6)</f>
        <v>0</v>
      </c>
      <c r="N36" s="320">
        <f t="shared" si="110"/>
        <v>0</v>
      </c>
      <c r="O36" s="323">
        <v>0</v>
      </c>
      <c r="P36" s="322">
        <v>14</v>
      </c>
      <c r="Q36" s="331">
        <v>1</v>
      </c>
      <c r="R36" s="332" t="s">
        <v>1144</v>
      </c>
      <c r="S36" s="1"/>
      <c r="T36" s="333">
        <v>0</v>
      </c>
      <c r="U36" s="348">
        <v>0</v>
      </c>
      <c r="V36" s="348">
        <v>0</v>
      </c>
      <c r="W36" s="348">
        <v>0</v>
      </c>
      <c r="X36" s="1" t="s">
        <v>1145</v>
      </c>
      <c r="Y36" s="192" t="s">
        <v>1146</v>
      </c>
      <c r="Z36" s="192">
        <v>0</v>
      </c>
      <c r="AA36" s="192">
        <v>0</v>
      </c>
      <c r="AB36" s="354">
        <v>11</v>
      </c>
      <c r="AC36" s="1">
        <f t="shared" si="115"/>
        <v>1</v>
      </c>
      <c r="AD36" s="1">
        <v>0</v>
      </c>
      <c r="AE36" s="1">
        <v>2</v>
      </c>
      <c r="AF36" s="1">
        <v>4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 t="s">
        <v>1261</v>
      </c>
      <c r="AM36" s="1"/>
      <c r="AN36" s="1"/>
      <c r="AO36" s="356">
        <v>0.75</v>
      </c>
      <c r="AP36" s="1">
        <v>140</v>
      </c>
      <c r="AQ36" s="1">
        <v>0.18</v>
      </c>
      <c r="AR36" s="1">
        <v>0.8</v>
      </c>
      <c r="AS36" s="1">
        <v>1</v>
      </c>
      <c r="AT36" s="1" t="s">
        <v>1216</v>
      </c>
      <c r="AU36" s="358" t="s">
        <v>1262</v>
      </c>
      <c r="AV36" s="358" t="s">
        <v>1263</v>
      </c>
      <c r="AW36" s="300" t="s">
        <v>307</v>
      </c>
      <c r="AX36" s="360" t="s">
        <v>189</v>
      </c>
      <c r="AY36" s="1">
        <f t="shared" si="111"/>
        <v>5.8000000000000007</v>
      </c>
      <c r="AZ36" s="362">
        <f t="shared" si="6"/>
        <v>10.344827586206895</v>
      </c>
      <c r="BA36" s="1" t="s">
        <v>1150</v>
      </c>
      <c r="BB36" s="1">
        <f t="shared" si="112"/>
        <v>0.746</v>
      </c>
      <c r="BC36" s="1"/>
      <c r="BD36" s="1">
        <f t="shared" si="8"/>
        <v>58</v>
      </c>
      <c r="BE36" s="1">
        <f t="shared" si="9"/>
        <v>61.120000000000005</v>
      </c>
      <c r="BG36" s="1">
        <f t="shared" si="10"/>
        <v>0</v>
      </c>
      <c r="BH36" s="320">
        <v>0.13</v>
      </c>
      <c r="BI36" s="380">
        <v>50</v>
      </c>
      <c r="BJ36" s="1">
        <v>17</v>
      </c>
      <c r="BK36" s="381">
        <f t="shared" si="118"/>
        <v>60</v>
      </c>
      <c r="BL36" s="192">
        <v>2</v>
      </c>
      <c r="BM36" s="381">
        <f t="shared" si="118"/>
        <v>70</v>
      </c>
      <c r="BN36" s="1">
        <v>1</v>
      </c>
      <c r="BO36" s="380">
        <f t="shared" si="116"/>
        <v>52</v>
      </c>
      <c r="BP36" s="1">
        <f t="shared" ref="BP36" si="126">(BJ36+BL36+BN36)/BN36</f>
        <v>20</v>
      </c>
      <c r="BQ36" s="1">
        <f t="shared" si="120"/>
        <v>0.8</v>
      </c>
      <c r="BR36" s="301">
        <f t="shared" si="11"/>
        <v>57.2</v>
      </c>
      <c r="BS36" s="356">
        <f t="shared" si="101"/>
        <v>0.1</v>
      </c>
      <c r="BT36" s="297">
        <v>2</v>
      </c>
      <c r="BU36" s="1">
        <v>5</v>
      </c>
      <c r="BV36" s="297">
        <v>3</v>
      </c>
      <c r="BW36" s="1">
        <v>2</v>
      </c>
      <c r="BX36" s="297">
        <v>4</v>
      </c>
      <c r="BY36" s="1">
        <v>1</v>
      </c>
      <c r="BZ36" s="1">
        <f t="shared" si="80"/>
        <v>2.5</v>
      </c>
      <c r="CA36" s="1">
        <f t="shared" si="81"/>
        <v>7.5</v>
      </c>
      <c r="CB36" s="389">
        <f t="shared" si="104"/>
        <v>0.277333</v>
      </c>
      <c r="CC36" s="1">
        <f t="shared" si="81"/>
        <v>15</v>
      </c>
      <c r="CD36" s="391">
        <f t="shared" si="105"/>
        <v>0.13866700000000001</v>
      </c>
      <c r="CE36" s="1">
        <f t="shared" si="81"/>
        <v>22.5</v>
      </c>
      <c r="CF36" s="392">
        <f t="shared" si="106"/>
        <v>9.2443999999999998E-2</v>
      </c>
      <c r="CH36" s="190">
        <v>2E-3</v>
      </c>
      <c r="CI36" s="403">
        <f t="shared" si="102"/>
        <v>0</v>
      </c>
      <c r="CJ36" s="402">
        <f t="shared" si="16"/>
        <v>0</v>
      </c>
      <c r="CK36" s="411">
        <f t="shared" si="17"/>
        <v>0</v>
      </c>
      <c r="CL36" s="411">
        <f t="shared" si="18"/>
        <v>0</v>
      </c>
      <c r="CM36" s="412">
        <f t="shared" si="82"/>
        <v>0</v>
      </c>
      <c r="CN36" s="413">
        <f t="shared" si="19"/>
        <v>0</v>
      </c>
      <c r="CO36" s="411">
        <f t="shared" si="20"/>
        <v>0</v>
      </c>
      <c r="CP36" s="429" t="e">
        <f t="shared" si="21"/>
        <v>#DIV/0!</v>
      </c>
      <c r="CQ36" s="430">
        <f t="shared" si="83"/>
        <v>14</v>
      </c>
      <c r="CR36" s="431">
        <f t="shared" si="84"/>
        <v>1</v>
      </c>
      <c r="CS36" s="332"/>
      <c r="CT36" s="322">
        <v>14</v>
      </c>
      <c r="CU36" s="331">
        <v>1</v>
      </c>
      <c r="CW36" s="436"/>
      <c r="DB36" s="438"/>
      <c r="DC36" s="430">
        <v>14</v>
      </c>
      <c r="DD36" s="402">
        <v>1</v>
      </c>
      <c r="DE36" s="438">
        <f t="shared" si="22"/>
        <v>5.9428571428571495E-4</v>
      </c>
      <c r="DF36" s="430">
        <f t="shared" si="23"/>
        <v>14</v>
      </c>
      <c r="DG36" s="402">
        <f t="shared" si="85"/>
        <v>1</v>
      </c>
      <c r="DH36" s="438">
        <f t="shared" si="25"/>
        <v>1.1885714285714299E-3</v>
      </c>
      <c r="DI36" s="430">
        <f t="shared" si="26"/>
        <v>14</v>
      </c>
      <c r="DJ36" s="402">
        <f t="shared" si="86"/>
        <v>1</v>
      </c>
      <c r="DK36" s="438">
        <f t="shared" si="28"/>
        <v>1.7828571428571446E-3</v>
      </c>
      <c r="DL36" s="430">
        <f t="shared" si="87"/>
        <v>14</v>
      </c>
      <c r="DM36" s="402">
        <f t="shared" si="88"/>
        <v>1</v>
      </c>
      <c r="DN36" s="438">
        <f t="shared" si="31"/>
        <v>2.3771428571428598E-3</v>
      </c>
      <c r="DO36" s="430">
        <f t="shared" si="89"/>
        <v>14</v>
      </c>
      <c r="DP36" s="402">
        <f t="shared" si="90"/>
        <v>1</v>
      </c>
      <c r="DQ36" s="438">
        <f t="shared" si="34"/>
        <v>2.9714285714285745E-3</v>
      </c>
      <c r="DR36" s="430">
        <f t="shared" si="91"/>
        <v>14</v>
      </c>
      <c r="DS36" s="402">
        <f t="shared" si="92"/>
        <v>1</v>
      </c>
      <c r="DT36" s="438">
        <f t="shared" si="37"/>
        <v>5.942857142857149E-3</v>
      </c>
      <c r="DU36" s="430">
        <f t="shared" si="93"/>
        <v>14</v>
      </c>
      <c r="DV36" s="402">
        <f t="shared" si="94"/>
        <v>1</v>
      </c>
      <c r="DW36" s="438">
        <f t="shared" si="40"/>
        <v>1.1885714285714298E-2</v>
      </c>
      <c r="DX36" s="430">
        <f t="shared" si="95"/>
        <v>14</v>
      </c>
      <c r="DY36" s="402">
        <f t="shared" si="96"/>
        <v>1</v>
      </c>
      <c r="DZ36" s="438">
        <f t="shared" si="43"/>
        <v>1.7828571428571447E-2</v>
      </c>
      <c r="EA36" s="430">
        <f t="shared" si="97"/>
        <v>14</v>
      </c>
      <c r="EB36" s="402">
        <f t="shared" si="98"/>
        <v>1</v>
      </c>
      <c r="EC36" s="438">
        <f t="shared" si="46"/>
        <v>2.3771428571428596E-2</v>
      </c>
      <c r="ED36" s="430">
        <f t="shared" si="99"/>
        <v>14</v>
      </c>
      <c r="EE36" s="402">
        <f t="shared" si="100"/>
        <v>1</v>
      </c>
      <c r="EF36" s="438">
        <f t="shared" si="49"/>
        <v>2.9714285714285745E-2</v>
      </c>
      <c r="EG36" s="430">
        <f t="shared" si="50"/>
        <v>28</v>
      </c>
      <c r="EH36" s="402">
        <f t="shared" si="51"/>
        <v>2</v>
      </c>
      <c r="EI36" s="438">
        <f t="shared" si="52"/>
        <v>2.9714285714285745E-2</v>
      </c>
      <c r="EJ36" s="430">
        <f t="shared" si="53"/>
        <v>56</v>
      </c>
      <c r="EK36" s="402">
        <f t="shared" si="54"/>
        <v>4</v>
      </c>
      <c r="EL36" s="438">
        <f t="shared" si="55"/>
        <v>2.9714285714285745E-2</v>
      </c>
      <c r="EM36" s="430">
        <f t="shared" si="56"/>
        <v>84</v>
      </c>
      <c r="EN36" s="402">
        <f t="shared" si="57"/>
        <v>6</v>
      </c>
      <c r="EO36" s="438">
        <f t="shared" si="58"/>
        <v>2.9714285714285745E-2</v>
      </c>
      <c r="EP36" s="430">
        <f t="shared" si="59"/>
        <v>112</v>
      </c>
      <c r="EQ36" s="402">
        <f t="shared" si="60"/>
        <v>8</v>
      </c>
      <c r="ER36" s="438">
        <f t="shared" si="61"/>
        <v>2.9714285714285745E-2</v>
      </c>
      <c r="ES36" s="430">
        <f t="shared" si="62"/>
        <v>140</v>
      </c>
      <c r="ET36" s="402">
        <f t="shared" si="63"/>
        <v>10</v>
      </c>
      <c r="EU36" s="438">
        <f t="shared" si="64"/>
        <v>2.9714285714285745E-2</v>
      </c>
      <c r="EV36" s="430">
        <f t="shared" si="65"/>
        <v>280</v>
      </c>
      <c r="EW36" s="402">
        <f t="shared" si="66"/>
        <v>20</v>
      </c>
      <c r="EX36" s="438">
        <f t="shared" si="67"/>
        <v>2.9714285714285745E-2</v>
      </c>
      <c r="EY36" s="430">
        <f t="shared" si="68"/>
        <v>560</v>
      </c>
      <c r="EZ36" s="402">
        <f t="shared" si="69"/>
        <v>40</v>
      </c>
      <c r="FA36" s="438">
        <f t="shared" si="70"/>
        <v>2.9714285714285745E-2</v>
      </c>
      <c r="FB36" s="430">
        <f t="shared" si="71"/>
        <v>840</v>
      </c>
      <c r="FC36" s="402">
        <f t="shared" si="72"/>
        <v>60</v>
      </c>
      <c r="FD36" s="438">
        <f t="shared" si="73"/>
        <v>2.9714285714285745E-2</v>
      </c>
      <c r="FE36" s="430">
        <f t="shared" si="74"/>
        <v>1120</v>
      </c>
      <c r="FF36" s="402">
        <f t="shared" si="75"/>
        <v>80</v>
      </c>
      <c r="FG36" s="438">
        <f t="shared" si="76"/>
        <v>2.9714285714285745E-2</v>
      </c>
      <c r="FH36" s="430">
        <f t="shared" si="77"/>
        <v>1400</v>
      </c>
      <c r="FI36" s="402">
        <f t="shared" si="78"/>
        <v>100</v>
      </c>
      <c r="FJ36" s="438">
        <f t="shared" si="79"/>
        <v>2.9714285714285745E-2</v>
      </c>
    </row>
    <row r="37" spans="1:166" x14ac:dyDescent="0.45">
      <c r="A37" s="1">
        <v>33</v>
      </c>
      <c r="B37" s="306" t="s">
        <v>1264</v>
      </c>
      <c r="C37" s="1">
        <v>4</v>
      </c>
      <c r="D37" s="1">
        <v>-1</v>
      </c>
      <c r="E37" s="1">
        <f t="shared" si="114"/>
        <v>62</v>
      </c>
      <c r="F37" s="1">
        <f t="shared" si="109"/>
        <v>60</v>
      </c>
      <c r="G37" s="1" t="str">
        <f t="shared" si="117"/>
        <v>[[60,17],[70,2],[80,1]]</v>
      </c>
      <c r="H37" s="1">
        <f t="shared" si="121"/>
        <v>5</v>
      </c>
      <c r="I37" s="1">
        <f t="shared" si="122"/>
        <v>1</v>
      </c>
      <c r="J37" s="1">
        <v>0</v>
      </c>
      <c r="K37" s="313">
        <v>0</v>
      </c>
      <c r="L37" s="314">
        <v>3</v>
      </c>
      <c r="M37" s="320">
        <f>ROUND(IF(L37&lt;&gt;0,$BI$4/('全局参数|GlobalPar'!$B$18/10000/E37)/L37,0),6)</f>
        <v>0</v>
      </c>
      <c r="N37" s="320">
        <f t="shared" si="110"/>
        <v>0</v>
      </c>
      <c r="O37" s="323">
        <v>0</v>
      </c>
      <c r="P37" s="322">
        <v>14</v>
      </c>
      <c r="Q37" s="331">
        <v>1</v>
      </c>
      <c r="R37" s="332" t="s">
        <v>1144</v>
      </c>
      <c r="S37" s="1"/>
      <c r="T37" s="333">
        <v>0</v>
      </c>
      <c r="U37" s="348">
        <v>0</v>
      </c>
      <c r="V37" s="348">
        <v>0</v>
      </c>
      <c r="W37" s="348">
        <v>0</v>
      </c>
      <c r="X37" s="1" t="s">
        <v>1145</v>
      </c>
      <c r="Y37" s="192" t="s">
        <v>1146</v>
      </c>
      <c r="Z37" s="192">
        <v>0</v>
      </c>
      <c r="AA37" s="192">
        <v>0</v>
      </c>
      <c r="AB37" s="354">
        <v>11</v>
      </c>
      <c r="AC37" s="1">
        <f t="shared" si="115"/>
        <v>1</v>
      </c>
      <c r="AD37" s="1">
        <v>0</v>
      </c>
      <c r="AE37" s="1">
        <v>2</v>
      </c>
      <c r="AF37" s="1">
        <v>4</v>
      </c>
      <c r="AG37" s="1">
        <v>0</v>
      </c>
      <c r="AH37" s="1">
        <v>1</v>
      </c>
      <c r="AI37" s="1">
        <v>1</v>
      </c>
      <c r="AJ37" s="1">
        <v>1</v>
      </c>
      <c r="AK37" s="1">
        <v>1</v>
      </c>
      <c r="AL37" s="1" t="s">
        <v>1261</v>
      </c>
      <c r="AM37" s="1"/>
      <c r="AN37" s="1"/>
      <c r="AO37" s="356">
        <v>0.75</v>
      </c>
      <c r="AP37" s="1">
        <v>150</v>
      </c>
      <c r="AQ37" s="1">
        <v>0.18</v>
      </c>
      <c r="AR37" s="1">
        <v>0.8</v>
      </c>
      <c r="AS37" s="1">
        <v>1</v>
      </c>
      <c r="AT37" s="1" t="s">
        <v>1216</v>
      </c>
      <c r="AU37" s="358" t="s">
        <v>1265</v>
      </c>
      <c r="AV37" s="358" t="s">
        <v>1266</v>
      </c>
      <c r="AW37" s="300" t="s">
        <v>1177</v>
      </c>
      <c r="AX37" s="360" t="s">
        <v>189</v>
      </c>
      <c r="AY37" s="1">
        <f t="shared" si="111"/>
        <v>6.8000000000000007</v>
      </c>
      <c r="AZ37" s="362">
        <f t="shared" ref="AZ37:AZ59" si="127">IF(AY37=0,0,$BC$1/AY37)</f>
        <v>8.8235294117647047</v>
      </c>
      <c r="BA37" s="1" t="s">
        <v>1150</v>
      </c>
      <c r="BB37" s="1">
        <f t="shared" si="112"/>
        <v>0.746</v>
      </c>
      <c r="BC37" s="1"/>
      <c r="BD37" s="1">
        <f t="shared" ref="BD37:BD62" si="128">(E37+H37+I37)</f>
        <v>68</v>
      </c>
      <c r="BE37" s="1">
        <f t="shared" si="9"/>
        <v>71.72</v>
      </c>
      <c r="BG37" s="1">
        <f t="shared" ref="BG37:BG62" si="129">IF(L37&lt;&gt;0,$BI$4/(0.96/BD37)/L37,0)</f>
        <v>0</v>
      </c>
      <c r="BH37" s="320">
        <v>0.13</v>
      </c>
      <c r="BI37" s="380">
        <v>60</v>
      </c>
      <c r="BJ37" s="1">
        <v>17</v>
      </c>
      <c r="BK37" s="381">
        <f t="shared" si="118"/>
        <v>70</v>
      </c>
      <c r="BL37" s="192">
        <v>2</v>
      </c>
      <c r="BM37" s="381">
        <f t="shared" si="118"/>
        <v>80</v>
      </c>
      <c r="BN37" s="1">
        <v>1</v>
      </c>
      <c r="BO37" s="380">
        <f t="shared" si="116"/>
        <v>62</v>
      </c>
      <c r="BP37" s="1">
        <f>(BJ37+BL37+BN37)/BL37</f>
        <v>10</v>
      </c>
      <c r="BQ37" s="1">
        <f t="shared" si="120"/>
        <v>0.8</v>
      </c>
      <c r="BR37" s="301">
        <f t="shared" ref="BR37:BR62" si="130">E37*(1+$BU$1)</f>
        <v>68.2</v>
      </c>
      <c r="BS37" s="356">
        <f t="shared" si="101"/>
        <v>0.1</v>
      </c>
      <c r="BT37" s="297">
        <v>2</v>
      </c>
      <c r="BU37" s="1">
        <v>5</v>
      </c>
      <c r="BV37" s="297">
        <v>3</v>
      </c>
      <c r="BW37" s="1">
        <v>2</v>
      </c>
      <c r="BX37" s="297">
        <v>4</v>
      </c>
      <c r="BY37" s="1">
        <v>1</v>
      </c>
      <c r="BZ37" s="1">
        <f t="shared" si="80"/>
        <v>2.5</v>
      </c>
      <c r="CA37" s="1">
        <f t="shared" si="81"/>
        <v>7.5</v>
      </c>
      <c r="CB37" s="389">
        <f t="shared" si="104"/>
        <v>0.33066699999999999</v>
      </c>
      <c r="CC37" s="1">
        <f t="shared" si="81"/>
        <v>15</v>
      </c>
      <c r="CD37" s="391">
        <f t="shared" si="105"/>
        <v>0.16533300000000001</v>
      </c>
      <c r="CE37" s="1">
        <f t="shared" si="81"/>
        <v>22.5</v>
      </c>
      <c r="CF37" s="392">
        <f t="shared" si="106"/>
        <v>0.110222</v>
      </c>
      <c r="CH37" s="190">
        <v>2E-3</v>
      </c>
      <c r="CI37" s="403">
        <f t="shared" si="102"/>
        <v>0</v>
      </c>
      <c r="CJ37" s="402">
        <f t="shared" ref="CJ37:CJ62" si="131">E37*CI37</f>
        <v>0</v>
      </c>
      <c r="CK37" s="411">
        <f t="shared" ref="CK37:CK62" si="132">$E37*$CI37/$CJ$2</f>
        <v>0</v>
      </c>
      <c r="CL37" s="411">
        <f t="shared" si="18"/>
        <v>0</v>
      </c>
      <c r="CM37" s="412">
        <f t="shared" si="82"/>
        <v>0</v>
      </c>
      <c r="CN37" s="413">
        <f t="shared" ref="CN37:CN62" si="133">$E37*CM37/$CJ$2</f>
        <v>0</v>
      </c>
      <c r="CO37" s="411">
        <f t="shared" si="20"/>
        <v>0</v>
      </c>
      <c r="CP37" s="429" t="e">
        <f t="shared" ref="CP37:CP62" si="134">1/($CI$2/($E37*(1+CM37))*CO37)</f>
        <v>#DIV/0!</v>
      </c>
      <c r="CQ37" s="430">
        <f t="shared" si="83"/>
        <v>14</v>
      </c>
      <c r="CR37" s="431">
        <f t="shared" si="84"/>
        <v>1</v>
      </c>
      <c r="CS37" s="332"/>
      <c r="CT37" s="322">
        <v>14</v>
      </c>
      <c r="CU37" s="331">
        <v>1</v>
      </c>
      <c r="CW37" s="436"/>
      <c r="DB37" s="438"/>
      <c r="DC37" s="430">
        <v>14</v>
      </c>
      <c r="DD37" s="402">
        <v>1</v>
      </c>
      <c r="DE37" s="438">
        <f t="shared" si="22"/>
        <v>7.0857142857142928E-4</v>
      </c>
      <c r="DF37" s="430">
        <f t="shared" si="23"/>
        <v>14</v>
      </c>
      <c r="DG37" s="402">
        <f t="shared" si="85"/>
        <v>1</v>
      </c>
      <c r="DH37" s="438">
        <f t="shared" si="25"/>
        <v>1.4171428571428586E-3</v>
      </c>
      <c r="DI37" s="430">
        <f t="shared" si="26"/>
        <v>14</v>
      </c>
      <c r="DJ37" s="402">
        <f t="shared" si="86"/>
        <v>1</v>
      </c>
      <c r="DK37" s="438">
        <f t="shared" si="28"/>
        <v>2.1257142857142881E-3</v>
      </c>
      <c r="DL37" s="430">
        <f t="shared" si="87"/>
        <v>14</v>
      </c>
      <c r="DM37" s="402">
        <f t="shared" si="88"/>
        <v>1</v>
      </c>
      <c r="DN37" s="438">
        <f t="shared" si="31"/>
        <v>2.8342857142857171E-3</v>
      </c>
      <c r="DO37" s="430">
        <f t="shared" si="89"/>
        <v>14</v>
      </c>
      <c r="DP37" s="402">
        <f t="shared" si="90"/>
        <v>1</v>
      </c>
      <c r="DQ37" s="438">
        <f t="shared" si="34"/>
        <v>3.5428571428571462E-3</v>
      </c>
      <c r="DR37" s="430">
        <f t="shared" si="91"/>
        <v>14</v>
      </c>
      <c r="DS37" s="402">
        <f t="shared" si="92"/>
        <v>1</v>
      </c>
      <c r="DT37" s="438">
        <f t="shared" si="37"/>
        <v>7.0857142857142924E-3</v>
      </c>
      <c r="DU37" s="430">
        <f t="shared" si="93"/>
        <v>14</v>
      </c>
      <c r="DV37" s="402">
        <f t="shared" si="94"/>
        <v>1</v>
      </c>
      <c r="DW37" s="438">
        <f t="shared" si="40"/>
        <v>1.4171428571428585E-2</v>
      </c>
      <c r="DX37" s="430">
        <f t="shared" si="95"/>
        <v>14</v>
      </c>
      <c r="DY37" s="402">
        <f t="shared" si="96"/>
        <v>1</v>
      </c>
      <c r="DZ37" s="438">
        <f t="shared" si="43"/>
        <v>2.1257142857142881E-2</v>
      </c>
      <c r="EA37" s="430">
        <f t="shared" si="97"/>
        <v>14</v>
      </c>
      <c r="EB37" s="402">
        <f t="shared" si="98"/>
        <v>1</v>
      </c>
      <c r="EC37" s="438">
        <f t="shared" si="46"/>
        <v>2.834285714285717E-2</v>
      </c>
      <c r="ED37" s="430">
        <f t="shared" si="99"/>
        <v>14</v>
      </c>
      <c r="EE37" s="402">
        <f t="shared" si="100"/>
        <v>1</v>
      </c>
      <c r="EF37" s="438">
        <f t="shared" si="49"/>
        <v>3.5428571428571462E-2</v>
      </c>
      <c r="EG37" s="430">
        <f t="shared" si="50"/>
        <v>28</v>
      </c>
      <c r="EH37" s="402">
        <f t="shared" si="51"/>
        <v>2</v>
      </c>
      <c r="EI37" s="438">
        <f t="shared" si="52"/>
        <v>3.5428571428571462E-2</v>
      </c>
      <c r="EJ37" s="430">
        <f t="shared" si="53"/>
        <v>56</v>
      </c>
      <c r="EK37" s="402">
        <f t="shared" si="54"/>
        <v>4</v>
      </c>
      <c r="EL37" s="438">
        <f t="shared" si="55"/>
        <v>3.5428571428571462E-2</v>
      </c>
      <c r="EM37" s="430">
        <f t="shared" si="56"/>
        <v>84</v>
      </c>
      <c r="EN37" s="402">
        <f t="shared" si="57"/>
        <v>6</v>
      </c>
      <c r="EO37" s="438">
        <f t="shared" si="58"/>
        <v>3.5428571428571462E-2</v>
      </c>
      <c r="EP37" s="430">
        <f t="shared" si="59"/>
        <v>112</v>
      </c>
      <c r="EQ37" s="402">
        <f t="shared" si="60"/>
        <v>8</v>
      </c>
      <c r="ER37" s="438">
        <f t="shared" si="61"/>
        <v>3.5428571428571462E-2</v>
      </c>
      <c r="ES37" s="430">
        <f t="shared" si="62"/>
        <v>140</v>
      </c>
      <c r="ET37" s="402">
        <f t="shared" si="63"/>
        <v>10</v>
      </c>
      <c r="EU37" s="438">
        <f t="shared" si="64"/>
        <v>3.5428571428571462E-2</v>
      </c>
      <c r="EV37" s="430">
        <f t="shared" si="65"/>
        <v>280</v>
      </c>
      <c r="EW37" s="402">
        <f t="shared" si="66"/>
        <v>20</v>
      </c>
      <c r="EX37" s="438">
        <f t="shared" si="67"/>
        <v>3.5428571428571462E-2</v>
      </c>
      <c r="EY37" s="430">
        <f t="shared" si="68"/>
        <v>560</v>
      </c>
      <c r="EZ37" s="402">
        <f t="shared" si="69"/>
        <v>40</v>
      </c>
      <c r="FA37" s="438">
        <f t="shared" si="70"/>
        <v>3.5428571428571462E-2</v>
      </c>
      <c r="FB37" s="430">
        <f t="shared" si="71"/>
        <v>840</v>
      </c>
      <c r="FC37" s="402">
        <f t="shared" si="72"/>
        <v>60</v>
      </c>
      <c r="FD37" s="438">
        <f t="shared" si="73"/>
        <v>3.5428571428571462E-2</v>
      </c>
      <c r="FE37" s="430">
        <f t="shared" si="74"/>
        <v>1120</v>
      </c>
      <c r="FF37" s="402">
        <f t="shared" si="75"/>
        <v>80</v>
      </c>
      <c r="FG37" s="438">
        <f t="shared" si="76"/>
        <v>3.5428571428571462E-2</v>
      </c>
      <c r="FH37" s="430">
        <f t="shared" si="77"/>
        <v>1400</v>
      </c>
      <c r="FI37" s="402">
        <f t="shared" si="78"/>
        <v>100</v>
      </c>
      <c r="FJ37" s="438">
        <f t="shared" si="79"/>
        <v>3.5428571428571462E-2</v>
      </c>
    </row>
    <row r="38" spans="1:166" x14ac:dyDescent="0.45">
      <c r="A38" s="1">
        <v>34</v>
      </c>
      <c r="B38" s="305"/>
      <c r="C38" s="1">
        <v>4</v>
      </c>
      <c r="D38" s="1">
        <v>-1</v>
      </c>
      <c r="E38" s="1">
        <f t="shared" si="114"/>
        <v>82</v>
      </c>
      <c r="F38" s="1">
        <f t="shared" si="109"/>
        <v>80</v>
      </c>
      <c r="G38" s="1" t="str">
        <f t="shared" si="117"/>
        <v>[[80,17],[90,2],[100,1]]</v>
      </c>
      <c r="H38" s="1">
        <f t="shared" si="121"/>
        <v>5</v>
      </c>
      <c r="I38" s="1">
        <f t="shared" si="122"/>
        <v>1</v>
      </c>
      <c r="J38" s="1">
        <v>0</v>
      </c>
      <c r="K38" s="313">
        <v>0</v>
      </c>
      <c r="L38" s="314">
        <v>3</v>
      </c>
      <c r="M38" s="320">
        <f>ROUND(IF(L38&lt;&gt;0,$BI$4/('全局参数|GlobalPar'!$B$18/10000/E38)/L38,0),6)</f>
        <v>0</v>
      </c>
      <c r="N38" s="320">
        <f t="shared" si="110"/>
        <v>0</v>
      </c>
      <c r="O38" s="323">
        <v>0</v>
      </c>
      <c r="P38" s="322">
        <v>14</v>
      </c>
      <c r="Q38" s="331">
        <v>1</v>
      </c>
      <c r="R38" s="332" t="s">
        <v>1144</v>
      </c>
      <c r="S38" s="1"/>
      <c r="T38" s="1">
        <f t="shared" ref="T38" si="135">T25</f>
        <v>0</v>
      </c>
      <c r="U38" s="348">
        <v>0</v>
      </c>
      <c r="V38" s="348">
        <v>0</v>
      </c>
      <c r="W38" s="348">
        <v>0</v>
      </c>
      <c r="X38" s="1" t="s">
        <v>1145</v>
      </c>
      <c r="Y38" s="192" t="s">
        <v>1146</v>
      </c>
      <c r="Z38" s="192">
        <v>0</v>
      </c>
      <c r="AA38" s="192">
        <v>0</v>
      </c>
      <c r="AB38" s="354">
        <v>11</v>
      </c>
      <c r="AC38" s="1">
        <f t="shared" si="115"/>
        <v>1</v>
      </c>
      <c r="AD38" s="1">
        <v>0</v>
      </c>
      <c r="AE38" s="1">
        <v>2</v>
      </c>
      <c r="AF38" s="1">
        <v>4</v>
      </c>
      <c r="AG38" s="1">
        <v>1</v>
      </c>
      <c r="AH38" s="1">
        <v>1.5</v>
      </c>
      <c r="AI38" s="1">
        <v>1</v>
      </c>
      <c r="AJ38" s="1">
        <v>1</v>
      </c>
      <c r="AK38" s="1">
        <v>1</v>
      </c>
      <c r="AL38" s="1" t="s">
        <v>1267</v>
      </c>
      <c r="AM38" s="1"/>
      <c r="AN38" s="1"/>
      <c r="AO38" s="356">
        <v>0.75</v>
      </c>
      <c r="AP38" s="1">
        <v>180</v>
      </c>
      <c r="AQ38" s="1">
        <v>0.18</v>
      </c>
      <c r="AR38" s="1">
        <v>0.8</v>
      </c>
      <c r="AS38" s="1">
        <v>1</v>
      </c>
      <c r="AT38" s="1" t="s">
        <v>1216</v>
      </c>
      <c r="AU38" s="359" t="s">
        <v>1268</v>
      </c>
      <c r="AV38" s="359" t="s">
        <v>1269</v>
      </c>
      <c r="AW38" s="300" t="s">
        <v>85</v>
      </c>
      <c r="AX38" s="360" t="s">
        <v>189</v>
      </c>
      <c r="AY38" s="1">
        <f t="shared" si="111"/>
        <v>8.8000000000000007</v>
      </c>
      <c r="AZ38" s="362">
        <f t="shared" si="127"/>
        <v>6.8181818181818175</v>
      </c>
      <c r="BA38" s="1" t="s">
        <v>1150</v>
      </c>
      <c r="BB38" s="1">
        <f t="shared" si="112"/>
        <v>1.119</v>
      </c>
      <c r="BC38" s="1"/>
      <c r="BD38" s="1">
        <f t="shared" si="128"/>
        <v>88</v>
      </c>
      <c r="BE38" s="1">
        <f t="shared" si="9"/>
        <v>92.92</v>
      </c>
      <c r="BG38" s="1">
        <f t="shared" si="129"/>
        <v>0</v>
      </c>
      <c r="BH38" s="320">
        <v>0.15</v>
      </c>
      <c r="BI38" s="382">
        <v>80</v>
      </c>
      <c r="BJ38" s="1">
        <v>17</v>
      </c>
      <c r="BK38" s="381">
        <f t="shared" si="118"/>
        <v>90</v>
      </c>
      <c r="BL38" s="192">
        <v>2</v>
      </c>
      <c r="BM38" s="381">
        <f t="shared" si="118"/>
        <v>100</v>
      </c>
      <c r="BN38" s="1">
        <v>1</v>
      </c>
      <c r="BO38" s="380">
        <f t="shared" si="116"/>
        <v>82</v>
      </c>
      <c r="BP38" s="1">
        <f>(BJ38+BL38+BN38)/BJ38</f>
        <v>1.1764705882352942</v>
      </c>
      <c r="BQ38" s="1">
        <f t="shared" si="120"/>
        <v>0.17647058823529413</v>
      </c>
      <c r="BR38" s="301">
        <f t="shared" si="130"/>
        <v>90.2</v>
      </c>
      <c r="BS38" s="356">
        <f t="shared" si="101"/>
        <v>0.1</v>
      </c>
      <c r="BT38" s="297">
        <v>2</v>
      </c>
      <c r="BU38" s="1">
        <v>5</v>
      </c>
      <c r="BV38" s="297">
        <v>3</v>
      </c>
      <c r="BW38" s="1">
        <v>2</v>
      </c>
      <c r="BX38" s="297">
        <v>4</v>
      </c>
      <c r="BY38" s="1">
        <v>3</v>
      </c>
      <c r="BZ38" s="1">
        <f t="shared" si="80"/>
        <v>2.8</v>
      </c>
      <c r="CA38" s="1">
        <f t="shared" ref="CA38:CE60" si="136">CA$3/10</f>
        <v>7.5</v>
      </c>
      <c r="CB38" s="389">
        <f t="shared" si="104"/>
        <v>0.39047599999999999</v>
      </c>
      <c r="CC38" s="1">
        <f t="shared" si="136"/>
        <v>15</v>
      </c>
      <c r="CD38" s="391">
        <f t="shared" si="105"/>
        <v>0.19523799999999999</v>
      </c>
      <c r="CE38" s="1">
        <f t="shared" si="136"/>
        <v>22.5</v>
      </c>
      <c r="CF38" s="392">
        <f t="shared" si="106"/>
        <v>0.130159</v>
      </c>
      <c r="CH38" s="190">
        <v>2E-3</v>
      </c>
      <c r="CI38" s="403">
        <f t="shared" si="102"/>
        <v>0</v>
      </c>
      <c r="CJ38" s="402">
        <f t="shared" si="131"/>
        <v>0</v>
      </c>
      <c r="CK38" s="411">
        <f t="shared" si="132"/>
        <v>0</v>
      </c>
      <c r="CL38" s="411">
        <f t="shared" si="18"/>
        <v>0</v>
      </c>
      <c r="CM38" s="412">
        <f t="shared" si="82"/>
        <v>0</v>
      </c>
      <c r="CN38" s="413">
        <f t="shared" si="133"/>
        <v>0</v>
      </c>
      <c r="CO38" s="411">
        <f t="shared" si="20"/>
        <v>0</v>
      </c>
      <c r="CP38" s="429" t="e">
        <f t="shared" si="134"/>
        <v>#DIV/0!</v>
      </c>
      <c r="CQ38" s="430">
        <f t="shared" si="83"/>
        <v>14</v>
      </c>
      <c r="CR38" s="431">
        <f t="shared" si="84"/>
        <v>1</v>
      </c>
      <c r="CS38" s="332"/>
      <c r="CT38" s="322">
        <v>14</v>
      </c>
      <c r="CU38" s="331">
        <v>1</v>
      </c>
      <c r="CW38" s="436"/>
      <c r="DB38" s="438"/>
      <c r="DC38" s="430">
        <v>14</v>
      </c>
      <c r="DD38" s="402">
        <v>1</v>
      </c>
      <c r="DE38" s="438">
        <f t="shared" si="22"/>
        <v>9.3714285714285807E-4</v>
      </c>
      <c r="DF38" s="430">
        <f t="shared" si="23"/>
        <v>14</v>
      </c>
      <c r="DG38" s="402">
        <f t="shared" si="85"/>
        <v>1</v>
      </c>
      <c r="DH38" s="438">
        <f t="shared" si="25"/>
        <v>1.8742857142857161E-3</v>
      </c>
      <c r="DI38" s="430">
        <f t="shared" si="26"/>
        <v>14</v>
      </c>
      <c r="DJ38" s="402">
        <f t="shared" si="86"/>
        <v>1</v>
      </c>
      <c r="DK38" s="438">
        <f t="shared" si="28"/>
        <v>2.8114285714285745E-3</v>
      </c>
      <c r="DL38" s="430">
        <f t="shared" si="87"/>
        <v>14</v>
      </c>
      <c r="DM38" s="402">
        <f t="shared" si="88"/>
        <v>1</v>
      </c>
      <c r="DN38" s="438">
        <f t="shared" si="31"/>
        <v>3.7485714285714323E-3</v>
      </c>
      <c r="DO38" s="430">
        <f t="shared" si="89"/>
        <v>14</v>
      </c>
      <c r="DP38" s="402">
        <f t="shared" si="90"/>
        <v>1</v>
      </c>
      <c r="DQ38" s="438">
        <f t="shared" si="34"/>
        <v>4.6857142857142904E-3</v>
      </c>
      <c r="DR38" s="430">
        <f t="shared" si="91"/>
        <v>14</v>
      </c>
      <c r="DS38" s="402">
        <f t="shared" si="92"/>
        <v>1</v>
      </c>
      <c r="DT38" s="438">
        <f t="shared" si="37"/>
        <v>9.3714285714285809E-3</v>
      </c>
      <c r="DU38" s="430">
        <f t="shared" si="93"/>
        <v>14</v>
      </c>
      <c r="DV38" s="402">
        <f t="shared" si="94"/>
        <v>1</v>
      </c>
      <c r="DW38" s="438">
        <f t="shared" si="40"/>
        <v>1.8742857142857162E-2</v>
      </c>
      <c r="DX38" s="430">
        <f t="shared" si="95"/>
        <v>14</v>
      </c>
      <c r="DY38" s="402">
        <f t="shared" si="96"/>
        <v>1</v>
      </c>
      <c r="DZ38" s="438">
        <f t="shared" si="43"/>
        <v>2.8114285714285741E-2</v>
      </c>
      <c r="EA38" s="430">
        <f t="shared" si="97"/>
        <v>14</v>
      </c>
      <c r="EB38" s="402">
        <f t="shared" si="98"/>
        <v>1</v>
      </c>
      <c r="EC38" s="438">
        <f t="shared" si="46"/>
        <v>3.7485714285714324E-2</v>
      </c>
      <c r="ED38" s="430">
        <f t="shared" si="99"/>
        <v>14</v>
      </c>
      <c r="EE38" s="402">
        <f t="shared" si="100"/>
        <v>1</v>
      </c>
      <c r="EF38" s="438">
        <f t="shared" si="49"/>
        <v>4.6857142857142903E-2</v>
      </c>
      <c r="EG38" s="430">
        <f t="shared" si="50"/>
        <v>28</v>
      </c>
      <c r="EH38" s="402">
        <f t="shared" si="51"/>
        <v>2</v>
      </c>
      <c r="EI38" s="438">
        <f t="shared" si="52"/>
        <v>4.6857142857142903E-2</v>
      </c>
      <c r="EJ38" s="430">
        <f t="shared" si="53"/>
        <v>56</v>
      </c>
      <c r="EK38" s="402">
        <f t="shared" si="54"/>
        <v>4</v>
      </c>
      <c r="EL38" s="438">
        <f t="shared" si="55"/>
        <v>4.6857142857142903E-2</v>
      </c>
      <c r="EM38" s="430">
        <f t="shared" si="56"/>
        <v>84</v>
      </c>
      <c r="EN38" s="402">
        <f t="shared" si="57"/>
        <v>6</v>
      </c>
      <c r="EO38" s="438">
        <f t="shared" si="58"/>
        <v>4.6857142857142903E-2</v>
      </c>
      <c r="EP38" s="430">
        <f t="shared" si="59"/>
        <v>112</v>
      </c>
      <c r="EQ38" s="402">
        <f t="shared" si="60"/>
        <v>8</v>
      </c>
      <c r="ER38" s="438">
        <f t="shared" si="61"/>
        <v>4.6857142857142903E-2</v>
      </c>
      <c r="ES38" s="430">
        <f t="shared" si="62"/>
        <v>140</v>
      </c>
      <c r="ET38" s="402">
        <f t="shared" si="63"/>
        <v>10</v>
      </c>
      <c r="EU38" s="438">
        <f t="shared" si="64"/>
        <v>4.6857142857142903E-2</v>
      </c>
      <c r="EV38" s="430">
        <f t="shared" si="65"/>
        <v>280</v>
      </c>
      <c r="EW38" s="402">
        <f t="shared" si="66"/>
        <v>20</v>
      </c>
      <c r="EX38" s="438">
        <f t="shared" si="67"/>
        <v>4.6857142857142903E-2</v>
      </c>
      <c r="EY38" s="430">
        <f t="shared" si="68"/>
        <v>560</v>
      </c>
      <c r="EZ38" s="402">
        <f t="shared" si="69"/>
        <v>40</v>
      </c>
      <c r="FA38" s="438">
        <f t="shared" si="70"/>
        <v>4.6857142857142903E-2</v>
      </c>
      <c r="FB38" s="430">
        <f t="shared" si="71"/>
        <v>840</v>
      </c>
      <c r="FC38" s="402">
        <f t="shared" si="72"/>
        <v>60</v>
      </c>
      <c r="FD38" s="438">
        <f t="shared" si="73"/>
        <v>4.6857142857142903E-2</v>
      </c>
      <c r="FE38" s="430">
        <f t="shared" si="74"/>
        <v>1120</v>
      </c>
      <c r="FF38" s="402">
        <f t="shared" si="75"/>
        <v>80</v>
      </c>
      <c r="FG38" s="438">
        <f t="shared" si="76"/>
        <v>4.6857142857142903E-2</v>
      </c>
      <c r="FH38" s="430">
        <f t="shared" si="77"/>
        <v>1400</v>
      </c>
      <c r="FI38" s="402">
        <f t="shared" si="78"/>
        <v>100</v>
      </c>
      <c r="FJ38" s="438">
        <f t="shared" si="79"/>
        <v>4.6857142857142903E-2</v>
      </c>
    </row>
    <row r="39" spans="1:166" x14ac:dyDescent="0.45">
      <c r="A39" s="1">
        <v>35</v>
      </c>
      <c r="B39" s="305"/>
      <c r="C39" s="1">
        <v>4</v>
      </c>
      <c r="D39" s="1">
        <v>-1</v>
      </c>
      <c r="E39" s="312">
        <f>600*(('全局参数|GlobalPar'!B88/100)*2)</f>
        <v>240</v>
      </c>
      <c r="F39" s="1">
        <f t="shared" si="109"/>
        <v>0</v>
      </c>
      <c r="G39" s="1"/>
      <c r="H39" s="1">
        <f t="shared" ref="H39:H59" si="137">ROUND(IF(C39=4,E39*10%,0),0)</f>
        <v>24</v>
      </c>
      <c r="I39" s="1">
        <f t="shared" ref="I39:I59" si="138">ROUND(IF(C39=4,E39*2%,0),0)</f>
        <v>5</v>
      </c>
      <c r="J39" s="1">
        <v>0</v>
      </c>
      <c r="K39" s="313">
        <v>0</v>
      </c>
      <c r="L39" s="314">
        <v>3</v>
      </c>
      <c r="M39" s="320">
        <f>ROUND(IF(L39&lt;&gt;0,$BI$4/('全局参数|GlobalPar'!$B$18/10000/E39)/L39,0),6)</f>
        <v>0</v>
      </c>
      <c r="N39" s="320">
        <f t="shared" si="110"/>
        <v>0</v>
      </c>
      <c r="O39" s="323">
        <v>0</v>
      </c>
      <c r="P39" s="322">
        <v>15</v>
      </c>
      <c r="Q39" s="331">
        <v>1</v>
      </c>
      <c r="R39" s="332" t="s">
        <v>1144</v>
      </c>
      <c r="S39" s="1"/>
      <c r="T39" s="333">
        <v>0</v>
      </c>
      <c r="U39" s="348">
        <v>0</v>
      </c>
      <c r="V39" s="348">
        <v>0</v>
      </c>
      <c r="W39" s="348">
        <v>0</v>
      </c>
      <c r="X39" s="1" t="s">
        <v>1145</v>
      </c>
      <c r="Y39" s="192" t="s">
        <v>1146</v>
      </c>
      <c r="Z39" s="192">
        <v>0</v>
      </c>
      <c r="AA39" s="192">
        <v>0</v>
      </c>
      <c r="AB39" s="354">
        <v>12</v>
      </c>
      <c r="AC39" s="1">
        <v>11</v>
      </c>
      <c r="AD39" s="1">
        <v>0</v>
      </c>
      <c r="AE39" s="1">
        <v>3</v>
      </c>
      <c r="AF39" s="1"/>
      <c r="AG39" s="1">
        <v>0</v>
      </c>
      <c r="AH39" s="1">
        <v>1.5</v>
      </c>
      <c r="AI39" s="1">
        <v>0.5</v>
      </c>
      <c r="AJ39" s="1">
        <v>1</v>
      </c>
      <c r="AK39" s="1">
        <v>1</v>
      </c>
      <c r="AL39" s="1" t="s">
        <v>1267</v>
      </c>
      <c r="AM39" s="1"/>
      <c r="AN39" s="1"/>
      <c r="AO39" s="356">
        <v>1</v>
      </c>
      <c r="AP39" s="1">
        <v>240</v>
      </c>
      <c r="AQ39" s="1">
        <v>0.18</v>
      </c>
      <c r="AR39" s="1">
        <v>0.8</v>
      </c>
      <c r="AS39" s="1">
        <v>1</v>
      </c>
      <c r="AT39" s="1" t="s">
        <v>1270</v>
      </c>
      <c r="AU39" s="358" t="s">
        <v>1271</v>
      </c>
      <c r="AV39" s="358" t="s">
        <v>1272</v>
      </c>
      <c r="AW39" s="300" t="s">
        <v>320</v>
      </c>
      <c r="AX39" s="300" t="s">
        <v>189</v>
      </c>
      <c r="AY39" s="1">
        <f t="shared" si="111"/>
        <v>26.900000000000002</v>
      </c>
      <c r="AZ39" s="362">
        <f t="shared" si="127"/>
        <v>2.2304832713754643</v>
      </c>
      <c r="BA39" s="1"/>
      <c r="BB39" s="1">
        <f t="shared" si="112"/>
        <v>1.119</v>
      </c>
      <c r="BC39" s="1"/>
      <c r="BD39" s="1">
        <f t="shared" si="128"/>
        <v>269</v>
      </c>
      <c r="BE39" s="1">
        <f>IF(N39=0,BD39,BD39*(1+$BL$1))</f>
        <v>269</v>
      </c>
      <c r="BG39" s="1">
        <f t="shared" si="129"/>
        <v>0</v>
      </c>
      <c r="BR39" s="301">
        <f t="shared" si="130"/>
        <v>264</v>
      </c>
      <c r="BS39" s="356">
        <f t="shared" si="101"/>
        <v>0.1</v>
      </c>
      <c r="BT39" s="297">
        <v>6</v>
      </c>
      <c r="BU39" s="1">
        <v>5</v>
      </c>
      <c r="BV39" s="297">
        <v>6</v>
      </c>
      <c r="BW39" s="1">
        <v>2</v>
      </c>
      <c r="BX39" s="297">
        <v>7</v>
      </c>
      <c r="BY39" s="1">
        <v>2</v>
      </c>
      <c r="BZ39" s="1">
        <f t="shared" si="80"/>
        <v>6.2222222222222223</v>
      </c>
      <c r="CA39" s="1">
        <f t="shared" si="136"/>
        <v>7.5</v>
      </c>
      <c r="CB39" s="389">
        <f t="shared" si="104"/>
        <v>0.51428600000000002</v>
      </c>
      <c r="CC39" s="1">
        <f t="shared" si="136"/>
        <v>15</v>
      </c>
      <c r="CD39" s="391">
        <f t="shared" si="105"/>
        <v>0.25714300000000001</v>
      </c>
      <c r="CE39" s="1">
        <f t="shared" si="136"/>
        <v>22.5</v>
      </c>
      <c r="CF39" s="392">
        <f t="shared" si="106"/>
        <v>0.171429</v>
      </c>
      <c r="CH39" s="190">
        <v>2E-3</v>
      </c>
      <c r="CI39" s="403">
        <f t="shared" si="102"/>
        <v>0</v>
      </c>
      <c r="CJ39" s="402">
        <f t="shared" si="131"/>
        <v>0</v>
      </c>
      <c r="CK39" s="411">
        <f t="shared" si="132"/>
        <v>0</v>
      </c>
      <c r="CL39" s="411">
        <f t="shared" si="18"/>
        <v>0</v>
      </c>
      <c r="CM39" s="412">
        <f t="shared" si="82"/>
        <v>0</v>
      </c>
      <c r="CN39" s="413">
        <f t="shared" si="133"/>
        <v>0</v>
      </c>
      <c r="CO39" s="411">
        <f t="shared" si="20"/>
        <v>0</v>
      </c>
      <c r="CP39" s="429" t="e">
        <f t="shared" si="134"/>
        <v>#DIV/0!</v>
      </c>
      <c r="CQ39" s="430">
        <f t="shared" si="83"/>
        <v>15</v>
      </c>
      <c r="CR39" s="431">
        <f t="shared" si="84"/>
        <v>1</v>
      </c>
      <c r="CS39" s="332"/>
      <c r="CT39" s="322">
        <v>15</v>
      </c>
      <c r="CU39" s="331">
        <v>1</v>
      </c>
      <c r="CW39" s="436"/>
      <c r="DB39" s="438"/>
      <c r="DC39" s="430">
        <v>15</v>
      </c>
      <c r="DD39" s="402">
        <v>1</v>
      </c>
      <c r="DE39" s="438">
        <f t="shared" si="22"/>
        <v>2.5600000000000024E-3</v>
      </c>
      <c r="DF39" s="430">
        <f t="shared" si="23"/>
        <v>15</v>
      </c>
      <c r="DG39" s="402">
        <f t="shared" si="85"/>
        <v>1</v>
      </c>
      <c r="DH39" s="438">
        <f t="shared" si="25"/>
        <v>5.1200000000000048E-3</v>
      </c>
      <c r="DI39" s="430">
        <f t="shared" si="26"/>
        <v>15</v>
      </c>
      <c r="DJ39" s="402">
        <f t="shared" si="86"/>
        <v>1</v>
      </c>
      <c r="DK39" s="438">
        <f t="shared" si="28"/>
        <v>7.680000000000008E-3</v>
      </c>
      <c r="DL39" s="430">
        <f t="shared" si="87"/>
        <v>15</v>
      </c>
      <c r="DM39" s="402">
        <f t="shared" si="88"/>
        <v>1</v>
      </c>
      <c r="DN39" s="438">
        <f t="shared" si="31"/>
        <v>1.024000000000001E-2</v>
      </c>
      <c r="DO39" s="430">
        <f t="shared" si="89"/>
        <v>15</v>
      </c>
      <c r="DP39" s="402">
        <f t="shared" si="90"/>
        <v>1</v>
      </c>
      <c r="DQ39" s="438">
        <f t="shared" si="34"/>
        <v>1.2800000000000013E-2</v>
      </c>
      <c r="DR39" s="430">
        <f t="shared" si="91"/>
        <v>15</v>
      </c>
      <c r="DS39" s="402">
        <f t="shared" si="92"/>
        <v>1</v>
      </c>
      <c r="DT39" s="438">
        <f t="shared" si="37"/>
        <v>2.5600000000000026E-2</v>
      </c>
      <c r="DU39" s="430">
        <f t="shared" si="93"/>
        <v>15</v>
      </c>
      <c r="DV39" s="402">
        <f t="shared" si="94"/>
        <v>1</v>
      </c>
      <c r="DW39" s="438">
        <f t="shared" si="40"/>
        <v>5.1200000000000051E-2</v>
      </c>
      <c r="DX39" s="430">
        <f t="shared" si="95"/>
        <v>15</v>
      </c>
      <c r="DY39" s="402">
        <f t="shared" si="96"/>
        <v>1</v>
      </c>
      <c r="DZ39" s="438">
        <f t="shared" si="43"/>
        <v>7.6800000000000077E-2</v>
      </c>
      <c r="EA39" s="430">
        <f t="shared" si="97"/>
        <v>15</v>
      </c>
      <c r="EB39" s="402">
        <f t="shared" si="98"/>
        <v>1</v>
      </c>
      <c r="EC39" s="438">
        <f t="shared" si="46"/>
        <v>0.1024000000000001</v>
      </c>
      <c r="ED39" s="430">
        <f t="shared" si="99"/>
        <v>15</v>
      </c>
      <c r="EE39" s="402">
        <f t="shared" si="100"/>
        <v>1</v>
      </c>
      <c r="EF39" s="438">
        <f t="shared" si="49"/>
        <v>0.12800000000000014</v>
      </c>
      <c r="EG39" s="430">
        <f t="shared" si="50"/>
        <v>30</v>
      </c>
      <c r="EH39" s="402">
        <f t="shared" si="51"/>
        <v>2</v>
      </c>
      <c r="EI39" s="438">
        <f t="shared" si="52"/>
        <v>0.12800000000000014</v>
      </c>
      <c r="EJ39" s="430">
        <f t="shared" si="53"/>
        <v>60</v>
      </c>
      <c r="EK39" s="402">
        <f t="shared" si="54"/>
        <v>4</v>
      </c>
      <c r="EL39" s="438">
        <f t="shared" si="55"/>
        <v>0.12800000000000014</v>
      </c>
      <c r="EM39" s="430">
        <f t="shared" si="56"/>
        <v>90</v>
      </c>
      <c r="EN39" s="402">
        <f t="shared" si="57"/>
        <v>6</v>
      </c>
      <c r="EO39" s="438">
        <f t="shared" si="58"/>
        <v>0.12800000000000014</v>
      </c>
      <c r="EP39" s="430">
        <f t="shared" si="59"/>
        <v>120</v>
      </c>
      <c r="EQ39" s="402">
        <f t="shared" si="60"/>
        <v>8</v>
      </c>
      <c r="ER39" s="438">
        <f t="shared" si="61"/>
        <v>0.12800000000000014</v>
      </c>
      <c r="ES39" s="430">
        <f t="shared" si="62"/>
        <v>150</v>
      </c>
      <c r="ET39" s="402">
        <f t="shared" si="63"/>
        <v>10</v>
      </c>
      <c r="EU39" s="438">
        <f t="shared" si="64"/>
        <v>0.12800000000000014</v>
      </c>
      <c r="EV39" s="430">
        <f t="shared" si="65"/>
        <v>300</v>
      </c>
      <c r="EW39" s="402">
        <f t="shared" si="66"/>
        <v>20</v>
      </c>
      <c r="EX39" s="438">
        <f t="shared" si="67"/>
        <v>0.12800000000000014</v>
      </c>
      <c r="EY39" s="430">
        <f t="shared" si="68"/>
        <v>600</v>
      </c>
      <c r="EZ39" s="402">
        <f t="shared" si="69"/>
        <v>40</v>
      </c>
      <c r="FA39" s="438">
        <f t="shared" si="70"/>
        <v>0.12800000000000014</v>
      </c>
      <c r="FB39" s="430">
        <f t="shared" si="71"/>
        <v>900</v>
      </c>
      <c r="FC39" s="402">
        <f t="shared" si="72"/>
        <v>60</v>
      </c>
      <c r="FD39" s="438">
        <f t="shared" si="73"/>
        <v>0.12800000000000014</v>
      </c>
      <c r="FE39" s="430">
        <f t="shared" si="74"/>
        <v>1200</v>
      </c>
      <c r="FF39" s="402">
        <f t="shared" si="75"/>
        <v>80</v>
      </c>
      <c r="FG39" s="438">
        <f t="shared" si="76"/>
        <v>0.12800000000000014</v>
      </c>
      <c r="FH39" s="430">
        <f t="shared" si="77"/>
        <v>1500</v>
      </c>
      <c r="FI39" s="402">
        <f t="shared" si="78"/>
        <v>100</v>
      </c>
      <c r="FJ39" s="438">
        <f t="shared" si="79"/>
        <v>0.12800000000000014</v>
      </c>
    </row>
    <row r="40" spans="1:166" x14ac:dyDescent="0.45">
      <c r="A40" s="1">
        <v>36</v>
      </c>
      <c r="C40" s="1">
        <v>6</v>
      </c>
      <c r="D40" s="1">
        <v>-1</v>
      </c>
      <c r="E40" s="1">
        <v>80</v>
      </c>
      <c r="F40" s="1">
        <f t="shared" si="109"/>
        <v>80</v>
      </c>
      <c r="G40" s="1"/>
      <c r="H40" s="1">
        <f t="shared" si="137"/>
        <v>0</v>
      </c>
      <c r="I40" s="1">
        <f t="shared" si="138"/>
        <v>0</v>
      </c>
      <c r="J40" s="1">
        <v>0</v>
      </c>
      <c r="K40" s="313">
        <v>0</v>
      </c>
      <c r="L40" s="314">
        <v>3</v>
      </c>
      <c r="M40" s="320">
        <f>ROUND(IF(L40&lt;&gt;0,$BI$4/('全局参数|GlobalPar'!$B$18/10000/E40)/L40,0),6)</f>
        <v>0</v>
      </c>
      <c r="N40" s="320">
        <f t="shared" si="110"/>
        <v>0</v>
      </c>
      <c r="O40" s="323">
        <v>0</v>
      </c>
      <c r="P40" s="322">
        <v>15</v>
      </c>
      <c r="Q40" s="331">
        <v>1</v>
      </c>
      <c r="R40" s="332" t="s">
        <v>1144</v>
      </c>
      <c r="S40" s="1"/>
      <c r="T40" s="333">
        <v>0</v>
      </c>
      <c r="U40" s="348">
        <v>0</v>
      </c>
      <c r="V40" s="348">
        <v>0</v>
      </c>
      <c r="W40" s="348">
        <v>0</v>
      </c>
      <c r="X40" s="1" t="s">
        <v>1145</v>
      </c>
      <c r="Y40" s="192" t="s">
        <v>1146</v>
      </c>
      <c r="Z40" s="192">
        <v>0</v>
      </c>
      <c r="AA40" s="192">
        <v>0</v>
      </c>
      <c r="AB40" s="354">
        <v>12</v>
      </c>
      <c r="AC40" s="1">
        <f>IF(C40=4,1,IF(C40=6,2,-1))</f>
        <v>2</v>
      </c>
      <c r="AD40" s="1">
        <v>0</v>
      </c>
      <c r="AE40" s="1"/>
      <c r="AF40" s="1"/>
      <c r="AG40" s="1">
        <v>0</v>
      </c>
      <c r="AH40" s="1">
        <v>1.5</v>
      </c>
      <c r="AI40" s="1">
        <v>1</v>
      </c>
      <c r="AJ40" s="1">
        <v>1</v>
      </c>
      <c r="AK40" s="1">
        <v>1</v>
      </c>
      <c r="AL40" s="1" t="s">
        <v>1267</v>
      </c>
      <c r="AO40" s="356">
        <v>1</v>
      </c>
      <c r="AP40" s="1">
        <v>240</v>
      </c>
      <c r="AQ40" s="1">
        <v>0.18</v>
      </c>
      <c r="AR40" s="1">
        <v>0.8</v>
      </c>
      <c r="AS40" s="1">
        <v>1</v>
      </c>
      <c r="AT40" s="1" t="s">
        <v>1270</v>
      </c>
      <c r="AU40" s="300"/>
      <c r="AV40" s="300" t="s">
        <v>1273</v>
      </c>
      <c r="AW40" s="300"/>
      <c r="AX40" s="300"/>
      <c r="AY40" s="1">
        <f t="shared" si="111"/>
        <v>8</v>
      </c>
      <c r="AZ40" s="362">
        <f t="shared" si="127"/>
        <v>7.5</v>
      </c>
      <c r="BA40" s="1"/>
      <c r="BB40" s="1">
        <f t="shared" si="112"/>
        <v>1.119</v>
      </c>
      <c r="BC40" s="1"/>
      <c r="BD40" s="1">
        <f t="shared" si="128"/>
        <v>80</v>
      </c>
      <c r="BE40" s="1">
        <f>E40*(1+$BL$1)+H40+I40</f>
        <v>84.800000000000011</v>
      </c>
      <c r="BG40" s="1">
        <f t="shared" si="129"/>
        <v>0</v>
      </c>
      <c r="BR40" s="301">
        <f t="shared" si="130"/>
        <v>88</v>
      </c>
      <c r="BS40" s="356">
        <f t="shared" si="101"/>
        <v>0.1</v>
      </c>
      <c r="BT40" s="297">
        <v>6</v>
      </c>
      <c r="BU40" s="1">
        <v>5</v>
      </c>
      <c r="BV40" s="297">
        <v>6</v>
      </c>
      <c r="BW40" s="1">
        <v>2</v>
      </c>
      <c r="BX40" s="297">
        <v>7</v>
      </c>
      <c r="BY40" s="1">
        <v>2</v>
      </c>
      <c r="BZ40" s="1">
        <f t="shared" si="80"/>
        <v>6.2222222222222223</v>
      </c>
      <c r="CA40" s="1">
        <f t="shared" si="136"/>
        <v>7.5</v>
      </c>
      <c r="CB40" s="389">
        <f t="shared" si="104"/>
        <v>0.171429</v>
      </c>
      <c r="CC40" s="1">
        <f t="shared" si="136"/>
        <v>15</v>
      </c>
      <c r="CD40" s="391">
        <f t="shared" si="105"/>
        <v>8.5713999999999999E-2</v>
      </c>
      <c r="CE40" s="1">
        <f t="shared" si="136"/>
        <v>22.5</v>
      </c>
      <c r="CF40" s="392">
        <f t="shared" si="106"/>
        <v>5.7142999999999999E-2</v>
      </c>
      <c r="CH40" s="190">
        <v>2E-3</v>
      </c>
      <c r="CI40" s="403">
        <f t="shared" si="102"/>
        <v>0</v>
      </c>
      <c r="CJ40" s="402">
        <f t="shared" si="131"/>
        <v>0</v>
      </c>
      <c r="CK40" s="411">
        <f t="shared" si="132"/>
        <v>0</v>
      </c>
      <c r="CL40" s="411">
        <f t="shared" si="18"/>
        <v>0</v>
      </c>
      <c r="CM40" s="412">
        <f t="shared" si="82"/>
        <v>0</v>
      </c>
      <c r="CN40" s="413">
        <f t="shared" si="133"/>
        <v>0</v>
      </c>
      <c r="CO40" s="411">
        <f t="shared" si="20"/>
        <v>0</v>
      </c>
      <c r="CP40" s="429" t="e">
        <f t="shared" si="134"/>
        <v>#DIV/0!</v>
      </c>
      <c r="CQ40" s="430">
        <f t="shared" si="83"/>
        <v>15</v>
      </c>
      <c r="CR40" s="431">
        <f t="shared" si="84"/>
        <v>1</v>
      </c>
      <c r="CS40" s="332"/>
      <c r="CT40" s="322">
        <v>15</v>
      </c>
      <c r="CU40" s="331">
        <v>1</v>
      </c>
      <c r="CW40" s="436"/>
      <c r="DB40" s="438"/>
      <c r="DC40" s="430">
        <v>15</v>
      </c>
      <c r="DD40" s="402">
        <v>1</v>
      </c>
      <c r="DE40" s="438">
        <f t="shared" si="22"/>
        <v>8.533333333333342E-4</v>
      </c>
      <c r="DF40" s="430">
        <f t="shared" si="23"/>
        <v>15</v>
      </c>
      <c r="DG40" s="402">
        <f t="shared" si="85"/>
        <v>1</v>
      </c>
      <c r="DH40" s="438">
        <f t="shared" si="25"/>
        <v>1.7066666666666684E-3</v>
      </c>
      <c r="DI40" s="430">
        <f t="shared" si="26"/>
        <v>15</v>
      </c>
      <c r="DJ40" s="402">
        <f t="shared" si="86"/>
        <v>1</v>
      </c>
      <c r="DK40" s="438">
        <f t="shared" si="28"/>
        <v>2.5600000000000024E-3</v>
      </c>
      <c r="DL40" s="430">
        <f t="shared" si="87"/>
        <v>15</v>
      </c>
      <c r="DM40" s="402">
        <f t="shared" si="88"/>
        <v>1</v>
      </c>
      <c r="DN40" s="438">
        <f t="shared" si="31"/>
        <v>3.4133333333333368E-3</v>
      </c>
      <c r="DO40" s="430">
        <f t="shared" si="89"/>
        <v>15</v>
      </c>
      <c r="DP40" s="402">
        <f t="shared" si="90"/>
        <v>1</v>
      </c>
      <c r="DQ40" s="438">
        <f t="shared" si="34"/>
        <v>4.2666666666666712E-3</v>
      </c>
      <c r="DR40" s="430">
        <f t="shared" si="91"/>
        <v>15</v>
      </c>
      <c r="DS40" s="402">
        <f t="shared" si="92"/>
        <v>1</v>
      </c>
      <c r="DT40" s="438">
        <f t="shared" si="37"/>
        <v>8.5333333333333424E-3</v>
      </c>
      <c r="DU40" s="430">
        <f t="shared" si="93"/>
        <v>15</v>
      </c>
      <c r="DV40" s="402">
        <f t="shared" si="94"/>
        <v>1</v>
      </c>
      <c r="DW40" s="438">
        <f t="shared" si="40"/>
        <v>1.7066666666666685E-2</v>
      </c>
      <c r="DX40" s="430">
        <f t="shared" si="95"/>
        <v>15</v>
      </c>
      <c r="DY40" s="402">
        <f t="shared" si="96"/>
        <v>1</v>
      </c>
      <c r="DZ40" s="438">
        <f t="shared" si="43"/>
        <v>2.5600000000000026E-2</v>
      </c>
      <c r="EA40" s="430">
        <f t="shared" si="97"/>
        <v>15</v>
      </c>
      <c r="EB40" s="402">
        <f t="shared" si="98"/>
        <v>1</v>
      </c>
      <c r="EC40" s="438">
        <f t="shared" si="46"/>
        <v>3.413333333333337E-2</v>
      </c>
      <c r="ED40" s="430">
        <f t="shared" si="99"/>
        <v>15</v>
      </c>
      <c r="EE40" s="402">
        <f t="shared" si="100"/>
        <v>1</v>
      </c>
      <c r="EF40" s="438">
        <f t="shared" si="49"/>
        <v>4.2666666666666707E-2</v>
      </c>
      <c r="EG40" s="430">
        <f t="shared" si="50"/>
        <v>30</v>
      </c>
      <c r="EH40" s="402">
        <f t="shared" si="51"/>
        <v>2</v>
      </c>
      <c r="EI40" s="438">
        <f t="shared" si="52"/>
        <v>4.2666666666666707E-2</v>
      </c>
      <c r="EJ40" s="430">
        <f t="shared" si="53"/>
        <v>60</v>
      </c>
      <c r="EK40" s="402">
        <f t="shared" si="54"/>
        <v>4</v>
      </c>
      <c r="EL40" s="438">
        <f t="shared" si="55"/>
        <v>4.2666666666666707E-2</v>
      </c>
      <c r="EM40" s="430">
        <f t="shared" si="56"/>
        <v>90</v>
      </c>
      <c r="EN40" s="402">
        <f t="shared" si="57"/>
        <v>6</v>
      </c>
      <c r="EO40" s="438">
        <f t="shared" si="58"/>
        <v>4.2666666666666707E-2</v>
      </c>
      <c r="EP40" s="430">
        <f t="shared" si="59"/>
        <v>120</v>
      </c>
      <c r="EQ40" s="402">
        <f t="shared" si="60"/>
        <v>8</v>
      </c>
      <c r="ER40" s="438">
        <f t="shared" si="61"/>
        <v>4.2666666666666707E-2</v>
      </c>
      <c r="ES40" s="430">
        <f t="shared" si="62"/>
        <v>150</v>
      </c>
      <c r="ET40" s="402">
        <f t="shared" si="63"/>
        <v>10</v>
      </c>
      <c r="EU40" s="438">
        <f t="shared" si="64"/>
        <v>4.2666666666666707E-2</v>
      </c>
      <c r="EV40" s="430">
        <f t="shared" si="65"/>
        <v>300</v>
      </c>
      <c r="EW40" s="402">
        <f t="shared" si="66"/>
        <v>20</v>
      </c>
      <c r="EX40" s="438">
        <f t="shared" si="67"/>
        <v>4.2666666666666707E-2</v>
      </c>
      <c r="EY40" s="430">
        <f t="shared" si="68"/>
        <v>600</v>
      </c>
      <c r="EZ40" s="402">
        <f t="shared" si="69"/>
        <v>40</v>
      </c>
      <c r="FA40" s="438">
        <f t="shared" si="70"/>
        <v>4.2666666666666707E-2</v>
      </c>
      <c r="FB40" s="430">
        <f t="shared" si="71"/>
        <v>900</v>
      </c>
      <c r="FC40" s="402">
        <f t="shared" si="72"/>
        <v>60</v>
      </c>
      <c r="FD40" s="438">
        <f t="shared" si="73"/>
        <v>4.2666666666666707E-2</v>
      </c>
      <c r="FE40" s="430">
        <f t="shared" si="74"/>
        <v>1200</v>
      </c>
      <c r="FF40" s="402">
        <f t="shared" si="75"/>
        <v>80</v>
      </c>
      <c r="FG40" s="438">
        <f t="shared" si="76"/>
        <v>4.2666666666666707E-2</v>
      </c>
      <c r="FH40" s="430">
        <f t="shared" si="77"/>
        <v>1500</v>
      </c>
      <c r="FI40" s="402">
        <f t="shared" si="78"/>
        <v>100</v>
      </c>
      <c r="FJ40" s="438">
        <f t="shared" si="79"/>
        <v>4.2666666666666707E-2</v>
      </c>
    </row>
    <row r="41" spans="1:166" x14ac:dyDescent="0.45">
      <c r="A41" s="1">
        <v>37</v>
      </c>
      <c r="B41" s="307"/>
      <c r="C41" s="1">
        <v>6</v>
      </c>
      <c r="D41" s="1">
        <v>-1</v>
      </c>
      <c r="E41" s="1">
        <v>80</v>
      </c>
      <c r="F41" s="1"/>
      <c r="G41" s="1"/>
      <c r="H41" s="1">
        <f t="shared" si="137"/>
        <v>0</v>
      </c>
      <c r="I41" s="1">
        <f t="shared" si="138"/>
        <v>0</v>
      </c>
      <c r="J41" s="1">
        <v>0</v>
      </c>
      <c r="K41" s="313">
        <v>0</v>
      </c>
      <c r="L41" s="314">
        <v>5</v>
      </c>
      <c r="M41" s="320">
        <f>ROUND(IF(L41&lt;&gt;0,$BI$4/('全局参数|GlobalPar'!$B$18/10000/E41)/L41,0),6)</f>
        <v>0</v>
      </c>
      <c r="N41" s="320">
        <f t="shared" si="110"/>
        <v>0</v>
      </c>
      <c r="O41" s="323">
        <v>0</v>
      </c>
      <c r="P41" s="322">
        <v>15</v>
      </c>
      <c r="Q41" s="331">
        <v>1</v>
      </c>
      <c r="R41" s="332" t="s">
        <v>1144</v>
      </c>
      <c r="S41" s="1"/>
      <c r="T41" s="1">
        <f t="shared" ref="T41" si="139">T28</f>
        <v>0</v>
      </c>
      <c r="U41" s="348">
        <v>0</v>
      </c>
      <c r="V41" s="348">
        <v>0</v>
      </c>
      <c r="W41" s="348">
        <v>0</v>
      </c>
      <c r="X41" s="1" t="s">
        <v>1145</v>
      </c>
      <c r="Y41" s="192" t="s">
        <v>1146</v>
      </c>
      <c r="Z41" s="192">
        <v>0</v>
      </c>
      <c r="AA41" s="192">
        <v>0</v>
      </c>
      <c r="AB41" s="354">
        <v>12</v>
      </c>
      <c r="AC41" s="1">
        <v>5</v>
      </c>
      <c r="AD41" s="1">
        <v>0</v>
      </c>
      <c r="AE41" s="1">
        <v>3</v>
      </c>
      <c r="AF41" s="1">
        <v>6</v>
      </c>
      <c r="AG41" s="1">
        <v>0</v>
      </c>
      <c r="AH41" s="1">
        <v>1.8</v>
      </c>
      <c r="AI41" s="1">
        <v>1</v>
      </c>
      <c r="AJ41" s="1">
        <v>1</v>
      </c>
      <c r="AK41" s="1">
        <v>1</v>
      </c>
      <c r="AL41" s="1" t="s">
        <v>1274</v>
      </c>
      <c r="AM41" s="1">
        <v>1</v>
      </c>
      <c r="AN41" s="1">
        <v>1</v>
      </c>
      <c r="AO41" s="356">
        <v>1</v>
      </c>
      <c r="AP41" s="1">
        <v>300</v>
      </c>
      <c r="AQ41" s="1">
        <v>0.18</v>
      </c>
      <c r="AR41" s="1">
        <v>0.8</v>
      </c>
      <c r="AS41" s="1">
        <v>1</v>
      </c>
      <c r="AT41" s="1" t="s">
        <v>1275</v>
      </c>
      <c r="AU41" s="358" t="s">
        <v>1276</v>
      </c>
      <c r="AV41" s="358" t="s">
        <v>1277</v>
      </c>
      <c r="AW41" s="360" t="s">
        <v>333</v>
      </c>
      <c r="AX41" s="360" t="s">
        <v>333</v>
      </c>
      <c r="AY41" s="1">
        <f t="shared" si="111"/>
        <v>8</v>
      </c>
      <c r="AZ41" s="362">
        <f t="shared" si="127"/>
        <v>7.5</v>
      </c>
      <c r="BA41" s="1" t="s">
        <v>1150</v>
      </c>
      <c r="BB41" s="1">
        <f t="shared" si="112"/>
        <v>1.343</v>
      </c>
      <c r="BC41" s="1"/>
      <c r="BD41" s="1">
        <f t="shared" si="128"/>
        <v>80</v>
      </c>
      <c r="BE41" s="1">
        <f>E41*(1+$BL$1)+H41+I41</f>
        <v>84.800000000000011</v>
      </c>
      <c r="BG41" s="1">
        <f t="shared" si="129"/>
        <v>0</v>
      </c>
      <c r="BR41" s="301">
        <f t="shared" si="130"/>
        <v>88</v>
      </c>
      <c r="BS41" s="356">
        <f t="shared" si="101"/>
        <v>0.1</v>
      </c>
      <c r="BT41" s="297">
        <v>6</v>
      </c>
      <c r="BU41" s="1">
        <v>5</v>
      </c>
      <c r="BV41" s="297">
        <v>6</v>
      </c>
      <c r="BW41" s="1">
        <v>2</v>
      </c>
      <c r="BX41" s="297">
        <v>7</v>
      </c>
      <c r="BY41" s="1">
        <v>2</v>
      </c>
      <c r="BZ41" s="1">
        <f t="shared" si="80"/>
        <v>6.2222222222222223</v>
      </c>
      <c r="CA41" s="1">
        <f t="shared" si="136"/>
        <v>7.5</v>
      </c>
      <c r="CB41" s="389">
        <f t="shared" si="104"/>
        <v>0.171429</v>
      </c>
      <c r="CC41" s="1">
        <f t="shared" si="136"/>
        <v>15</v>
      </c>
      <c r="CD41" s="391">
        <f t="shared" si="105"/>
        <v>8.5713999999999999E-2</v>
      </c>
      <c r="CE41" s="1">
        <f t="shared" si="136"/>
        <v>22.5</v>
      </c>
      <c r="CF41" s="392">
        <f t="shared" si="106"/>
        <v>5.7142999999999999E-2</v>
      </c>
      <c r="CH41" s="190">
        <v>2E-3</v>
      </c>
      <c r="CI41" s="403">
        <f t="shared" si="102"/>
        <v>0</v>
      </c>
      <c r="CJ41" s="402">
        <f t="shared" si="131"/>
        <v>0</v>
      </c>
      <c r="CK41" s="411">
        <f t="shared" si="132"/>
        <v>0</v>
      </c>
      <c r="CL41" s="411">
        <f t="shared" si="18"/>
        <v>0</v>
      </c>
      <c r="CM41" s="412">
        <f t="shared" si="82"/>
        <v>0</v>
      </c>
      <c r="CN41" s="413">
        <f t="shared" si="133"/>
        <v>0</v>
      </c>
      <c r="CO41" s="411">
        <f t="shared" si="20"/>
        <v>0</v>
      </c>
      <c r="CP41" s="429" t="e">
        <f t="shared" si="134"/>
        <v>#DIV/0!</v>
      </c>
      <c r="CQ41" s="430">
        <f t="shared" si="83"/>
        <v>15</v>
      </c>
      <c r="CR41" s="431">
        <f t="shared" si="84"/>
        <v>1</v>
      </c>
      <c r="CS41" s="332"/>
      <c r="CT41" s="322">
        <v>15</v>
      </c>
      <c r="CU41" s="331">
        <v>1</v>
      </c>
      <c r="CW41" s="436"/>
      <c r="DB41" s="438"/>
      <c r="DC41" s="430">
        <v>15</v>
      </c>
      <c r="DD41" s="402">
        <v>1</v>
      </c>
      <c r="DE41" s="438">
        <f t="shared" si="22"/>
        <v>8.533333333333342E-4</v>
      </c>
      <c r="DF41" s="430">
        <f t="shared" si="23"/>
        <v>15</v>
      </c>
      <c r="DG41" s="402">
        <f t="shared" si="85"/>
        <v>1</v>
      </c>
      <c r="DH41" s="438">
        <f t="shared" si="25"/>
        <v>1.7066666666666684E-3</v>
      </c>
      <c r="DI41" s="430">
        <f t="shared" si="26"/>
        <v>15</v>
      </c>
      <c r="DJ41" s="402">
        <f t="shared" si="86"/>
        <v>1</v>
      </c>
      <c r="DK41" s="438">
        <f t="shared" si="28"/>
        <v>2.5600000000000024E-3</v>
      </c>
      <c r="DL41" s="430">
        <f t="shared" si="87"/>
        <v>15</v>
      </c>
      <c r="DM41" s="402">
        <f t="shared" si="88"/>
        <v>1</v>
      </c>
      <c r="DN41" s="438">
        <f t="shared" si="31"/>
        <v>3.4133333333333368E-3</v>
      </c>
      <c r="DO41" s="430">
        <f t="shared" si="89"/>
        <v>15</v>
      </c>
      <c r="DP41" s="402">
        <f t="shared" si="90"/>
        <v>1</v>
      </c>
      <c r="DQ41" s="438">
        <f t="shared" si="34"/>
        <v>4.2666666666666712E-3</v>
      </c>
      <c r="DR41" s="430">
        <f t="shared" si="91"/>
        <v>15</v>
      </c>
      <c r="DS41" s="402">
        <f t="shared" si="92"/>
        <v>1</v>
      </c>
      <c r="DT41" s="438">
        <f t="shared" si="37"/>
        <v>8.5333333333333424E-3</v>
      </c>
      <c r="DU41" s="430">
        <f t="shared" si="93"/>
        <v>15</v>
      </c>
      <c r="DV41" s="402">
        <f t="shared" si="94"/>
        <v>1</v>
      </c>
      <c r="DW41" s="438">
        <f t="shared" si="40"/>
        <v>1.7066666666666685E-2</v>
      </c>
      <c r="DX41" s="430">
        <f t="shared" si="95"/>
        <v>15</v>
      </c>
      <c r="DY41" s="402">
        <f t="shared" si="96"/>
        <v>1</v>
      </c>
      <c r="DZ41" s="438">
        <f t="shared" si="43"/>
        <v>2.5600000000000026E-2</v>
      </c>
      <c r="EA41" s="430">
        <f t="shared" si="97"/>
        <v>15</v>
      </c>
      <c r="EB41" s="402">
        <f t="shared" si="98"/>
        <v>1</v>
      </c>
      <c r="EC41" s="438">
        <f t="shared" si="46"/>
        <v>3.413333333333337E-2</v>
      </c>
      <c r="ED41" s="430">
        <f t="shared" si="99"/>
        <v>15</v>
      </c>
      <c r="EE41" s="402">
        <f t="shared" si="100"/>
        <v>1</v>
      </c>
      <c r="EF41" s="438">
        <f t="shared" si="49"/>
        <v>4.2666666666666707E-2</v>
      </c>
      <c r="EG41" s="430">
        <f t="shared" si="50"/>
        <v>30</v>
      </c>
      <c r="EH41" s="402">
        <f t="shared" si="51"/>
        <v>2</v>
      </c>
      <c r="EI41" s="438">
        <f t="shared" si="52"/>
        <v>4.2666666666666707E-2</v>
      </c>
      <c r="EJ41" s="430">
        <f t="shared" si="53"/>
        <v>60</v>
      </c>
      <c r="EK41" s="402">
        <f t="shared" si="54"/>
        <v>4</v>
      </c>
      <c r="EL41" s="438">
        <f t="shared" si="55"/>
        <v>4.2666666666666707E-2</v>
      </c>
      <c r="EM41" s="430">
        <f t="shared" si="56"/>
        <v>90</v>
      </c>
      <c r="EN41" s="402">
        <f t="shared" si="57"/>
        <v>6</v>
      </c>
      <c r="EO41" s="438">
        <f t="shared" si="58"/>
        <v>4.2666666666666707E-2</v>
      </c>
      <c r="EP41" s="430">
        <f t="shared" si="59"/>
        <v>120</v>
      </c>
      <c r="EQ41" s="402">
        <f t="shared" si="60"/>
        <v>8</v>
      </c>
      <c r="ER41" s="438">
        <f t="shared" si="61"/>
        <v>4.2666666666666707E-2</v>
      </c>
      <c r="ES41" s="430">
        <f t="shared" si="62"/>
        <v>150</v>
      </c>
      <c r="ET41" s="402">
        <f t="shared" si="63"/>
        <v>10</v>
      </c>
      <c r="EU41" s="438">
        <f t="shared" si="64"/>
        <v>4.2666666666666707E-2</v>
      </c>
      <c r="EV41" s="430">
        <f t="shared" si="65"/>
        <v>300</v>
      </c>
      <c r="EW41" s="402">
        <f t="shared" si="66"/>
        <v>20</v>
      </c>
      <c r="EX41" s="438">
        <f t="shared" si="67"/>
        <v>4.2666666666666707E-2</v>
      </c>
      <c r="EY41" s="430">
        <f t="shared" si="68"/>
        <v>600</v>
      </c>
      <c r="EZ41" s="402">
        <f t="shared" si="69"/>
        <v>40</v>
      </c>
      <c r="FA41" s="438">
        <f t="shared" si="70"/>
        <v>4.2666666666666707E-2</v>
      </c>
      <c r="FB41" s="430">
        <f t="shared" si="71"/>
        <v>900</v>
      </c>
      <c r="FC41" s="402">
        <f t="shared" si="72"/>
        <v>60</v>
      </c>
      <c r="FD41" s="438">
        <f t="shared" si="73"/>
        <v>4.2666666666666707E-2</v>
      </c>
      <c r="FE41" s="430">
        <f t="shared" si="74"/>
        <v>1200</v>
      </c>
      <c r="FF41" s="402">
        <f t="shared" si="75"/>
        <v>80</v>
      </c>
      <c r="FG41" s="438">
        <f t="shared" si="76"/>
        <v>4.2666666666666707E-2</v>
      </c>
      <c r="FH41" s="430">
        <f t="shared" si="77"/>
        <v>1500</v>
      </c>
      <c r="FI41" s="402">
        <f t="shared" si="78"/>
        <v>100</v>
      </c>
      <c r="FJ41" s="438">
        <f t="shared" si="79"/>
        <v>4.2666666666666707E-2</v>
      </c>
    </row>
    <row r="42" spans="1:166" x14ac:dyDescent="0.45">
      <c r="A42" s="1">
        <v>38</v>
      </c>
      <c r="B42" s="306" t="s">
        <v>1278</v>
      </c>
      <c r="C42" s="1">
        <v>6</v>
      </c>
      <c r="D42" s="1">
        <v>-1</v>
      </c>
      <c r="E42" s="1">
        <v>80</v>
      </c>
      <c r="F42" s="1"/>
      <c r="G42" s="1"/>
      <c r="H42" s="1">
        <f t="shared" si="137"/>
        <v>0</v>
      </c>
      <c r="I42" s="1">
        <f t="shared" si="138"/>
        <v>0</v>
      </c>
      <c r="J42" s="1">
        <v>0</v>
      </c>
      <c r="K42" s="313">
        <v>0</v>
      </c>
      <c r="L42" s="314">
        <v>5</v>
      </c>
      <c r="M42" s="320">
        <f>ROUND(IF(L42&lt;&gt;0,$BI$4/('全局参数|GlobalPar'!$B$18/10000/E42)/L42,0),6)</f>
        <v>0</v>
      </c>
      <c r="N42" s="320">
        <f t="shared" si="110"/>
        <v>0</v>
      </c>
      <c r="O42" s="323">
        <v>0</v>
      </c>
      <c r="P42" s="322">
        <v>15</v>
      </c>
      <c r="Q42" s="331">
        <v>1</v>
      </c>
      <c r="R42" s="332" t="s">
        <v>1144</v>
      </c>
      <c r="S42" s="1"/>
      <c r="T42" s="333">
        <v>0</v>
      </c>
      <c r="U42" s="348">
        <v>0</v>
      </c>
      <c r="V42" s="348">
        <v>0</v>
      </c>
      <c r="W42" s="348">
        <v>0</v>
      </c>
      <c r="X42" s="1" t="s">
        <v>1145</v>
      </c>
      <c r="Y42" s="192" t="s">
        <v>1146</v>
      </c>
      <c r="Z42" s="192">
        <v>0</v>
      </c>
      <c r="AA42" s="192">
        <v>0</v>
      </c>
      <c r="AB42" s="354">
        <v>12</v>
      </c>
      <c r="AC42" s="1">
        <v>6</v>
      </c>
      <c r="AD42" s="1">
        <v>0</v>
      </c>
      <c r="AE42" s="1">
        <v>3</v>
      </c>
      <c r="AF42" s="1">
        <v>6</v>
      </c>
      <c r="AG42" s="1">
        <v>0</v>
      </c>
      <c r="AH42" s="1">
        <v>1</v>
      </c>
      <c r="AI42" s="1">
        <v>1</v>
      </c>
      <c r="AJ42" s="1">
        <v>1</v>
      </c>
      <c r="AK42" s="1">
        <v>1</v>
      </c>
      <c r="AL42" s="1" t="s">
        <v>1267</v>
      </c>
      <c r="AM42" s="1">
        <v>1</v>
      </c>
      <c r="AN42" s="1">
        <v>1</v>
      </c>
      <c r="AO42" s="356">
        <v>1</v>
      </c>
      <c r="AP42" s="1">
        <v>400</v>
      </c>
      <c r="AQ42" s="1">
        <v>0.18</v>
      </c>
      <c r="AR42" s="1">
        <v>0.8</v>
      </c>
      <c r="AS42" s="1">
        <v>1</v>
      </c>
      <c r="AT42" s="1" t="s">
        <v>1275</v>
      </c>
      <c r="AU42" s="358" t="s">
        <v>1279</v>
      </c>
      <c r="AV42" s="358" t="s">
        <v>1280</v>
      </c>
      <c r="AW42" s="300" t="s">
        <v>179</v>
      </c>
      <c r="AX42" s="360" t="s">
        <v>333</v>
      </c>
      <c r="AY42" s="1">
        <f t="shared" si="111"/>
        <v>8</v>
      </c>
      <c r="AZ42" s="362">
        <f t="shared" si="127"/>
        <v>7.5</v>
      </c>
      <c r="BA42" s="1" t="s">
        <v>1150</v>
      </c>
      <c r="BB42" s="1">
        <f t="shared" si="112"/>
        <v>0.746</v>
      </c>
      <c r="BC42" s="1"/>
      <c r="BD42" s="1">
        <f t="shared" si="128"/>
        <v>80</v>
      </c>
      <c r="BE42" s="1">
        <f>E42*(1+$BL$1)+H42+I42</f>
        <v>84.800000000000011</v>
      </c>
      <c r="BG42" s="1">
        <f t="shared" si="129"/>
        <v>0</v>
      </c>
      <c r="BR42" s="301">
        <f t="shared" si="130"/>
        <v>88</v>
      </c>
      <c r="BS42" s="356">
        <f t="shared" si="101"/>
        <v>0.1</v>
      </c>
      <c r="BT42" s="297">
        <v>10</v>
      </c>
      <c r="BU42" s="1">
        <v>5</v>
      </c>
      <c r="BV42" s="297">
        <v>12</v>
      </c>
      <c r="BW42" s="1">
        <v>2</v>
      </c>
      <c r="BX42" s="297">
        <v>15</v>
      </c>
      <c r="BY42" s="1">
        <v>2</v>
      </c>
      <c r="BZ42" s="1">
        <f t="shared" si="80"/>
        <v>11.555555555555555</v>
      </c>
      <c r="CA42" s="1">
        <f t="shared" si="136"/>
        <v>7.5</v>
      </c>
      <c r="CB42" s="389">
        <f t="shared" si="104"/>
        <v>9.2308000000000001E-2</v>
      </c>
      <c r="CC42" s="1">
        <f t="shared" si="136"/>
        <v>15</v>
      </c>
      <c r="CD42" s="391">
        <f t="shared" si="105"/>
        <v>4.6154000000000001E-2</v>
      </c>
      <c r="CE42" s="1">
        <f t="shared" si="136"/>
        <v>22.5</v>
      </c>
      <c r="CF42" s="392">
        <f t="shared" si="106"/>
        <v>3.0769000000000001E-2</v>
      </c>
      <c r="CH42" s="190">
        <v>2E-3</v>
      </c>
      <c r="CI42" s="403">
        <f t="shared" si="102"/>
        <v>0</v>
      </c>
      <c r="CJ42" s="402">
        <f t="shared" si="131"/>
        <v>0</v>
      </c>
      <c r="CK42" s="411">
        <f t="shared" si="132"/>
        <v>0</v>
      </c>
      <c r="CL42" s="411">
        <f t="shared" si="18"/>
        <v>0</v>
      </c>
      <c r="CM42" s="412">
        <f t="shared" si="82"/>
        <v>0</v>
      </c>
      <c r="CN42" s="413">
        <f t="shared" si="133"/>
        <v>0</v>
      </c>
      <c r="CO42" s="411">
        <f t="shared" si="20"/>
        <v>0</v>
      </c>
      <c r="CP42" s="429" t="e">
        <f t="shared" si="134"/>
        <v>#DIV/0!</v>
      </c>
      <c r="CQ42" s="430">
        <f t="shared" si="83"/>
        <v>15</v>
      </c>
      <c r="CR42" s="431">
        <f t="shared" si="84"/>
        <v>1</v>
      </c>
      <c r="CS42" s="332"/>
      <c r="CT42" s="322">
        <v>15</v>
      </c>
      <c r="CU42" s="331">
        <v>1</v>
      </c>
      <c r="CW42" s="436"/>
      <c r="DB42" s="438"/>
      <c r="DC42" s="430">
        <v>15</v>
      </c>
      <c r="DD42" s="402">
        <v>1</v>
      </c>
      <c r="DE42" s="438">
        <f t="shared" si="22"/>
        <v>8.533333333333342E-4</v>
      </c>
      <c r="DF42" s="430">
        <f t="shared" si="23"/>
        <v>15</v>
      </c>
      <c r="DG42" s="402">
        <f t="shared" si="85"/>
        <v>1</v>
      </c>
      <c r="DH42" s="438">
        <f t="shared" si="25"/>
        <v>1.7066666666666684E-3</v>
      </c>
      <c r="DI42" s="430">
        <f t="shared" si="26"/>
        <v>15</v>
      </c>
      <c r="DJ42" s="402">
        <f t="shared" si="86"/>
        <v>1</v>
      </c>
      <c r="DK42" s="438">
        <f t="shared" si="28"/>
        <v>2.5600000000000024E-3</v>
      </c>
      <c r="DL42" s="430">
        <f t="shared" si="87"/>
        <v>15</v>
      </c>
      <c r="DM42" s="402">
        <f t="shared" si="88"/>
        <v>1</v>
      </c>
      <c r="DN42" s="438">
        <f t="shared" si="31"/>
        <v>3.4133333333333368E-3</v>
      </c>
      <c r="DO42" s="430">
        <f t="shared" si="89"/>
        <v>15</v>
      </c>
      <c r="DP42" s="402">
        <f t="shared" si="90"/>
        <v>1</v>
      </c>
      <c r="DQ42" s="438">
        <f t="shared" si="34"/>
        <v>4.2666666666666712E-3</v>
      </c>
      <c r="DR42" s="430">
        <f t="shared" si="91"/>
        <v>15</v>
      </c>
      <c r="DS42" s="402">
        <f t="shared" si="92"/>
        <v>1</v>
      </c>
      <c r="DT42" s="438">
        <f t="shared" si="37"/>
        <v>8.5333333333333424E-3</v>
      </c>
      <c r="DU42" s="430">
        <f t="shared" si="93"/>
        <v>15</v>
      </c>
      <c r="DV42" s="402">
        <f t="shared" si="94"/>
        <v>1</v>
      </c>
      <c r="DW42" s="438">
        <f t="shared" si="40"/>
        <v>1.7066666666666685E-2</v>
      </c>
      <c r="DX42" s="430">
        <f t="shared" si="95"/>
        <v>15</v>
      </c>
      <c r="DY42" s="402">
        <f t="shared" si="96"/>
        <v>1</v>
      </c>
      <c r="DZ42" s="438">
        <f t="shared" si="43"/>
        <v>2.5600000000000026E-2</v>
      </c>
      <c r="EA42" s="430">
        <f t="shared" si="97"/>
        <v>15</v>
      </c>
      <c r="EB42" s="402">
        <f t="shared" si="98"/>
        <v>1</v>
      </c>
      <c r="EC42" s="438">
        <f t="shared" si="46"/>
        <v>3.413333333333337E-2</v>
      </c>
      <c r="ED42" s="430">
        <f t="shared" si="99"/>
        <v>15</v>
      </c>
      <c r="EE42" s="402">
        <f t="shared" si="100"/>
        <v>1</v>
      </c>
      <c r="EF42" s="438">
        <f t="shared" si="49"/>
        <v>4.2666666666666707E-2</v>
      </c>
      <c r="EG42" s="430">
        <f t="shared" si="50"/>
        <v>30</v>
      </c>
      <c r="EH42" s="402">
        <f t="shared" si="51"/>
        <v>2</v>
      </c>
      <c r="EI42" s="438">
        <f t="shared" si="52"/>
        <v>4.2666666666666707E-2</v>
      </c>
      <c r="EJ42" s="430">
        <f t="shared" si="53"/>
        <v>60</v>
      </c>
      <c r="EK42" s="402">
        <f t="shared" si="54"/>
        <v>4</v>
      </c>
      <c r="EL42" s="438">
        <f t="shared" si="55"/>
        <v>4.2666666666666707E-2</v>
      </c>
      <c r="EM42" s="430">
        <f t="shared" si="56"/>
        <v>90</v>
      </c>
      <c r="EN42" s="402">
        <f t="shared" si="57"/>
        <v>6</v>
      </c>
      <c r="EO42" s="438">
        <f t="shared" si="58"/>
        <v>4.2666666666666707E-2</v>
      </c>
      <c r="EP42" s="430">
        <f t="shared" si="59"/>
        <v>120</v>
      </c>
      <c r="EQ42" s="402">
        <f t="shared" si="60"/>
        <v>8</v>
      </c>
      <c r="ER42" s="438">
        <f t="shared" si="61"/>
        <v>4.2666666666666707E-2</v>
      </c>
      <c r="ES42" s="430">
        <f t="shared" si="62"/>
        <v>150</v>
      </c>
      <c r="ET42" s="402">
        <f t="shared" si="63"/>
        <v>10</v>
      </c>
      <c r="EU42" s="438">
        <f t="shared" si="64"/>
        <v>4.2666666666666707E-2</v>
      </c>
      <c r="EV42" s="430">
        <f t="shared" si="65"/>
        <v>300</v>
      </c>
      <c r="EW42" s="402">
        <f t="shared" si="66"/>
        <v>20</v>
      </c>
      <c r="EX42" s="438">
        <f t="shared" si="67"/>
        <v>4.2666666666666707E-2</v>
      </c>
      <c r="EY42" s="430">
        <f t="shared" si="68"/>
        <v>600</v>
      </c>
      <c r="EZ42" s="402">
        <f t="shared" si="69"/>
        <v>40</v>
      </c>
      <c r="FA42" s="438">
        <f t="shared" si="70"/>
        <v>4.2666666666666707E-2</v>
      </c>
      <c r="FB42" s="430">
        <f t="shared" si="71"/>
        <v>900</v>
      </c>
      <c r="FC42" s="402">
        <f t="shared" si="72"/>
        <v>60</v>
      </c>
      <c r="FD42" s="438">
        <f t="shared" si="73"/>
        <v>4.2666666666666707E-2</v>
      </c>
      <c r="FE42" s="430">
        <f t="shared" si="74"/>
        <v>1200</v>
      </c>
      <c r="FF42" s="402">
        <f t="shared" si="75"/>
        <v>80</v>
      </c>
      <c r="FG42" s="438">
        <f t="shared" si="76"/>
        <v>4.2666666666666707E-2</v>
      </c>
      <c r="FH42" s="430">
        <f t="shared" si="77"/>
        <v>1500</v>
      </c>
      <c r="FI42" s="402">
        <f t="shared" si="78"/>
        <v>100</v>
      </c>
      <c r="FJ42" s="438">
        <f t="shared" si="79"/>
        <v>4.2666666666666707E-2</v>
      </c>
    </row>
    <row r="43" spans="1:166" x14ac:dyDescent="0.45">
      <c r="A43" s="1">
        <v>39</v>
      </c>
      <c r="B43" s="307"/>
      <c r="C43" s="1">
        <v>6</v>
      </c>
      <c r="D43" s="1">
        <v>-1</v>
      </c>
      <c r="E43" s="1">
        <v>100</v>
      </c>
      <c r="F43" s="1"/>
      <c r="G43" s="1"/>
      <c r="H43" s="1">
        <f t="shared" si="137"/>
        <v>0</v>
      </c>
      <c r="I43" s="1">
        <f t="shared" si="138"/>
        <v>0</v>
      </c>
      <c r="J43" s="1">
        <v>0</v>
      </c>
      <c r="K43" s="313">
        <v>0</v>
      </c>
      <c r="L43" s="314">
        <v>10</v>
      </c>
      <c r="M43" s="320">
        <f>ROUND(IF(L43&lt;&gt;0,$BI$4/('全局参数|GlobalPar'!$B$18/10000/E43)/L43,0),6)</f>
        <v>0</v>
      </c>
      <c r="N43" s="320">
        <f t="shared" si="110"/>
        <v>0</v>
      </c>
      <c r="O43" s="323">
        <v>0</v>
      </c>
      <c r="P43" s="322">
        <v>15</v>
      </c>
      <c r="Q43" s="331">
        <v>1</v>
      </c>
      <c r="R43" s="332" t="s">
        <v>1144</v>
      </c>
      <c r="S43" s="1"/>
      <c r="T43" s="333">
        <v>0</v>
      </c>
      <c r="U43" s="348">
        <v>0</v>
      </c>
      <c r="V43" s="348">
        <v>0</v>
      </c>
      <c r="W43" s="348">
        <v>0</v>
      </c>
      <c r="X43" s="1" t="s">
        <v>1145</v>
      </c>
      <c r="Y43" s="192" t="s">
        <v>1146</v>
      </c>
      <c r="Z43" s="192">
        <v>0</v>
      </c>
      <c r="AA43" s="192">
        <v>0</v>
      </c>
      <c r="AB43" s="354">
        <v>12</v>
      </c>
      <c r="AC43" s="1">
        <v>7</v>
      </c>
      <c r="AD43" s="1">
        <v>0</v>
      </c>
      <c r="AE43" s="1">
        <v>3</v>
      </c>
      <c r="AF43" s="1">
        <v>6</v>
      </c>
      <c r="AG43" s="1">
        <v>1</v>
      </c>
      <c r="AH43" s="1">
        <v>1.8</v>
      </c>
      <c r="AI43" s="1">
        <v>1</v>
      </c>
      <c r="AJ43" s="1">
        <v>1</v>
      </c>
      <c r="AK43" s="1">
        <v>1</v>
      </c>
      <c r="AL43" s="1" t="s">
        <v>1281</v>
      </c>
      <c r="AM43" s="1">
        <v>1</v>
      </c>
      <c r="AN43" s="1">
        <v>1</v>
      </c>
      <c r="AO43" s="356">
        <v>1</v>
      </c>
      <c r="AP43" s="1">
        <v>500</v>
      </c>
      <c r="AQ43" s="1">
        <v>0.18</v>
      </c>
      <c r="AR43" s="1">
        <v>0.4</v>
      </c>
      <c r="AS43" s="1">
        <v>1</v>
      </c>
      <c r="AT43" s="1" t="s">
        <v>1275</v>
      </c>
      <c r="AU43" s="358" t="s">
        <v>1282</v>
      </c>
      <c r="AV43" s="358" t="s">
        <v>1272</v>
      </c>
      <c r="AW43" s="360" t="s">
        <v>454</v>
      </c>
      <c r="AX43" s="360" t="s">
        <v>333</v>
      </c>
      <c r="AY43" s="1">
        <f t="shared" si="111"/>
        <v>10</v>
      </c>
      <c r="AZ43" s="362">
        <f t="shared" si="127"/>
        <v>6</v>
      </c>
      <c r="BA43" s="1" t="s">
        <v>1150</v>
      </c>
      <c r="BB43" s="1">
        <f t="shared" si="112"/>
        <v>1.343</v>
      </c>
      <c r="BC43" s="1"/>
      <c r="BD43" s="1">
        <f t="shared" si="128"/>
        <v>100</v>
      </c>
      <c r="BE43" s="1">
        <f>E43*(1+$BL$1)+H43+I43</f>
        <v>106</v>
      </c>
      <c r="BG43" s="1">
        <f t="shared" si="129"/>
        <v>0</v>
      </c>
      <c r="BR43" s="301">
        <f t="shared" si="130"/>
        <v>110.00000000000001</v>
      </c>
      <c r="BS43" s="356">
        <f t="shared" si="101"/>
        <v>0.1</v>
      </c>
      <c r="BT43" s="297">
        <v>10</v>
      </c>
      <c r="BU43" s="1">
        <v>5</v>
      </c>
      <c r="BV43" s="297">
        <v>12</v>
      </c>
      <c r="BW43" s="1">
        <v>2</v>
      </c>
      <c r="BX43" s="297">
        <v>15</v>
      </c>
      <c r="BY43" s="1">
        <v>2</v>
      </c>
      <c r="BZ43" s="1">
        <f t="shared" si="80"/>
        <v>11.555555555555555</v>
      </c>
      <c r="CA43" s="1">
        <f t="shared" si="136"/>
        <v>7.5</v>
      </c>
      <c r="CB43" s="389">
        <f t="shared" si="104"/>
        <v>0.115385</v>
      </c>
      <c r="CC43" s="1">
        <f t="shared" si="136"/>
        <v>15</v>
      </c>
      <c r="CD43" s="391">
        <f t="shared" si="105"/>
        <v>5.7692E-2</v>
      </c>
      <c r="CE43" s="1">
        <f t="shared" si="136"/>
        <v>22.5</v>
      </c>
      <c r="CF43" s="392">
        <f t="shared" si="106"/>
        <v>3.8462000000000003E-2</v>
      </c>
      <c r="CH43" s="190">
        <v>2E-3</v>
      </c>
      <c r="CI43" s="403">
        <f t="shared" si="102"/>
        <v>0</v>
      </c>
      <c r="CJ43" s="402">
        <f t="shared" si="131"/>
        <v>0</v>
      </c>
      <c r="CK43" s="411">
        <f t="shared" si="132"/>
        <v>0</v>
      </c>
      <c r="CL43" s="411">
        <f t="shared" si="18"/>
        <v>0</v>
      </c>
      <c r="CM43" s="412">
        <f t="shared" si="82"/>
        <v>0</v>
      </c>
      <c r="CN43" s="413">
        <f t="shared" si="133"/>
        <v>0</v>
      </c>
      <c r="CO43" s="411">
        <f t="shared" si="20"/>
        <v>0</v>
      </c>
      <c r="CP43" s="429" t="e">
        <f t="shared" si="134"/>
        <v>#DIV/0!</v>
      </c>
      <c r="CQ43" s="430">
        <f t="shared" si="83"/>
        <v>15</v>
      </c>
      <c r="CR43" s="431">
        <f t="shared" si="84"/>
        <v>1</v>
      </c>
      <c r="CS43" s="332"/>
      <c r="CT43" s="322">
        <v>15</v>
      </c>
      <c r="CU43" s="331">
        <v>1</v>
      </c>
      <c r="CW43" s="436"/>
      <c r="DB43" s="438"/>
      <c r="DC43" s="430">
        <v>15</v>
      </c>
      <c r="DD43" s="402">
        <v>1</v>
      </c>
      <c r="DE43" s="438">
        <f t="shared" si="22"/>
        <v>1.0666666666666678E-3</v>
      </c>
      <c r="DF43" s="430">
        <f t="shared" si="23"/>
        <v>15</v>
      </c>
      <c r="DG43" s="402">
        <f t="shared" si="85"/>
        <v>1</v>
      </c>
      <c r="DH43" s="438">
        <f t="shared" si="25"/>
        <v>2.1333333333333356E-3</v>
      </c>
      <c r="DI43" s="430">
        <f t="shared" si="26"/>
        <v>15</v>
      </c>
      <c r="DJ43" s="402">
        <f t="shared" si="86"/>
        <v>1</v>
      </c>
      <c r="DK43" s="438">
        <f t="shared" si="28"/>
        <v>3.2000000000000032E-3</v>
      </c>
      <c r="DL43" s="430">
        <f t="shared" si="87"/>
        <v>15</v>
      </c>
      <c r="DM43" s="402">
        <f t="shared" si="88"/>
        <v>1</v>
      </c>
      <c r="DN43" s="438">
        <f t="shared" si="31"/>
        <v>4.2666666666666712E-3</v>
      </c>
      <c r="DO43" s="430">
        <f t="shared" si="89"/>
        <v>15</v>
      </c>
      <c r="DP43" s="402">
        <f t="shared" si="90"/>
        <v>1</v>
      </c>
      <c r="DQ43" s="438">
        <f t="shared" si="34"/>
        <v>5.3333333333333384E-3</v>
      </c>
      <c r="DR43" s="430">
        <f t="shared" si="91"/>
        <v>15</v>
      </c>
      <c r="DS43" s="402">
        <f t="shared" si="92"/>
        <v>1</v>
      </c>
      <c r="DT43" s="438">
        <f t="shared" si="37"/>
        <v>1.0666666666666677E-2</v>
      </c>
      <c r="DU43" s="430">
        <f t="shared" si="93"/>
        <v>15</v>
      </c>
      <c r="DV43" s="402">
        <f t="shared" si="94"/>
        <v>1</v>
      </c>
      <c r="DW43" s="438">
        <f t="shared" si="40"/>
        <v>2.1333333333333353E-2</v>
      </c>
      <c r="DX43" s="430">
        <f t="shared" si="95"/>
        <v>15</v>
      </c>
      <c r="DY43" s="402">
        <f t="shared" si="96"/>
        <v>1</v>
      </c>
      <c r="DZ43" s="438">
        <f t="shared" si="43"/>
        <v>3.2000000000000035E-2</v>
      </c>
      <c r="EA43" s="430">
        <f t="shared" si="97"/>
        <v>15</v>
      </c>
      <c r="EB43" s="402">
        <f t="shared" si="98"/>
        <v>1</v>
      </c>
      <c r="EC43" s="438">
        <f t="shared" si="46"/>
        <v>4.2666666666666707E-2</v>
      </c>
      <c r="ED43" s="430">
        <f t="shared" si="99"/>
        <v>15</v>
      </c>
      <c r="EE43" s="402">
        <f t="shared" si="100"/>
        <v>1</v>
      </c>
      <c r="EF43" s="438">
        <f t="shared" si="49"/>
        <v>5.3333333333333392E-2</v>
      </c>
      <c r="EG43" s="430">
        <f t="shared" si="50"/>
        <v>30</v>
      </c>
      <c r="EH43" s="402">
        <f t="shared" si="51"/>
        <v>2</v>
      </c>
      <c r="EI43" s="438">
        <f t="shared" si="52"/>
        <v>5.3333333333333392E-2</v>
      </c>
      <c r="EJ43" s="430">
        <f t="shared" si="53"/>
        <v>60</v>
      </c>
      <c r="EK43" s="402">
        <f t="shared" si="54"/>
        <v>4</v>
      </c>
      <c r="EL43" s="438">
        <f t="shared" si="55"/>
        <v>5.3333333333333392E-2</v>
      </c>
      <c r="EM43" s="430">
        <f t="shared" si="56"/>
        <v>90</v>
      </c>
      <c r="EN43" s="402">
        <f t="shared" si="57"/>
        <v>6</v>
      </c>
      <c r="EO43" s="438">
        <f t="shared" si="58"/>
        <v>5.3333333333333392E-2</v>
      </c>
      <c r="EP43" s="430">
        <f t="shared" si="59"/>
        <v>120</v>
      </c>
      <c r="EQ43" s="402">
        <f t="shared" si="60"/>
        <v>8</v>
      </c>
      <c r="ER43" s="438">
        <f t="shared" si="61"/>
        <v>5.3333333333333392E-2</v>
      </c>
      <c r="ES43" s="430">
        <f t="shared" si="62"/>
        <v>150</v>
      </c>
      <c r="ET43" s="402">
        <f t="shared" si="63"/>
        <v>10</v>
      </c>
      <c r="EU43" s="438">
        <f t="shared" si="64"/>
        <v>5.3333333333333392E-2</v>
      </c>
      <c r="EV43" s="430">
        <f t="shared" si="65"/>
        <v>300</v>
      </c>
      <c r="EW43" s="402">
        <f t="shared" si="66"/>
        <v>20</v>
      </c>
      <c r="EX43" s="438">
        <f t="shared" si="67"/>
        <v>5.3333333333333392E-2</v>
      </c>
      <c r="EY43" s="430">
        <f t="shared" si="68"/>
        <v>600</v>
      </c>
      <c r="EZ43" s="402">
        <f t="shared" si="69"/>
        <v>40</v>
      </c>
      <c r="FA43" s="438">
        <f t="shared" si="70"/>
        <v>5.3333333333333392E-2</v>
      </c>
      <c r="FB43" s="430">
        <f t="shared" si="71"/>
        <v>900</v>
      </c>
      <c r="FC43" s="402">
        <f t="shared" si="72"/>
        <v>60</v>
      </c>
      <c r="FD43" s="438">
        <f t="shared" si="73"/>
        <v>5.3333333333333392E-2</v>
      </c>
      <c r="FE43" s="430">
        <f t="shared" si="74"/>
        <v>1200</v>
      </c>
      <c r="FF43" s="402">
        <f t="shared" si="75"/>
        <v>80</v>
      </c>
      <c r="FG43" s="438">
        <f t="shared" si="76"/>
        <v>5.3333333333333392E-2</v>
      </c>
      <c r="FH43" s="430">
        <f t="shared" si="77"/>
        <v>1500</v>
      </c>
      <c r="FI43" s="402">
        <f t="shared" si="78"/>
        <v>100</v>
      </c>
      <c r="FJ43" s="438">
        <f t="shared" si="79"/>
        <v>5.3333333333333392E-2</v>
      </c>
    </row>
    <row r="44" spans="1:166" x14ac:dyDescent="0.45">
      <c r="A44" s="1">
        <v>40</v>
      </c>
      <c r="B44" s="306" t="s">
        <v>1283</v>
      </c>
      <c r="C44" s="1">
        <v>6</v>
      </c>
      <c r="D44" s="1">
        <v>7</v>
      </c>
      <c r="E44" s="1">
        <v>100</v>
      </c>
      <c r="F44" s="1"/>
      <c r="G44" s="1"/>
      <c r="H44" s="1">
        <f t="shared" si="137"/>
        <v>0</v>
      </c>
      <c r="I44" s="1">
        <f t="shared" si="138"/>
        <v>0</v>
      </c>
      <c r="J44" s="1">
        <v>0</v>
      </c>
      <c r="K44" s="313">
        <v>0</v>
      </c>
      <c r="L44" s="314">
        <v>10</v>
      </c>
      <c r="M44" s="320">
        <f>ROUND(IF(L44&lt;&gt;0,$BI$4/('全局参数|GlobalPar'!$B$18/10000/E44)/L44,0),6)</f>
        <v>0</v>
      </c>
      <c r="N44" s="320">
        <f t="shared" si="110"/>
        <v>0</v>
      </c>
      <c r="O44" s="323">
        <v>0</v>
      </c>
      <c r="P44" s="322">
        <v>15</v>
      </c>
      <c r="Q44" s="331">
        <v>1</v>
      </c>
      <c r="R44" s="332" t="s">
        <v>1144</v>
      </c>
      <c r="S44" s="1"/>
      <c r="T44" s="1">
        <f t="shared" ref="T44" si="140">T31</f>
        <v>0</v>
      </c>
      <c r="U44" s="348">
        <v>0</v>
      </c>
      <c r="V44" s="348">
        <v>0</v>
      </c>
      <c r="W44" s="348">
        <v>0</v>
      </c>
      <c r="X44" s="1" t="s">
        <v>1145</v>
      </c>
      <c r="Y44" s="192" t="s">
        <v>1146</v>
      </c>
      <c r="Z44" s="192">
        <v>0</v>
      </c>
      <c r="AA44" s="192">
        <v>0</v>
      </c>
      <c r="AB44" s="354">
        <v>12</v>
      </c>
      <c r="AC44" s="1">
        <v>8</v>
      </c>
      <c r="AD44" s="1">
        <v>0</v>
      </c>
      <c r="AE44" s="1">
        <v>3</v>
      </c>
      <c r="AF44" s="1">
        <v>6</v>
      </c>
      <c r="AG44" s="1">
        <v>1</v>
      </c>
      <c r="AH44" s="1">
        <v>1</v>
      </c>
      <c r="AI44" s="1">
        <v>1</v>
      </c>
      <c r="AJ44" s="1">
        <v>1</v>
      </c>
      <c r="AK44" s="1">
        <v>1</v>
      </c>
      <c r="AL44" s="1" t="s">
        <v>1267</v>
      </c>
      <c r="AM44" s="1">
        <v>1</v>
      </c>
      <c r="AN44" s="1">
        <v>1</v>
      </c>
      <c r="AO44" s="356">
        <v>1</v>
      </c>
      <c r="AP44" s="1">
        <v>600</v>
      </c>
      <c r="AQ44" s="1">
        <v>0.18</v>
      </c>
      <c r="AR44" s="1">
        <v>0.4</v>
      </c>
      <c r="AS44" s="1">
        <v>1</v>
      </c>
      <c r="AT44" s="1" t="s">
        <v>1275</v>
      </c>
      <c r="AU44" s="358" t="s">
        <v>1284</v>
      </c>
      <c r="AV44" s="358" t="s">
        <v>1285</v>
      </c>
      <c r="AW44" s="300" t="s">
        <v>275</v>
      </c>
      <c r="AX44" s="360" t="s">
        <v>333</v>
      </c>
      <c r="AY44" s="1">
        <f t="shared" si="111"/>
        <v>10</v>
      </c>
      <c r="AZ44" s="362">
        <f t="shared" si="127"/>
        <v>6</v>
      </c>
      <c r="BA44" s="1" t="s">
        <v>1150</v>
      </c>
      <c r="BB44" s="1">
        <f t="shared" si="112"/>
        <v>0.746</v>
      </c>
      <c r="BC44" s="1"/>
      <c r="BD44" s="1">
        <f t="shared" si="128"/>
        <v>100</v>
      </c>
      <c r="BE44" s="1">
        <f>E44*(1+$BL$1)+H44+I44</f>
        <v>106</v>
      </c>
      <c r="BG44" s="1">
        <f t="shared" si="129"/>
        <v>0</v>
      </c>
      <c r="BR44" s="301">
        <f t="shared" si="130"/>
        <v>110.00000000000001</v>
      </c>
      <c r="BS44" s="356">
        <f t="shared" si="101"/>
        <v>0.1</v>
      </c>
      <c r="BT44" s="297">
        <v>10</v>
      </c>
      <c r="BU44" s="1">
        <v>5</v>
      </c>
      <c r="BV44" s="297">
        <v>12</v>
      </c>
      <c r="BW44" s="1">
        <v>2</v>
      </c>
      <c r="BX44" s="297">
        <v>15</v>
      </c>
      <c r="BY44" s="1">
        <v>2</v>
      </c>
      <c r="BZ44" s="1">
        <f t="shared" si="80"/>
        <v>11.555555555555555</v>
      </c>
      <c r="CA44" s="1">
        <f t="shared" si="136"/>
        <v>7.5</v>
      </c>
      <c r="CB44" s="389">
        <f t="shared" si="104"/>
        <v>0.115385</v>
      </c>
      <c r="CC44" s="1">
        <f t="shared" si="136"/>
        <v>15</v>
      </c>
      <c r="CD44" s="391">
        <f t="shared" si="105"/>
        <v>5.7692E-2</v>
      </c>
      <c r="CE44" s="1">
        <f t="shared" si="136"/>
        <v>22.5</v>
      </c>
      <c r="CF44" s="392">
        <f t="shared" si="106"/>
        <v>3.8462000000000003E-2</v>
      </c>
      <c r="CH44" s="190">
        <v>2E-3</v>
      </c>
      <c r="CI44" s="403">
        <f t="shared" si="102"/>
        <v>0</v>
      </c>
      <c r="CJ44" s="402">
        <f t="shared" si="131"/>
        <v>0</v>
      </c>
      <c r="CK44" s="411">
        <f t="shared" si="132"/>
        <v>0</v>
      </c>
      <c r="CL44" s="411">
        <f t="shared" si="18"/>
        <v>0</v>
      </c>
      <c r="CM44" s="412">
        <f t="shared" si="82"/>
        <v>0</v>
      </c>
      <c r="CN44" s="413">
        <f t="shared" si="133"/>
        <v>0</v>
      </c>
      <c r="CO44" s="411">
        <f t="shared" si="20"/>
        <v>0</v>
      </c>
      <c r="CP44" s="429" t="e">
        <f t="shared" si="134"/>
        <v>#DIV/0!</v>
      </c>
      <c r="CQ44" s="430">
        <f t="shared" si="83"/>
        <v>15</v>
      </c>
      <c r="CR44" s="431">
        <f t="shared" si="84"/>
        <v>1</v>
      </c>
      <c r="CS44" s="332"/>
      <c r="CT44" s="322">
        <v>15</v>
      </c>
      <c r="CU44" s="331">
        <v>1</v>
      </c>
      <c r="CW44" s="436"/>
      <c r="DB44" s="438"/>
      <c r="DC44" s="430">
        <v>15</v>
      </c>
      <c r="DD44" s="402">
        <v>1</v>
      </c>
      <c r="DE44" s="438">
        <f t="shared" si="22"/>
        <v>1.0666666666666678E-3</v>
      </c>
      <c r="DF44" s="430">
        <f t="shared" si="23"/>
        <v>15</v>
      </c>
      <c r="DG44" s="402">
        <f t="shared" si="85"/>
        <v>1</v>
      </c>
      <c r="DH44" s="438">
        <f t="shared" si="25"/>
        <v>2.1333333333333356E-3</v>
      </c>
      <c r="DI44" s="430">
        <f t="shared" si="26"/>
        <v>15</v>
      </c>
      <c r="DJ44" s="402">
        <f t="shared" si="86"/>
        <v>1</v>
      </c>
      <c r="DK44" s="438">
        <f t="shared" si="28"/>
        <v>3.2000000000000032E-3</v>
      </c>
      <c r="DL44" s="430">
        <f t="shared" si="87"/>
        <v>15</v>
      </c>
      <c r="DM44" s="402">
        <f t="shared" si="88"/>
        <v>1</v>
      </c>
      <c r="DN44" s="438">
        <f t="shared" si="31"/>
        <v>4.2666666666666712E-3</v>
      </c>
      <c r="DO44" s="430">
        <f t="shared" si="89"/>
        <v>15</v>
      </c>
      <c r="DP44" s="402">
        <f t="shared" si="90"/>
        <v>1</v>
      </c>
      <c r="DQ44" s="438">
        <f t="shared" si="34"/>
        <v>5.3333333333333384E-3</v>
      </c>
      <c r="DR44" s="430">
        <f t="shared" si="91"/>
        <v>15</v>
      </c>
      <c r="DS44" s="402">
        <f t="shared" si="92"/>
        <v>1</v>
      </c>
      <c r="DT44" s="438">
        <f t="shared" si="37"/>
        <v>1.0666666666666677E-2</v>
      </c>
      <c r="DU44" s="430">
        <f t="shared" si="93"/>
        <v>15</v>
      </c>
      <c r="DV44" s="402">
        <f t="shared" si="94"/>
        <v>1</v>
      </c>
      <c r="DW44" s="438">
        <f t="shared" si="40"/>
        <v>2.1333333333333353E-2</v>
      </c>
      <c r="DX44" s="430">
        <f t="shared" si="95"/>
        <v>15</v>
      </c>
      <c r="DY44" s="402">
        <f t="shared" si="96"/>
        <v>1</v>
      </c>
      <c r="DZ44" s="438">
        <f t="shared" si="43"/>
        <v>3.2000000000000035E-2</v>
      </c>
      <c r="EA44" s="430">
        <f t="shared" si="97"/>
        <v>15</v>
      </c>
      <c r="EB44" s="402">
        <f t="shared" si="98"/>
        <v>1</v>
      </c>
      <c r="EC44" s="438">
        <f t="shared" si="46"/>
        <v>4.2666666666666707E-2</v>
      </c>
      <c r="ED44" s="430">
        <f t="shared" si="99"/>
        <v>15</v>
      </c>
      <c r="EE44" s="402">
        <f t="shared" si="100"/>
        <v>1</v>
      </c>
      <c r="EF44" s="438">
        <f t="shared" si="49"/>
        <v>5.3333333333333392E-2</v>
      </c>
      <c r="EG44" s="430">
        <f t="shared" si="50"/>
        <v>30</v>
      </c>
      <c r="EH44" s="402">
        <f t="shared" si="51"/>
        <v>2</v>
      </c>
      <c r="EI44" s="438">
        <f t="shared" si="52"/>
        <v>5.3333333333333392E-2</v>
      </c>
      <c r="EJ44" s="430">
        <f t="shared" si="53"/>
        <v>60</v>
      </c>
      <c r="EK44" s="402">
        <f t="shared" si="54"/>
        <v>4</v>
      </c>
      <c r="EL44" s="438">
        <f t="shared" si="55"/>
        <v>5.3333333333333392E-2</v>
      </c>
      <c r="EM44" s="430">
        <f t="shared" si="56"/>
        <v>90</v>
      </c>
      <c r="EN44" s="402">
        <f t="shared" si="57"/>
        <v>6</v>
      </c>
      <c r="EO44" s="438">
        <f t="shared" si="58"/>
        <v>5.3333333333333392E-2</v>
      </c>
      <c r="EP44" s="430">
        <f t="shared" si="59"/>
        <v>120</v>
      </c>
      <c r="EQ44" s="402">
        <f t="shared" si="60"/>
        <v>8</v>
      </c>
      <c r="ER44" s="438">
        <f t="shared" si="61"/>
        <v>5.3333333333333392E-2</v>
      </c>
      <c r="ES44" s="430">
        <f t="shared" si="62"/>
        <v>150</v>
      </c>
      <c r="ET44" s="402">
        <f t="shared" si="63"/>
        <v>10</v>
      </c>
      <c r="EU44" s="438">
        <f t="shared" si="64"/>
        <v>5.3333333333333392E-2</v>
      </c>
      <c r="EV44" s="430">
        <f t="shared" si="65"/>
        <v>300</v>
      </c>
      <c r="EW44" s="402">
        <f t="shared" si="66"/>
        <v>20</v>
      </c>
      <c r="EX44" s="438">
        <f t="shared" si="67"/>
        <v>5.3333333333333392E-2</v>
      </c>
      <c r="EY44" s="430">
        <f t="shared" si="68"/>
        <v>600</v>
      </c>
      <c r="EZ44" s="402">
        <f t="shared" si="69"/>
        <v>40</v>
      </c>
      <c r="FA44" s="438">
        <f t="shared" si="70"/>
        <v>5.3333333333333392E-2</v>
      </c>
      <c r="FB44" s="430">
        <f t="shared" si="71"/>
        <v>900</v>
      </c>
      <c r="FC44" s="402">
        <f t="shared" si="72"/>
        <v>60</v>
      </c>
      <c r="FD44" s="438">
        <f t="shared" si="73"/>
        <v>5.3333333333333392E-2</v>
      </c>
      <c r="FE44" s="430">
        <f t="shared" si="74"/>
        <v>1200</v>
      </c>
      <c r="FF44" s="402">
        <f t="shared" si="75"/>
        <v>80</v>
      </c>
      <c r="FG44" s="438">
        <f t="shared" si="76"/>
        <v>5.3333333333333392E-2</v>
      </c>
      <c r="FH44" s="430">
        <f t="shared" si="77"/>
        <v>1500</v>
      </c>
      <c r="FI44" s="402">
        <f t="shared" si="78"/>
        <v>100</v>
      </c>
      <c r="FJ44" s="438">
        <f t="shared" si="79"/>
        <v>5.3333333333333392E-2</v>
      </c>
    </row>
    <row r="45" spans="1:166" x14ac:dyDescent="0.45">
      <c r="A45" s="1">
        <v>41</v>
      </c>
      <c r="B45" s="306" t="s">
        <v>1286</v>
      </c>
      <c r="C45" s="1">
        <v>6</v>
      </c>
      <c r="D45" s="1">
        <v>6</v>
      </c>
      <c r="E45" s="1">
        <v>150</v>
      </c>
      <c r="F45" s="1"/>
      <c r="G45" s="1"/>
      <c r="H45" s="1">
        <f t="shared" si="137"/>
        <v>0</v>
      </c>
      <c r="I45" s="1">
        <f t="shared" si="138"/>
        <v>0</v>
      </c>
      <c r="J45" s="1">
        <v>0</v>
      </c>
      <c r="K45" s="313">
        <v>0</v>
      </c>
      <c r="L45" s="314">
        <v>10</v>
      </c>
      <c r="M45" s="320">
        <f>ROUND(IF(L45&lt;&gt;0,$BI$4/('全局参数|GlobalPar'!$B$18/10000/E45)/L45,0),6)</f>
        <v>0</v>
      </c>
      <c r="N45" s="320">
        <f t="shared" si="110"/>
        <v>0</v>
      </c>
      <c r="O45" s="323">
        <v>0</v>
      </c>
      <c r="P45" s="322">
        <v>15</v>
      </c>
      <c r="Q45" s="331">
        <v>1</v>
      </c>
      <c r="R45" s="332" t="s">
        <v>1144</v>
      </c>
      <c r="S45" s="1"/>
      <c r="T45" s="333">
        <v>0</v>
      </c>
      <c r="U45" s="348">
        <v>0</v>
      </c>
      <c r="V45" s="348">
        <v>0</v>
      </c>
      <c r="W45" s="348">
        <v>0</v>
      </c>
      <c r="X45" s="1" t="s">
        <v>1145</v>
      </c>
      <c r="Y45" s="192" t="s">
        <v>1146</v>
      </c>
      <c r="Z45" s="192">
        <v>0</v>
      </c>
      <c r="AA45" s="192">
        <v>0</v>
      </c>
      <c r="AB45" s="354">
        <v>12</v>
      </c>
      <c r="AC45" s="1">
        <v>9</v>
      </c>
      <c r="AD45" s="1">
        <v>0</v>
      </c>
      <c r="AE45" s="1">
        <v>3</v>
      </c>
      <c r="AF45" s="1">
        <v>6</v>
      </c>
      <c r="AG45" s="1">
        <v>0</v>
      </c>
      <c r="AH45" s="1">
        <v>1.5</v>
      </c>
      <c r="AI45" s="1">
        <v>1.5</v>
      </c>
      <c r="AJ45" s="1">
        <v>1</v>
      </c>
      <c r="AK45" s="1">
        <v>1</v>
      </c>
      <c r="AL45" s="196" t="s">
        <v>1267</v>
      </c>
      <c r="AM45" s="1" t="s">
        <v>492</v>
      </c>
      <c r="AN45" s="1" t="s">
        <v>1287</v>
      </c>
      <c r="AO45" s="356">
        <v>1</v>
      </c>
      <c r="AP45" s="1">
        <v>1000</v>
      </c>
      <c r="AQ45" s="1">
        <v>0.18</v>
      </c>
      <c r="AR45" s="196">
        <v>0.3</v>
      </c>
      <c r="AS45" s="1">
        <v>1</v>
      </c>
      <c r="AT45" s="1" t="s">
        <v>1275</v>
      </c>
      <c r="AU45" s="358" t="s">
        <v>1288</v>
      </c>
      <c r="AV45" s="358" t="s">
        <v>1289</v>
      </c>
      <c r="AW45" s="360" t="s">
        <v>189</v>
      </c>
      <c r="AX45" s="360" t="s">
        <v>179</v>
      </c>
      <c r="AY45" s="1">
        <f t="shared" si="111"/>
        <v>15</v>
      </c>
      <c r="AZ45" s="362">
        <f t="shared" si="127"/>
        <v>4</v>
      </c>
      <c r="BA45" s="1" t="s">
        <v>1150</v>
      </c>
      <c r="BB45" s="1">
        <f t="shared" si="112"/>
        <v>1.119</v>
      </c>
      <c r="BC45" s="1"/>
      <c r="BD45" s="1">
        <f t="shared" si="128"/>
        <v>150</v>
      </c>
      <c r="BE45" s="314">
        <f t="shared" ref="BE45:BE50" si="141">IF(N45=0,BD45,BD45*(1+$BL$1))</f>
        <v>150</v>
      </c>
      <c r="BG45" s="1">
        <f t="shared" si="129"/>
        <v>0</v>
      </c>
      <c r="BR45" s="301">
        <f t="shared" si="130"/>
        <v>165</v>
      </c>
      <c r="BS45" s="356">
        <f t="shared" si="101"/>
        <v>0.1</v>
      </c>
      <c r="BT45" s="297">
        <v>10</v>
      </c>
      <c r="BU45" s="1">
        <v>5</v>
      </c>
      <c r="BV45" s="297">
        <v>12</v>
      </c>
      <c r="BW45" s="1">
        <v>2</v>
      </c>
      <c r="BX45" s="297">
        <v>15</v>
      </c>
      <c r="BY45" s="1">
        <v>2</v>
      </c>
      <c r="BZ45" s="1">
        <f t="shared" si="80"/>
        <v>11.555555555555555</v>
      </c>
      <c r="CA45" s="1">
        <f t="shared" si="136"/>
        <v>7.5</v>
      </c>
      <c r="CB45" s="389">
        <f t="shared" si="104"/>
        <v>0.17307700000000001</v>
      </c>
      <c r="CC45" s="1">
        <f t="shared" si="136"/>
        <v>15</v>
      </c>
      <c r="CD45" s="391">
        <f t="shared" si="105"/>
        <v>8.6538000000000004E-2</v>
      </c>
      <c r="CE45" s="1">
        <f t="shared" si="136"/>
        <v>22.5</v>
      </c>
      <c r="CF45" s="392">
        <f t="shared" si="106"/>
        <v>5.7692E-2</v>
      </c>
      <c r="CH45" s="190">
        <v>0</v>
      </c>
      <c r="CI45" s="403">
        <v>0</v>
      </c>
      <c r="CJ45" s="402">
        <f t="shared" si="131"/>
        <v>0</v>
      </c>
      <c r="CK45" s="411">
        <f t="shared" si="132"/>
        <v>0</v>
      </c>
      <c r="CL45" s="411">
        <f t="shared" si="18"/>
        <v>0</v>
      </c>
      <c r="CM45" s="412">
        <f t="shared" si="82"/>
        <v>0</v>
      </c>
      <c r="CN45" s="413">
        <f t="shared" si="133"/>
        <v>0</v>
      </c>
      <c r="CO45" s="411">
        <f t="shared" si="20"/>
        <v>0</v>
      </c>
      <c r="CP45" s="429" t="e">
        <f t="shared" si="134"/>
        <v>#DIV/0!</v>
      </c>
      <c r="CQ45" s="430">
        <f t="shared" si="83"/>
        <v>15</v>
      </c>
      <c r="CR45" s="431">
        <f t="shared" si="84"/>
        <v>1</v>
      </c>
      <c r="CS45" s="332"/>
      <c r="CT45" s="322">
        <v>15</v>
      </c>
      <c r="CU45" s="331">
        <v>1</v>
      </c>
      <c r="CW45" s="436"/>
      <c r="DB45" s="438"/>
      <c r="DC45" s="430">
        <v>0</v>
      </c>
      <c r="DD45" s="402">
        <v>1</v>
      </c>
      <c r="DE45" s="438">
        <f t="shared" si="22"/>
        <v>0</v>
      </c>
      <c r="DF45" s="430">
        <f t="shared" si="23"/>
        <v>0</v>
      </c>
      <c r="DG45" s="402">
        <f t="shared" si="85"/>
        <v>1</v>
      </c>
      <c r="DH45" s="438">
        <f t="shared" si="25"/>
        <v>0</v>
      </c>
      <c r="DI45" s="430">
        <f t="shared" si="26"/>
        <v>0</v>
      </c>
      <c r="DJ45" s="402">
        <f t="shared" si="86"/>
        <v>1</v>
      </c>
      <c r="DK45" s="438">
        <f t="shared" si="28"/>
        <v>0</v>
      </c>
      <c r="DL45" s="430">
        <f t="shared" si="87"/>
        <v>0</v>
      </c>
      <c r="DM45" s="402">
        <f t="shared" si="88"/>
        <v>1</v>
      </c>
      <c r="DN45" s="438">
        <f t="shared" si="31"/>
        <v>0</v>
      </c>
      <c r="DO45" s="430">
        <f t="shared" si="89"/>
        <v>0</v>
      </c>
      <c r="DP45" s="402">
        <f t="shared" si="90"/>
        <v>1</v>
      </c>
      <c r="DQ45" s="438">
        <f t="shared" si="34"/>
        <v>0</v>
      </c>
      <c r="DR45" s="430">
        <f t="shared" si="91"/>
        <v>0</v>
      </c>
      <c r="DS45" s="402">
        <f t="shared" si="92"/>
        <v>1</v>
      </c>
      <c r="DT45" s="438">
        <f t="shared" si="37"/>
        <v>0</v>
      </c>
      <c r="DU45" s="430">
        <f t="shared" si="93"/>
        <v>0</v>
      </c>
      <c r="DV45" s="402">
        <f t="shared" si="94"/>
        <v>1</v>
      </c>
      <c r="DW45" s="438">
        <f t="shared" si="40"/>
        <v>0</v>
      </c>
      <c r="DX45" s="430">
        <f t="shared" si="95"/>
        <v>0</v>
      </c>
      <c r="DY45" s="402">
        <f t="shared" si="96"/>
        <v>1</v>
      </c>
      <c r="DZ45" s="438">
        <f t="shared" si="43"/>
        <v>0</v>
      </c>
      <c r="EA45" s="430">
        <f t="shared" si="97"/>
        <v>0</v>
      </c>
      <c r="EB45" s="402">
        <f t="shared" si="98"/>
        <v>1</v>
      </c>
      <c r="EC45" s="438">
        <f t="shared" si="46"/>
        <v>0</v>
      </c>
      <c r="ED45" s="430">
        <f t="shared" si="99"/>
        <v>0</v>
      </c>
      <c r="EE45" s="402">
        <f t="shared" si="100"/>
        <v>1</v>
      </c>
      <c r="EF45" s="438">
        <f t="shared" si="49"/>
        <v>0</v>
      </c>
      <c r="EG45" s="430">
        <f t="shared" si="50"/>
        <v>0</v>
      </c>
      <c r="EH45" s="402">
        <f t="shared" si="51"/>
        <v>2</v>
      </c>
      <c r="EI45" s="438">
        <f t="shared" si="52"/>
        <v>0</v>
      </c>
      <c r="EJ45" s="430">
        <f t="shared" si="53"/>
        <v>0</v>
      </c>
      <c r="EK45" s="402">
        <f t="shared" si="54"/>
        <v>4</v>
      </c>
      <c r="EL45" s="438">
        <f t="shared" si="55"/>
        <v>0</v>
      </c>
      <c r="EM45" s="430">
        <f t="shared" si="56"/>
        <v>0</v>
      </c>
      <c r="EN45" s="402">
        <f t="shared" si="57"/>
        <v>6</v>
      </c>
      <c r="EO45" s="438">
        <f t="shared" si="58"/>
        <v>0</v>
      </c>
      <c r="EP45" s="430">
        <f t="shared" si="59"/>
        <v>0</v>
      </c>
      <c r="EQ45" s="402">
        <f t="shared" si="60"/>
        <v>8</v>
      </c>
      <c r="ER45" s="438">
        <f t="shared" si="61"/>
        <v>0</v>
      </c>
      <c r="ES45" s="430">
        <f t="shared" si="62"/>
        <v>0</v>
      </c>
      <c r="ET45" s="402">
        <f t="shared" si="63"/>
        <v>10</v>
      </c>
      <c r="EU45" s="438">
        <f t="shared" si="64"/>
        <v>0</v>
      </c>
      <c r="EV45" s="430">
        <f t="shared" si="65"/>
        <v>0</v>
      </c>
      <c r="EW45" s="402">
        <f t="shared" si="66"/>
        <v>20</v>
      </c>
      <c r="EX45" s="438">
        <f t="shared" si="67"/>
        <v>0</v>
      </c>
      <c r="EY45" s="430">
        <f t="shared" si="68"/>
        <v>0</v>
      </c>
      <c r="EZ45" s="402">
        <f t="shared" si="69"/>
        <v>40</v>
      </c>
      <c r="FA45" s="438">
        <f t="shared" si="70"/>
        <v>0</v>
      </c>
      <c r="FB45" s="430">
        <f t="shared" si="71"/>
        <v>0</v>
      </c>
      <c r="FC45" s="402">
        <f t="shared" si="72"/>
        <v>60</v>
      </c>
      <c r="FD45" s="438">
        <f t="shared" si="73"/>
        <v>0</v>
      </c>
      <c r="FE45" s="430">
        <f t="shared" si="74"/>
        <v>0</v>
      </c>
      <c r="FF45" s="402">
        <f t="shared" si="75"/>
        <v>80</v>
      </c>
      <c r="FG45" s="438">
        <f t="shared" si="76"/>
        <v>0</v>
      </c>
      <c r="FH45" s="430">
        <f t="shared" si="77"/>
        <v>0</v>
      </c>
      <c r="FI45" s="402">
        <f t="shared" si="78"/>
        <v>100</v>
      </c>
      <c r="FJ45" s="438">
        <f t="shared" si="79"/>
        <v>0</v>
      </c>
    </row>
    <row r="46" spans="1:166" x14ac:dyDescent="0.45">
      <c r="A46" s="1">
        <v>42</v>
      </c>
      <c r="B46" s="306" t="s">
        <v>1290</v>
      </c>
      <c r="C46" s="1">
        <v>6</v>
      </c>
      <c r="D46" s="1">
        <v>5</v>
      </c>
      <c r="E46" s="1">
        <v>150</v>
      </c>
      <c r="F46" s="1"/>
      <c r="G46" s="1"/>
      <c r="H46" s="1">
        <f t="shared" si="137"/>
        <v>0</v>
      </c>
      <c r="I46" s="1">
        <f t="shared" si="138"/>
        <v>0</v>
      </c>
      <c r="J46" s="1">
        <v>0</v>
      </c>
      <c r="K46" s="313">
        <v>0</v>
      </c>
      <c r="L46" s="314">
        <v>15</v>
      </c>
      <c r="M46" s="320">
        <f>ROUND(IF(L46&lt;&gt;0,$BI$4/('全局参数|GlobalPar'!$B$18/10000/E46)/L46,0),6)</f>
        <v>0</v>
      </c>
      <c r="N46" s="320">
        <f t="shared" si="110"/>
        <v>0</v>
      </c>
      <c r="O46" s="323">
        <v>0</v>
      </c>
      <c r="P46" s="322">
        <v>15</v>
      </c>
      <c r="Q46" s="331">
        <v>1</v>
      </c>
      <c r="R46" s="332" t="s">
        <v>1144</v>
      </c>
      <c r="S46" s="1"/>
      <c r="T46" s="333">
        <v>0</v>
      </c>
      <c r="U46" s="348">
        <v>0</v>
      </c>
      <c r="V46" s="348">
        <v>0</v>
      </c>
      <c r="W46" s="348">
        <v>0</v>
      </c>
      <c r="X46" s="1" t="s">
        <v>1145</v>
      </c>
      <c r="Y46" s="192" t="s">
        <v>1146</v>
      </c>
      <c r="Z46" s="192">
        <v>0</v>
      </c>
      <c r="AA46" s="192">
        <v>0</v>
      </c>
      <c r="AB46" s="354">
        <v>12</v>
      </c>
      <c r="AC46" s="1">
        <v>10</v>
      </c>
      <c r="AD46" s="1">
        <v>0</v>
      </c>
      <c r="AE46" s="1">
        <v>3</v>
      </c>
      <c r="AF46" s="1">
        <v>6</v>
      </c>
      <c r="AG46" s="1">
        <v>0</v>
      </c>
      <c r="AH46" s="1">
        <v>1.4</v>
      </c>
      <c r="AI46" s="1">
        <v>1.4</v>
      </c>
      <c r="AJ46" s="1">
        <v>1</v>
      </c>
      <c r="AK46" s="1">
        <v>1</v>
      </c>
      <c r="AL46" s="1" t="s">
        <v>1281</v>
      </c>
      <c r="AM46" s="1">
        <v>1</v>
      </c>
      <c r="AN46" s="1">
        <v>1</v>
      </c>
      <c r="AO46" s="356">
        <v>1</v>
      </c>
      <c r="AP46" s="1">
        <v>1000</v>
      </c>
      <c r="AQ46" s="1">
        <v>0.18</v>
      </c>
      <c r="AR46" s="1">
        <v>0.8</v>
      </c>
      <c r="AS46" s="1">
        <v>1</v>
      </c>
      <c r="AT46" s="1" t="s">
        <v>1275</v>
      </c>
      <c r="AU46" s="358" t="s">
        <v>1291</v>
      </c>
      <c r="AV46" s="358" t="s">
        <v>1292</v>
      </c>
      <c r="AW46" s="300" t="s">
        <v>307</v>
      </c>
      <c r="AX46" s="360" t="s">
        <v>333</v>
      </c>
      <c r="AY46" s="1">
        <f t="shared" si="111"/>
        <v>15</v>
      </c>
      <c r="AZ46" s="362">
        <f t="shared" si="127"/>
        <v>4</v>
      </c>
      <c r="BA46" s="1" t="s">
        <v>1150</v>
      </c>
      <c r="BB46" s="1">
        <f t="shared" si="112"/>
        <v>1.0449999999999999</v>
      </c>
      <c r="BC46" s="1"/>
      <c r="BD46" s="1">
        <f t="shared" si="128"/>
        <v>150</v>
      </c>
      <c r="BE46" s="1">
        <f t="shared" si="141"/>
        <v>150</v>
      </c>
      <c r="BG46" s="1">
        <f t="shared" si="129"/>
        <v>0</v>
      </c>
      <c r="BR46" s="301">
        <f t="shared" si="130"/>
        <v>165</v>
      </c>
      <c r="BS46" s="385">
        <v>0</v>
      </c>
      <c r="BT46" s="297">
        <v>12</v>
      </c>
      <c r="BU46" s="1">
        <v>5</v>
      </c>
      <c r="BV46" s="297">
        <v>14</v>
      </c>
      <c r="BW46" s="1">
        <v>2</v>
      </c>
      <c r="BX46" s="297">
        <v>16</v>
      </c>
      <c r="BY46" s="1">
        <v>2</v>
      </c>
      <c r="BZ46" s="1">
        <f t="shared" si="80"/>
        <v>13.333333333333334</v>
      </c>
      <c r="CA46" s="1">
        <f t="shared" si="136"/>
        <v>7.5</v>
      </c>
      <c r="CB46" s="389">
        <f t="shared" si="104"/>
        <v>0</v>
      </c>
      <c r="CC46" s="1">
        <f t="shared" si="136"/>
        <v>15</v>
      </c>
      <c r="CD46" s="391">
        <f t="shared" si="105"/>
        <v>0</v>
      </c>
      <c r="CE46" s="1">
        <f t="shared" si="136"/>
        <v>22.5</v>
      </c>
      <c r="CF46" s="392">
        <f t="shared" si="106"/>
        <v>0</v>
      </c>
      <c r="CH46" s="190">
        <v>2E-3</v>
      </c>
      <c r="CI46" s="403">
        <f>CI5</f>
        <v>0</v>
      </c>
      <c r="CJ46" s="402">
        <f t="shared" si="131"/>
        <v>0</v>
      </c>
      <c r="CK46" s="411">
        <f t="shared" si="132"/>
        <v>0</v>
      </c>
      <c r="CL46" s="411">
        <f t="shared" si="18"/>
        <v>0</v>
      </c>
      <c r="CM46" s="412">
        <f t="shared" si="82"/>
        <v>0</v>
      </c>
      <c r="CN46" s="413">
        <f t="shared" si="133"/>
        <v>0</v>
      </c>
      <c r="CO46" s="411">
        <f t="shared" si="20"/>
        <v>0</v>
      </c>
      <c r="CP46" s="429" t="e">
        <f t="shared" si="134"/>
        <v>#DIV/0!</v>
      </c>
      <c r="CQ46" s="430">
        <f t="shared" si="83"/>
        <v>15</v>
      </c>
      <c r="CR46" s="431">
        <f t="shared" si="84"/>
        <v>1</v>
      </c>
      <c r="CS46" s="332"/>
      <c r="CT46" s="322">
        <v>15</v>
      </c>
      <c r="CU46" s="331">
        <v>1</v>
      </c>
      <c r="CW46" s="436"/>
      <c r="DB46" s="438"/>
      <c r="DC46" s="430">
        <v>15</v>
      </c>
      <c r="DD46" s="402">
        <v>1</v>
      </c>
      <c r="DE46" s="438">
        <f t="shared" si="22"/>
        <v>1.6000000000000016E-3</v>
      </c>
      <c r="DF46" s="430">
        <f t="shared" si="23"/>
        <v>15</v>
      </c>
      <c r="DG46" s="402">
        <f t="shared" si="85"/>
        <v>1</v>
      </c>
      <c r="DH46" s="438">
        <f t="shared" si="25"/>
        <v>3.2000000000000032E-3</v>
      </c>
      <c r="DI46" s="430">
        <f t="shared" si="26"/>
        <v>15</v>
      </c>
      <c r="DJ46" s="402">
        <f t="shared" si="86"/>
        <v>1</v>
      </c>
      <c r="DK46" s="438">
        <f t="shared" si="28"/>
        <v>4.8000000000000048E-3</v>
      </c>
      <c r="DL46" s="430">
        <f t="shared" si="87"/>
        <v>15</v>
      </c>
      <c r="DM46" s="402">
        <f t="shared" si="88"/>
        <v>1</v>
      </c>
      <c r="DN46" s="438">
        <f t="shared" si="31"/>
        <v>6.4000000000000064E-3</v>
      </c>
      <c r="DO46" s="430">
        <f t="shared" si="89"/>
        <v>15</v>
      </c>
      <c r="DP46" s="402">
        <f t="shared" si="90"/>
        <v>1</v>
      </c>
      <c r="DQ46" s="438">
        <f t="shared" si="34"/>
        <v>8.0000000000000088E-3</v>
      </c>
      <c r="DR46" s="430">
        <f t="shared" si="91"/>
        <v>15</v>
      </c>
      <c r="DS46" s="402">
        <f t="shared" si="92"/>
        <v>1</v>
      </c>
      <c r="DT46" s="438">
        <f t="shared" si="37"/>
        <v>1.6000000000000018E-2</v>
      </c>
      <c r="DU46" s="430">
        <f t="shared" si="93"/>
        <v>15</v>
      </c>
      <c r="DV46" s="402">
        <f t="shared" si="94"/>
        <v>1</v>
      </c>
      <c r="DW46" s="438">
        <f t="shared" si="40"/>
        <v>3.2000000000000035E-2</v>
      </c>
      <c r="DX46" s="430">
        <f t="shared" si="95"/>
        <v>15</v>
      </c>
      <c r="DY46" s="402">
        <f t="shared" si="96"/>
        <v>1</v>
      </c>
      <c r="DZ46" s="438">
        <f t="shared" si="43"/>
        <v>4.800000000000005E-2</v>
      </c>
      <c r="EA46" s="430">
        <f t="shared" si="97"/>
        <v>15</v>
      </c>
      <c r="EB46" s="402">
        <f t="shared" si="98"/>
        <v>1</v>
      </c>
      <c r="EC46" s="438">
        <f t="shared" si="46"/>
        <v>6.4000000000000071E-2</v>
      </c>
      <c r="ED46" s="430">
        <f t="shared" si="99"/>
        <v>15</v>
      </c>
      <c r="EE46" s="402">
        <f t="shared" si="100"/>
        <v>1</v>
      </c>
      <c r="EF46" s="438">
        <f t="shared" si="49"/>
        <v>8.0000000000000085E-2</v>
      </c>
      <c r="EG46" s="430">
        <f t="shared" ref="EG46:FH61" si="142">$ED46*EG$4/$ED$4</f>
        <v>30</v>
      </c>
      <c r="EH46" s="402">
        <f t="shared" si="51"/>
        <v>2</v>
      </c>
      <c r="EI46" s="438">
        <f t="shared" si="52"/>
        <v>8.0000000000000085E-2</v>
      </c>
      <c r="EJ46" s="430">
        <f t="shared" si="142"/>
        <v>60</v>
      </c>
      <c r="EK46" s="402">
        <f t="shared" si="54"/>
        <v>4</v>
      </c>
      <c r="EL46" s="438">
        <f t="shared" si="55"/>
        <v>8.0000000000000085E-2</v>
      </c>
      <c r="EM46" s="430">
        <f t="shared" si="142"/>
        <v>90</v>
      </c>
      <c r="EN46" s="402">
        <f t="shared" si="57"/>
        <v>6</v>
      </c>
      <c r="EO46" s="438">
        <f t="shared" si="58"/>
        <v>8.0000000000000085E-2</v>
      </c>
      <c r="EP46" s="430">
        <f t="shared" si="142"/>
        <v>120</v>
      </c>
      <c r="EQ46" s="402">
        <f t="shared" si="60"/>
        <v>8</v>
      </c>
      <c r="ER46" s="438">
        <f t="shared" si="61"/>
        <v>8.0000000000000085E-2</v>
      </c>
      <c r="ES46" s="430">
        <f t="shared" si="142"/>
        <v>150</v>
      </c>
      <c r="ET46" s="402">
        <f t="shared" si="63"/>
        <v>10</v>
      </c>
      <c r="EU46" s="438">
        <f t="shared" si="64"/>
        <v>8.0000000000000085E-2</v>
      </c>
      <c r="EV46" s="430">
        <f t="shared" si="142"/>
        <v>300</v>
      </c>
      <c r="EW46" s="402">
        <f t="shared" si="66"/>
        <v>20</v>
      </c>
      <c r="EX46" s="438">
        <f t="shared" si="67"/>
        <v>8.0000000000000085E-2</v>
      </c>
      <c r="EY46" s="430">
        <f t="shared" si="142"/>
        <v>600</v>
      </c>
      <c r="EZ46" s="402">
        <f t="shared" si="69"/>
        <v>40</v>
      </c>
      <c r="FA46" s="438">
        <f t="shared" si="70"/>
        <v>8.0000000000000085E-2</v>
      </c>
      <c r="FB46" s="430">
        <f t="shared" si="142"/>
        <v>900</v>
      </c>
      <c r="FC46" s="402">
        <f t="shared" si="72"/>
        <v>60</v>
      </c>
      <c r="FD46" s="438">
        <f t="shared" si="73"/>
        <v>8.0000000000000085E-2</v>
      </c>
      <c r="FE46" s="430">
        <f t="shared" si="142"/>
        <v>1200</v>
      </c>
      <c r="FF46" s="402">
        <f t="shared" si="75"/>
        <v>80</v>
      </c>
      <c r="FG46" s="438">
        <f t="shared" si="76"/>
        <v>8.0000000000000085E-2</v>
      </c>
      <c r="FH46" s="430">
        <f t="shared" si="142"/>
        <v>1500</v>
      </c>
      <c r="FI46" s="402">
        <f t="shared" si="78"/>
        <v>100</v>
      </c>
      <c r="FJ46" s="438">
        <f t="shared" si="79"/>
        <v>8.0000000000000085E-2</v>
      </c>
    </row>
    <row r="47" spans="1:166" x14ac:dyDescent="0.45">
      <c r="A47" s="1">
        <v>43</v>
      </c>
      <c r="C47" s="1">
        <v>6</v>
      </c>
      <c r="D47" s="1">
        <v>8</v>
      </c>
      <c r="E47" s="297">
        <v>150</v>
      </c>
      <c r="F47" s="1"/>
      <c r="G47" s="1"/>
      <c r="H47" s="1">
        <f t="shared" si="137"/>
        <v>0</v>
      </c>
      <c r="I47" s="1">
        <f t="shared" si="138"/>
        <v>0</v>
      </c>
      <c r="J47" s="1">
        <v>0</v>
      </c>
      <c r="K47" s="313">
        <v>0</v>
      </c>
      <c r="L47" s="314">
        <v>15</v>
      </c>
      <c r="M47" s="320">
        <f>ROUND(IF(L47&lt;&gt;0,$BI$4/('全局参数|GlobalPar'!$B$18/10000/E47)/L47,0),6)</f>
        <v>0</v>
      </c>
      <c r="N47" s="320">
        <f t="shared" si="110"/>
        <v>0</v>
      </c>
      <c r="O47" s="323">
        <v>0</v>
      </c>
      <c r="P47" s="322">
        <v>15</v>
      </c>
      <c r="Q47" s="331">
        <v>1</v>
      </c>
      <c r="R47" s="332" t="s">
        <v>1144</v>
      </c>
      <c r="S47" s="1"/>
      <c r="T47" s="1">
        <f t="shared" ref="T47" si="143">T34</f>
        <v>0</v>
      </c>
      <c r="U47" s="348">
        <v>0</v>
      </c>
      <c r="V47" s="348">
        <v>0</v>
      </c>
      <c r="W47" s="348">
        <v>0</v>
      </c>
      <c r="X47" s="1" t="s">
        <v>1145</v>
      </c>
      <c r="Y47" s="192" t="s">
        <v>1146</v>
      </c>
      <c r="Z47" s="192">
        <v>0</v>
      </c>
      <c r="AA47" s="192">
        <v>0</v>
      </c>
      <c r="AB47" s="354">
        <v>12</v>
      </c>
      <c r="AC47" s="1">
        <v>10</v>
      </c>
      <c r="AD47" s="1">
        <v>0</v>
      </c>
      <c r="AE47" s="1">
        <v>3</v>
      </c>
      <c r="AF47" s="1">
        <v>6</v>
      </c>
      <c r="AG47" s="1">
        <v>0</v>
      </c>
      <c r="AH47" s="1">
        <v>2.25</v>
      </c>
      <c r="AI47" s="1"/>
      <c r="AJ47" s="1">
        <v>1</v>
      </c>
      <c r="AK47" s="1">
        <v>1</v>
      </c>
      <c r="AL47" s="196" t="s">
        <v>1267</v>
      </c>
      <c r="AM47" s="1" t="s">
        <v>492</v>
      </c>
      <c r="AN47" s="1" t="s">
        <v>1287</v>
      </c>
      <c r="AO47" s="356">
        <v>1</v>
      </c>
      <c r="AP47" s="1">
        <v>1000</v>
      </c>
      <c r="AQ47" s="1">
        <v>0.18</v>
      </c>
      <c r="AR47" s="196">
        <v>0.3</v>
      </c>
      <c r="AS47" s="1">
        <v>1</v>
      </c>
      <c r="AT47" s="1" t="s">
        <v>1275</v>
      </c>
      <c r="AU47" s="358" t="s">
        <v>1288</v>
      </c>
      <c r="AV47" s="358" t="s">
        <v>1289</v>
      </c>
      <c r="AW47" s="360" t="s">
        <v>189</v>
      </c>
      <c r="AX47" s="360" t="s">
        <v>179</v>
      </c>
      <c r="AY47" s="1">
        <f t="shared" si="111"/>
        <v>15</v>
      </c>
      <c r="AZ47" s="362">
        <f t="shared" si="127"/>
        <v>4</v>
      </c>
      <c r="BA47" s="1" t="s">
        <v>1150</v>
      </c>
      <c r="BB47" s="1">
        <f t="shared" si="112"/>
        <v>1.679</v>
      </c>
      <c r="BC47" s="1"/>
      <c r="BD47" s="1">
        <f t="shared" si="128"/>
        <v>150</v>
      </c>
      <c r="BE47" s="1">
        <f t="shared" si="141"/>
        <v>150</v>
      </c>
      <c r="BG47" s="1">
        <f t="shared" si="129"/>
        <v>0</v>
      </c>
      <c r="BR47" s="301">
        <f t="shared" si="130"/>
        <v>165</v>
      </c>
      <c r="BS47" s="385">
        <v>0</v>
      </c>
      <c r="BT47" s="297">
        <v>12</v>
      </c>
      <c r="BU47" s="1">
        <v>5</v>
      </c>
      <c r="BV47" s="297">
        <v>14</v>
      </c>
      <c r="BW47" s="1">
        <v>2</v>
      </c>
      <c r="BX47" s="297">
        <v>16</v>
      </c>
      <c r="BY47" s="1">
        <v>2</v>
      </c>
      <c r="BZ47" s="1">
        <f t="shared" si="80"/>
        <v>13.333333333333334</v>
      </c>
      <c r="CA47" s="1">
        <f t="shared" si="136"/>
        <v>7.5</v>
      </c>
      <c r="CB47" s="389">
        <f t="shared" si="104"/>
        <v>0</v>
      </c>
      <c r="CC47" s="1">
        <f t="shared" si="136"/>
        <v>15</v>
      </c>
      <c r="CD47" s="391">
        <f t="shared" si="105"/>
        <v>0</v>
      </c>
      <c r="CE47" s="1">
        <f t="shared" si="136"/>
        <v>22.5</v>
      </c>
      <c r="CF47" s="392">
        <f t="shared" si="106"/>
        <v>0</v>
      </c>
      <c r="CH47" s="190">
        <v>0</v>
      </c>
      <c r="CI47" s="403">
        <v>0</v>
      </c>
      <c r="CJ47" s="402">
        <f t="shared" si="131"/>
        <v>0</v>
      </c>
      <c r="CK47" s="411">
        <f t="shared" si="132"/>
        <v>0</v>
      </c>
      <c r="CL47" s="411">
        <f t="shared" si="18"/>
        <v>0</v>
      </c>
      <c r="CM47" s="412">
        <f t="shared" si="82"/>
        <v>0</v>
      </c>
      <c r="CN47" s="413">
        <f t="shared" si="133"/>
        <v>0</v>
      </c>
      <c r="CO47" s="411">
        <f t="shared" si="20"/>
        <v>0</v>
      </c>
      <c r="CP47" s="429" t="e">
        <f t="shared" si="134"/>
        <v>#DIV/0!</v>
      </c>
      <c r="CQ47" s="430">
        <f t="shared" si="83"/>
        <v>15</v>
      </c>
      <c r="CR47" s="431">
        <f t="shared" si="84"/>
        <v>1</v>
      </c>
      <c r="CS47" s="332"/>
      <c r="CT47" s="322">
        <v>15</v>
      </c>
      <c r="CU47" s="331">
        <v>1</v>
      </c>
      <c r="CW47" s="436"/>
      <c r="DB47" s="438"/>
      <c r="DC47" s="430">
        <v>0</v>
      </c>
      <c r="DD47" s="402">
        <v>1</v>
      </c>
      <c r="DE47" s="438">
        <f t="shared" si="22"/>
        <v>0</v>
      </c>
      <c r="DF47" s="430">
        <f t="shared" si="23"/>
        <v>0</v>
      </c>
      <c r="DG47" s="402">
        <f t="shared" si="85"/>
        <v>1</v>
      </c>
      <c r="DH47" s="438">
        <f t="shared" si="25"/>
        <v>0</v>
      </c>
      <c r="DI47" s="430">
        <f t="shared" si="26"/>
        <v>0</v>
      </c>
      <c r="DJ47" s="402">
        <f t="shared" si="86"/>
        <v>1</v>
      </c>
      <c r="DK47" s="438">
        <f t="shared" si="28"/>
        <v>0</v>
      </c>
      <c r="DL47" s="430">
        <f t="shared" si="87"/>
        <v>0</v>
      </c>
      <c r="DM47" s="402">
        <f t="shared" si="88"/>
        <v>1</v>
      </c>
      <c r="DN47" s="438">
        <f t="shared" si="31"/>
        <v>0</v>
      </c>
      <c r="DO47" s="430">
        <f t="shared" si="89"/>
        <v>0</v>
      </c>
      <c r="DP47" s="402">
        <f t="shared" si="90"/>
        <v>1</v>
      </c>
      <c r="DQ47" s="438">
        <f t="shared" si="34"/>
        <v>0</v>
      </c>
      <c r="DR47" s="430">
        <f t="shared" si="91"/>
        <v>0</v>
      </c>
      <c r="DS47" s="402">
        <f t="shared" si="92"/>
        <v>1</v>
      </c>
      <c r="DT47" s="438">
        <f t="shared" si="37"/>
        <v>0</v>
      </c>
      <c r="DU47" s="430">
        <f t="shared" si="93"/>
        <v>0</v>
      </c>
      <c r="DV47" s="402">
        <f t="shared" si="94"/>
        <v>1</v>
      </c>
      <c r="DW47" s="438">
        <f t="shared" si="40"/>
        <v>0</v>
      </c>
      <c r="DX47" s="430">
        <f t="shared" si="95"/>
        <v>0</v>
      </c>
      <c r="DY47" s="402">
        <f t="shared" si="96"/>
        <v>1</v>
      </c>
      <c r="DZ47" s="438">
        <f t="shared" si="43"/>
        <v>0</v>
      </c>
      <c r="EA47" s="430">
        <f t="shared" si="97"/>
        <v>0</v>
      </c>
      <c r="EB47" s="402">
        <f t="shared" si="98"/>
        <v>1</v>
      </c>
      <c r="EC47" s="438">
        <f t="shared" si="46"/>
        <v>0</v>
      </c>
      <c r="ED47" s="430">
        <f t="shared" si="99"/>
        <v>0</v>
      </c>
      <c r="EE47" s="402">
        <f t="shared" si="100"/>
        <v>1</v>
      </c>
      <c r="EF47" s="438">
        <f t="shared" si="49"/>
        <v>0</v>
      </c>
      <c r="EG47" s="430">
        <f t="shared" si="142"/>
        <v>0</v>
      </c>
      <c r="EH47" s="402">
        <f t="shared" si="51"/>
        <v>2</v>
      </c>
      <c r="EI47" s="438">
        <f t="shared" si="52"/>
        <v>0</v>
      </c>
      <c r="EJ47" s="430">
        <f t="shared" si="142"/>
        <v>0</v>
      </c>
      <c r="EK47" s="402">
        <f t="shared" si="54"/>
        <v>4</v>
      </c>
      <c r="EL47" s="438">
        <f t="shared" si="55"/>
        <v>0</v>
      </c>
      <c r="EM47" s="430">
        <f t="shared" si="142"/>
        <v>0</v>
      </c>
      <c r="EN47" s="402">
        <f t="shared" si="57"/>
        <v>6</v>
      </c>
      <c r="EO47" s="438">
        <f t="shared" si="58"/>
        <v>0</v>
      </c>
      <c r="EP47" s="430">
        <f t="shared" si="142"/>
        <v>0</v>
      </c>
      <c r="EQ47" s="402">
        <f t="shared" si="60"/>
        <v>8</v>
      </c>
      <c r="ER47" s="438">
        <f t="shared" si="61"/>
        <v>0</v>
      </c>
      <c r="ES47" s="430">
        <f t="shared" si="142"/>
        <v>0</v>
      </c>
      <c r="ET47" s="402">
        <f t="shared" si="63"/>
        <v>10</v>
      </c>
      <c r="EU47" s="438">
        <f t="shared" si="64"/>
        <v>0</v>
      </c>
      <c r="EV47" s="430">
        <f t="shared" si="142"/>
        <v>0</v>
      </c>
      <c r="EW47" s="402">
        <f t="shared" si="66"/>
        <v>20</v>
      </c>
      <c r="EX47" s="438">
        <f t="shared" si="67"/>
        <v>0</v>
      </c>
      <c r="EY47" s="430">
        <f t="shared" si="142"/>
        <v>0</v>
      </c>
      <c r="EZ47" s="402">
        <f t="shared" si="69"/>
        <v>40</v>
      </c>
      <c r="FA47" s="438">
        <f t="shared" si="70"/>
        <v>0</v>
      </c>
      <c r="FB47" s="430">
        <f t="shared" si="142"/>
        <v>0</v>
      </c>
      <c r="FC47" s="402">
        <f t="shared" si="72"/>
        <v>60</v>
      </c>
      <c r="FD47" s="438">
        <f t="shared" si="73"/>
        <v>0</v>
      </c>
      <c r="FE47" s="430">
        <f t="shared" si="142"/>
        <v>0</v>
      </c>
      <c r="FF47" s="402">
        <f t="shared" si="75"/>
        <v>80</v>
      </c>
      <c r="FG47" s="438">
        <f t="shared" si="76"/>
        <v>0</v>
      </c>
      <c r="FH47" s="430">
        <f t="shared" si="142"/>
        <v>0</v>
      </c>
      <c r="FI47" s="402">
        <f t="shared" si="78"/>
        <v>100</v>
      </c>
      <c r="FJ47" s="438">
        <f t="shared" si="79"/>
        <v>0</v>
      </c>
    </row>
    <row r="48" spans="1:166" x14ac:dyDescent="0.45">
      <c r="A48" s="1">
        <v>44</v>
      </c>
      <c r="B48" s="306" t="s">
        <v>1293</v>
      </c>
      <c r="C48" s="308">
        <v>5</v>
      </c>
      <c r="D48" s="1">
        <v>2</v>
      </c>
      <c r="E48" s="1">
        <v>80</v>
      </c>
      <c r="F48" s="1"/>
      <c r="G48" s="196"/>
      <c r="H48" s="1">
        <f t="shared" si="137"/>
        <v>0</v>
      </c>
      <c r="I48" s="1">
        <f t="shared" si="138"/>
        <v>0</v>
      </c>
      <c r="J48" s="1">
        <v>0</v>
      </c>
      <c r="K48" s="313">
        <v>0</v>
      </c>
      <c r="L48" s="314">
        <v>0</v>
      </c>
      <c r="M48" s="320">
        <f>ROUND(IF(L48&lt;&gt;0,$BI$4/('全局参数|GlobalPar'!$B$18/10000/E48)/L48,0),6)</f>
        <v>0</v>
      </c>
      <c r="N48" s="320">
        <f t="shared" si="110"/>
        <v>0</v>
      </c>
      <c r="O48" s="323">
        <v>0</v>
      </c>
      <c r="P48" s="322">
        <v>12</v>
      </c>
      <c r="Q48" s="331">
        <v>1</v>
      </c>
      <c r="R48" s="332" t="s">
        <v>1144</v>
      </c>
      <c r="S48" s="1"/>
      <c r="T48" s="333">
        <v>0</v>
      </c>
      <c r="U48" s="348">
        <v>0</v>
      </c>
      <c r="V48" s="348">
        <v>0</v>
      </c>
      <c r="W48" s="348">
        <v>0</v>
      </c>
      <c r="X48" s="1" t="s">
        <v>1145</v>
      </c>
      <c r="Y48" s="192" t="s">
        <v>1146</v>
      </c>
      <c r="Z48" s="192">
        <v>0</v>
      </c>
      <c r="AA48" s="192">
        <v>0</v>
      </c>
      <c r="AB48" s="354">
        <v>11</v>
      </c>
      <c r="AC48" s="297">
        <v>3</v>
      </c>
      <c r="AD48" s="1">
        <v>0</v>
      </c>
      <c r="AE48" s="1">
        <v>2</v>
      </c>
      <c r="AF48" s="1">
        <v>4</v>
      </c>
      <c r="AG48" s="1">
        <v>0</v>
      </c>
      <c r="AH48" s="1">
        <v>1.5</v>
      </c>
      <c r="AI48" s="1">
        <v>1.3</v>
      </c>
      <c r="AJ48" s="1">
        <v>1</v>
      </c>
      <c r="AK48" s="1">
        <v>1</v>
      </c>
      <c r="AL48" s="1" t="s">
        <v>1215</v>
      </c>
      <c r="AM48" s="1"/>
      <c r="AN48" s="1"/>
      <c r="AO48" s="356">
        <v>1</v>
      </c>
      <c r="AP48" s="1">
        <v>250</v>
      </c>
      <c r="AQ48" s="1">
        <v>0.18</v>
      </c>
      <c r="AR48" s="1">
        <v>0.8</v>
      </c>
      <c r="AS48" s="1">
        <v>1</v>
      </c>
      <c r="AT48" s="1" t="s">
        <v>1294</v>
      </c>
      <c r="AU48" s="190" t="s">
        <v>1295</v>
      </c>
      <c r="AV48" s="190" t="s">
        <v>1296</v>
      </c>
      <c r="AW48" s="1">
        <v>1</v>
      </c>
      <c r="AX48" s="1">
        <v>2</v>
      </c>
      <c r="AY48" s="1">
        <f t="shared" si="111"/>
        <v>8</v>
      </c>
      <c r="AZ48" s="362">
        <f t="shared" si="127"/>
        <v>7.5</v>
      </c>
      <c r="BA48" s="1" t="s">
        <v>1150</v>
      </c>
      <c r="BB48" s="1">
        <f t="shared" si="112"/>
        <v>1.119</v>
      </c>
      <c r="BC48" s="1"/>
      <c r="BD48" s="1">
        <f t="shared" si="128"/>
        <v>80</v>
      </c>
      <c r="BE48" s="1">
        <f t="shared" si="141"/>
        <v>80</v>
      </c>
      <c r="BG48" s="1">
        <f t="shared" si="129"/>
        <v>0</v>
      </c>
      <c r="BR48" s="301">
        <f t="shared" si="130"/>
        <v>88</v>
      </c>
      <c r="BS48" s="356">
        <v>0.1</v>
      </c>
      <c r="BT48" s="297">
        <v>8</v>
      </c>
      <c r="BU48" s="1">
        <v>5</v>
      </c>
      <c r="BV48" s="297">
        <v>9</v>
      </c>
      <c r="BW48" s="1">
        <v>2</v>
      </c>
      <c r="BX48" s="297">
        <v>10</v>
      </c>
      <c r="BY48" s="1">
        <v>2</v>
      </c>
      <c r="BZ48" s="1">
        <f t="shared" si="80"/>
        <v>8.6666666666666661</v>
      </c>
      <c r="CA48" s="1">
        <f t="shared" si="136"/>
        <v>7.5</v>
      </c>
      <c r="CB48" s="389">
        <f t="shared" si="104"/>
        <v>0.12307700000000001</v>
      </c>
      <c r="CC48" s="1">
        <f t="shared" si="136"/>
        <v>15</v>
      </c>
      <c r="CD48" s="391">
        <f t="shared" si="105"/>
        <v>6.1538000000000002E-2</v>
      </c>
      <c r="CE48" s="1">
        <f t="shared" si="136"/>
        <v>22.5</v>
      </c>
      <c r="CF48" s="392">
        <f t="shared" si="106"/>
        <v>4.1026E-2</v>
      </c>
      <c r="CH48" s="190">
        <v>0</v>
      </c>
      <c r="CI48" s="403">
        <v>0</v>
      </c>
      <c r="CJ48" s="402">
        <f t="shared" si="131"/>
        <v>0</v>
      </c>
      <c r="CK48" s="411">
        <f t="shared" si="132"/>
        <v>0</v>
      </c>
      <c r="CL48" s="411">
        <f t="shared" si="18"/>
        <v>0</v>
      </c>
      <c r="CM48" s="412">
        <f t="shared" si="82"/>
        <v>0</v>
      </c>
      <c r="CN48" s="413">
        <f t="shared" si="133"/>
        <v>0</v>
      </c>
      <c r="CO48" s="411">
        <f t="shared" si="20"/>
        <v>0</v>
      </c>
      <c r="CP48" s="429" t="e">
        <f t="shared" si="134"/>
        <v>#DIV/0!</v>
      </c>
      <c r="CQ48" s="430">
        <f t="shared" si="83"/>
        <v>12</v>
      </c>
      <c r="CR48" s="431">
        <f t="shared" si="84"/>
        <v>1</v>
      </c>
      <c r="CS48" s="332"/>
      <c r="CT48" s="322">
        <v>12</v>
      </c>
      <c r="CU48" s="331">
        <v>1</v>
      </c>
      <c r="CW48" s="436"/>
      <c r="DB48" s="438"/>
      <c r="DC48" s="430">
        <v>0</v>
      </c>
      <c r="DD48" s="402">
        <v>1</v>
      </c>
      <c r="DE48" s="438">
        <f t="shared" si="22"/>
        <v>0</v>
      </c>
      <c r="DF48" s="430">
        <f t="shared" si="23"/>
        <v>0</v>
      </c>
      <c r="DG48" s="402">
        <f t="shared" si="85"/>
        <v>1</v>
      </c>
      <c r="DH48" s="438">
        <f t="shared" si="25"/>
        <v>0</v>
      </c>
      <c r="DI48" s="430">
        <f t="shared" si="26"/>
        <v>0</v>
      </c>
      <c r="DJ48" s="402">
        <f t="shared" si="86"/>
        <v>1</v>
      </c>
      <c r="DK48" s="438">
        <f t="shared" si="28"/>
        <v>0</v>
      </c>
      <c r="DL48" s="430">
        <f t="shared" si="87"/>
        <v>0</v>
      </c>
      <c r="DM48" s="402">
        <f t="shared" si="88"/>
        <v>1</v>
      </c>
      <c r="DN48" s="438">
        <f t="shared" si="31"/>
        <v>0</v>
      </c>
      <c r="DO48" s="430">
        <f t="shared" si="89"/>
        <v>0</v>
      </c>
      <c r="DP48" s="402">
        <f t="shared" si="90"/>
        <v>1</v>
      </c>
      <c r="DQ48" s="438">
        <f t="shared" si="34"/>
        <v>0</v>
      </c>
      <c r="DR48" s="430">
        <f t="shared" si="91"/>
        <v>0</v>
      </c>
      <c r="DS48" s="402">
        <f t="shared" si="92"/>
        <v>1</v>
      </c>
      <c r="DT48" s="438">
        <f t="shared" si="37"/>
        <v>0</v>
      </c>
      <c r="DU48" s="430">
        <f t="shared" si="93"/>
        <v>0</v>
      </c>
      <c r="DV48" s="402">
        <f t="shared" si="94"/>
        <v>1</v>
      </c>
      <c r="DW48" s="438">
        <f t="shared" si="40"/>
        <v>0</v>
      </c>
      <c r="DX48" s="430">
        <f t="shared" si="95"/>
        <v>0</v>
      </c>
      <c r="DY48" s="402">
        <f t="shared" si="96"/>
        <v>1</v>
      </c>
      <c r="DZ48" s="438">
        <f t="shared" si="43"/>
        <v>0</v>
      </c>
      <c r="EA48" s="430">
        <f t="shared" si="97"/>
        <v>0</v>
      </c>
      <c r="EB48" s="402">
        <f t="shared" si="98"/>
        <v>1</v>
      </c>
      <c r="EC48" s="438">
        <f t="shared" si="46"/>
        <v>0</v>
      </c>
      <c r="ED48" s="430">
        <f t="shared" si="99"/>
        <v>0</v>
      </c>
      <c r="EE48" s="402">
        <f t="shared" si="100"/>
        <v>1</v>
      </c>
      <c r="EF48" s="438">
        <f t="shared" si="49"/>
        <v>0</v>
      </c>
      <c r="EG48" s="430">
        <f t="shared" si="142"/>
        <v>0</v>
      </c>
      <c r="EH48" s="402">
        <f t="shared" si="51"/>
        <v>2</v>
      </c>
      <c r="EI48" s="438">
        <f t="shared" si="52"/>
        <v>0</v>
      </c>
      <c r="EJ48" s="430">
        <f t="shared" si="142"/>
        <v>0</v>
      </c>
      <c r="EK48" s="402">
        <f t="shared" si="54"/>
        <v>4</v>
      </c>
      <c r="EL48" s="438">
        <f t="shared" si="55"/>
        <v>0</v>
      </c>
      <c r="EM48" s="430">
        <f t="shared" si="142"/>
        <v>0</v>
      </c>
      <c r="EN48" s="402">
        <f t="shared" si="57"/>
        <v>6</v>
      </c>
      <c r="EO48" s="438">
        <f t="shared" si="58"/>
        <v>0</v>
      </c>
      <c r="EP48" s="430">
        <f t="shared" si="142"/>
        <v>0</v>
      </c>
      <c r="EQ48" s="402">
        <f t="shared" si="60"/>
        <v>8</v>
      </c>
      <c r="ER48" s="438">
        <f t="shared" si="61"/>
        <v>0</v>
      </c>
      <c r="ES48" s="430">
        <f t="shared" si="142"/>
        <v>0</v>
      </c>
      <c r="ET48" s="402">
        <f t="shared" si="63"/>
        <v>10</v>
      </c>
      <c r="EU48" s="438">
        <f t="shared" si="64"/>
        <v>0</v>
      </c>
      <c r="EV48" s="430">
        <f t="shared" si="142"/>
        <v>0</v>
      </c>
      <c r="EW48" s="402">
        <f t="shared" si="66"/>
        <v>20</v>
      </c>
      <c r="EX48" s="438">
        <f t="shared" si="67"/>
        <v>0</v>
      </c>
      <c r="EY48" s="430">
        <f t="shared" si="142"/>
        <v>0</v>
      </c>
      <c r="EZ48" s="402">
        <f t="shared" si="69"/>
        <v>40</v>
      </c>
      <c r="FA48" s="438">
        <f t="shared" si="70"/>
        <v>0</v>
      </c>
      <c r="FB48" s="430">
        <f t="shared" si="142"/>
        <v>0</v>
      </c>
      <c r="FC48" s="402">
        <f t="shared" si="72"/>
        <v>60</v>
      </c>
      <c r="FD48" s="438">
        <f t="shared" si="73"/>
        <v>0</v>
      </c>
      <c r="FE48" s="430">
        <f t="shared" si="142"/>
        <v>0</v>
      </c>
      <c r="FF48" s="402">
        <f t="shared" si="75"/>
        <v>80</v>
      </c>
      <c r="FG48" s="438">
        <f t="shared" si="76"/>
        <v>0</v>
      </c>
      <c r="FH48" s="430">
        <f t="shared" si="142"/>
        <v>0</v>
      </c>
      <c r="FI48" s="402">
        <f t="shared" si="78"/>
        <v>100</v>
      </c>
      <c r="FJ48" s="438">
        <f t="shared" si="79"/>
        <v>0</v>
      </c>
    </row>
    <row r="49" spans="1:166" x14ac:dyDescent="0.45">
      <c r="A49" s="1">
        <v>45</v>
      </c>
      <c r="B49" s="307"/>
      <c r="C49" s="308">
        <v>5</v>
      </c>
      <c r="D49" s="1">
        <v>-1</v>
      </c>
      <c r="E49" s="1">
        <v>200</v>
      </c>
      <c r="F49" s="1"/>
      <c r="G49" s="1"/>
      <c r="H49" s="1">
        <f t="shared" si="137"/>
        <v>0</v>
      </c>
      <c r="I49" s="1">
        <f t="shared" si="138"/>
        <v>0</v>
      </c>
      <c r="J49" s="1">
        <v>0</v>
      </c>
      <c r="K49" s="313">
        <v>0</v>
      </c>
      <c r="L49" s="314">
        <v>0</v>
      </c>
      <c r="M49" s="320">
        <f>ROUND(IF(L49&lt;&gt;0,$BI$4/('全局参数|GlobalPar'!$B$18/10000/E49)/L49,0),6)</f>
        <v>0</v>
      </c>
      <c r="N49" s="320">
        <f t="shared" si="110"/>
        <v>0</v>
      </c>
      <c r="O49" s="323">
        <v>0</v>
      </c>
      <c r="P49" s="322">
        <v>12</v>
      </c>
      <c r="Q49" s="331">
        <v>1</v>
      </c>
      <c r="R49" s="332" t="s">
        <v>1144</v>
      </c>
      <c r="S49" s="1"/>
      <c r="T49" s="333">
        <v>0</v>
      </c>
      <c r="U49" s="348">
        <v>0</v>
      </c>
      <c r="V49" s="348">
        <v>0</v>
      </c>
      <c r="W49" s="348">
        <v>0</v>
      </c>
      <c r="X49" s="1" t="s">
        <v>1145</v>
      </c>
      <c r="Y49" s="192" t="s">
        <v>1146</v>
      </c>
      <c r="Z49" s="192">
        <v>0</v>
      </c>
      <c r="AA49" s="192">
        <v>0</v>
      </c>
      <c r="AB49" s="354">
        <v>11</v>
      </c>
      <c r="AC49" s="1">
        <f>IF(C49=4,1,IF(OR(C49=5,C49=6),2,-1))</f>
        <v>2</v>
      </c>
      <c r="AD49" s="1">
        <v>0</v>
      </c>
      <c r="AE49" s="1">
        <v>2</v>
      </c>
      <c r="AF49" s="1"/>
      <c r="AG49" s="1">
        <v>0</v>
      </c>
      <c r="AH49" s="1">
        <v>1.5</v>
      </c>
      <c r="AI49" s="1">
        <v>1</v>
      </c>
      <c r="AJ49" s="1">
        <v>1</v>
      </c>
      <c r="AK49" s="1">
        <v>1</v>
      </c>
      <c r="AL49" s="1" t="s">
        <v>1215</v>
      </c>
      <c r="AM49" s="1"/>
      <c r="AN49" s="1"/>
      <c r="AO49" s="356">
        <v>1</v>
      </c>
      <c r="AP49" s="1">
        <v>200</v>
      </c>
      <c r="AQ49" s="1">
        <v>0.18</v>
      </c>
      <c r="AR49" s="1">
        <v>0.8</v>
      </c>
      <c r="AS49" s="1">
        <v>1</v>
      </c>
      <c r="AT49" s="1" t="s">
        <v>1294</v>
      </c>
      <c r="AU49" s="360" t="s">
        <v>1297</v>
      </c>
      <c r="AV49" s="360" t="s">
        <v>1298</v>
      </c>
      <c r="AW49" s="360"/>
      <c r="AX49" s="360"/>
      <c r="AY49" s="1">
        <f t="shared" si="111"/>
        <v>20</v>
      </c>
      <c r="AZ49" s="362">
        <f t="shared" si="127"/>
        <v>3</v>
      </c>
      <c r="BA49" s="1" t="s">
        <v>1150</v>
      </c>
      <c r="BB49" s="1">
        <f t="shared" si="112"/>
        <v>1.119</v>
      </c>
      <c r="BC49" s="1"/>
      <c r="BD49" s="1">
        <f t="shared" si="128"/>
        <v>200</v>
      </c>
      <c r="BE49" s="1">
        <f t="shared" si="141"/>
        <v>200</v>
      </c>
      <c r="BG49" s="1">
        <f t="shared" si="129"/>
        <v>0</v>
      </c>
      <c r="BR49" s="301">
        <f t="shared" si="130"/>
        <v>220.00000000000003</v>
      </c>
      <c r="BS49" s="356">
        <f t="shared" si="101"/>
        <v>0.1</v>
      </c>
      <c r="BT49" s="297">
        <v>6</v>
      </c>
      <c r="BU49" s="1">
        <v>5</v>
      </c>
      <c r="BV49" s="297">
        <v>8</v>
      </c>
      <c r="BW49" s="1">
        <v>2</v>
      </c>
      <c r="BX49" s="297">
        <v>10</v>
      </c>
      <c r="BY49" s="1">
        <v>2</v>
      </c>
      <c r="BZ49" s="1">
        <f t="shared" si="80"/>
        <v>7.333333333333333</v>
      </c>
      <c r="CA49" s="1">
        <f t="shared" si="136"/>
        <v>7.5</v>
      </c>
      <c r="CB49" s="389">
        <f t="shared" si="104"/>
        <v>0.36363600000000001</v>
      </c>
      <c r="CC49" s="1">
        <f t="shared" si="136"/>
        <v>15</v>
      </c>
      <c r="CD49" s="391">
        <f t="shared" si="105"/>
        <v>0.18181800000000001</v>
      </c>
      <c r="CE49" s="1">
        <f t="shared" si="136"/>
        <v>22.5</v>
      </c>
      <c r="CF49" s="392">
        <f t="shared" si="106"/>
        <v>0.121212</v>
      </c>
      <c r="CH49" s="190">
        <v>0</v>
      </c>
      <c r="CI49" s="403">
        <f t="shared" si="102"/>
        <v>0</v>
      </c>
      <c r="CJ49" s="402">
        <f t="shared" si="131"/>
        <v>0</v>
      </c>
      <c r="CK49" s="411">
        <f t="shared" si="132"/>
        <v>0</v>
      </c>
      <c r="CL49" s="411">
        <f t="shared" si="18"/>
        <v>0</v>
      </c>
      <c r="CM49" s="412">
        <f t="shared" si="82"/>
        <v>0</v>
      </c>
      <c r="CN49" s="413">
        <f t="shared" si="133"/>
        <v>0</v>
      </c>
      <c r="CO49" s="411">
        <f t="shared" si="20"/>
        <v>0</v>
      </c>
      <c r="CP49" s="429" t="e">
        <f t="shared" si="134"/>
        <v>#DIV/0!</v>
      </c>
      <c r="CQ49" s="430">
        <f t="shared" si="83"/>
        <v>12</v>
      </c>
      <c r="CR49" s="431">
        <f t="shared" si="84"/>
        <v>1</v>
      </c>
      <c r="CS49" s="332"/>
      <c r="CT49" s="322">
        <v>12</v>
      </c>
      <c r="CU49" s="331">
        <v>1</v>
      </c>
      <c r="CW49" s="436"/>
      <c r="DB49" s="438"/>
      <c r="DC49" s="430">
        <v>0</v>
      </c>
      <c r="DD49" s="402">
        <v>1</v>
      </c>
      <c r="DE49" s="438">
        <f t="shared" si="22"/>
        <v>0</v>
      </c>
      <c r="DF49" s="430">
        <f t="shared" si="23"/>
        <v>0</v>
      </c>
      <c r="DG49" s="402">
        <f t="shared" si="85"/>
        <v>1</v>
      </c>
      <c r="DH49" s="438">
        <f t="shared" si="25"/>
        <v>0</v>
      </c>
      <c r="DI49" s="430">
        <f t="shared" si="26"/>
        <v>0</v>
      </c>
      <c r="DJ49" s="402">
        <f t="shared" si="86"/>
        <v>1</v>
      </c>
      <c r="DK49" s="438">
        <f t="shared" si="28"/>
        <v>0</v>
      </c>
      <c r="DL49" s="430">
        <f t="shared" si="87"/>
        <v>0</v>
      </c>
      <c r="DM49" s="402">
        <f t="shared" si="88"/>
        <v>1</v>
      </c>
      <c r="DN49" s="438">
        <f t="shared" si="31"/>
        <v>0</v>
      </c>
      <c r="DO49" s="430">
        <f t="shared" si="89"/>
        <v>0</v>
      </c>
      <c r="DP49" s="402">
        <f t="shared" si="90"/>
        <v>1</v>
      </c>
      <c r="DQ49" s="438">
        <f t="shared" si="34"/>
        <v>0</v>
      </c>
      <c r="DR49" s="430">
        <f t="shared" si="91"/>
        <v>0</v>
      </c>
      <c r="DS49" s="402">
        <f t="shared" si="92"/>
        <v>1</v>
      </c>
      <c r="DT49" s="438">
        <f t="shared" si="37"/>
        <v>0</v>
      </c>
      <c r="DU49" s="430">
        <f t="shared" si="93"/>
        <v>0</v>
      </c>
      <c r="DV49" s="402">
        <f t="shared" si="94"/>
        <v>1</v>
      </c>
      <c r="DW49" s="438">
        <f t="shared" si="40"/>
        <v>0</v>
      </c>
      <c r="DX49" s="430">
        <f t="shared" si="95"/>
        <v>0</v>
      </c>
      <c r="DY49" s="402">
        <f t="shared" si="96"/>
        <v>1</v>
      </c>
      <c r="DZ49" s="438">
        <f t="shared" si="43"/>
        <v>0</v>
      </c>
      <c r="EA49" s="430">
        <f t="shared" si="97"/>
        <v>0</v>
      </c>
      <c r="EB49" s="402">
        <f t="shared" si="98"/>
        <v>1</v>
      </c>
      <c r="EC49" s="438">
        <f t="shared" si="46"/>
        <v>0</v>
      </c>
      <c r="ED49" s="430">
        <f t="shared" si="99"/>
        <v>0</v>
      </c>
      <c r="EE49" s="402">
        <f t="shared" si="100"/>
        <v>1</v>
      </c>
      <c r="EF49" s="438">
        <f t="shared" si="49"/>
        <v>0</v>
      </c>
      <c r="EG49" s="430">
        <f t="shared" si="142"/>
        <v>0</v>
      </c>
      <c r="EH49" s="402">
        <f t="shared" si="51"/>
        <v>2</v>
      </c>
      <c r="EI49" s="438">
        <f t="shared" si="52"/>
        <v>0</v>
      </c>
      <c r="EJ49" s="430">
        <f t="shared" si="142"/>
        <v>0</v>
      </c>
      <c r="EK49" s="402">
        <f t="shared" si="54"/>
        <v>4</v>
      </c>
      <c r="EL49" s="438">
        <f t="shared" si="55"/>
        <v>0</v>
      </c>
      <c r="EM49" s="430">
        <f t="shared" si="142"/>
        <v>0</v>
      </c>
      <c r="EN49" s="402">
        <f t="shared" si="57"/>
        <v>6</v>
      </c>
      <c r="EO49" s="438">
        <f t="shared" si="58"/>
        <v>0</v>
      </c>
      <c r="EP49" s="430">
        <f t="shared" si="142"/>
        <v>0</v>
      </c>
      <c r="EQ49" s="402">
        <f t="shared" si="60"/>
        <v>8</v>
      </c>
      <c r="ER49" s="438">
        <f t="shared" si="61"/>
        <v>0</v>
      </c>
      <c r="ES49" s="430">
        <f t="shared" si="142"/>
        <v>0</v>
      </c>
      <c r="ET49" s="402">
        <f t="shared" si="63"/>
        <v>10</v>
      </c>
      <c r="EU49" s="438">
        <f t="shared" si="64"/>
        <v>0</v>
      </c>
      <c r="EV49" s="430">
        <f t="shared" si="142"/>
        <v>0</v>
      </c>
      <c r="EW49" s="402">
        <f t="shared" si="66"/>
        <v>20</v>
      </c>
      <c r="EX49" s="438">
        <f t="shared" si="67"/>
        <v>0</v>
      </c>
      <c r="EY49" s="430">
        <f t="shared" si="142"/>
        <v>0</v>
      </c>
      <c r="EZ49" s="402">
        <f t="shared" si="69"/>
        <v>40</v>
      </c>
      <c r="FA49" s="438">
        <f t="shared" si="70"/>
        <v>0</v>
      </c>
      <c r="FB49" s="430">
        <f t="shared" si="142"/>
        <v>0</v>
      </c>
      <c r="FC49" s="402">
        <f t="shared" si="72"/>
        <v>60</v>
      </c>
      <c r="FD49" s="438">
        <f t="shared" si="73"/>
        <v>0</v>
      </c>
      <c r="FE49" s="430">
        <f t="shared" si="142"/>
        <v>0</v>
      </c>
      <c r="FF49" s="402">
        <f t="shared" si="75"/>
        <v>80</v>
      </c>
      <c r="FG49" s="438">
        <f t="shared" si="76"/>
        <v>0</v>
      </c>
      <c r="FH49" s="430">
        <f t="shared" si="142"/>
        <v>0</v>
      </c>
      <c r="FI49" s="402">
        <f t="shared" si="78"/>
        <v>100</v>
      </c>
      <c r="FJ49" s="438">
        <f t="shared" si="79"/>
        <v>0</v>
      </c>
    </row>
    <row r="50" spans="1:166" x14ac:dyDescent="0.45">
      <c r="A50" s="1">
        <v>46</v>
      </c>
      <c r="B50" s="307"/>
      <c r="C50" s="308">
        <v>5</v>
      </c>
      <c r="D50" s="1">
        <v>3</v>
      </c>
      <c r="E50" s="1">
        <v>200</v>
      </c>
      <c r="F50" s="1"/>
      <c r="G50" s="1"/>
      <c r="H50" s="1">
        <f t="shared" si="137"/>
        <v>0</v>
      </c>
      <c r="I50" s="1">
        <f t="shared" si="138"/>
        <v>0</v>
      </c>
      <c r="J50" s="1">
        <v>0</v>
      </c>
      <c r="K50" s="313">
        <v>0</v>
      </c>
      <c r="L50" s="314">
        <v>0</v>
      </c>
      <c r="M50" s="320">
        <f>ROUND(IF(L50&lt;&gt;0,$BI$4/('全局参数|GlobalPar'!$B$18/10000/E50)/L50,0),6)</f>
        <v>0</v>
      </c>
      <c r="N50" s="320">
        <f t="shared" si="110"/>
        <v>0</v>
      </c>
      <c r="O50" s="323">
        <v>0</v>
      </c>
      <c r="P50" s="322">
        <v>12</v>
      </c>
      <c r="Q50" s="331">
        <v>1</v>
      </c>
      <c r="R50" s="332" t="s">
        <v>1144</v>
      </c>
      <c r="S50" s="1"/>
      <c r="T50" s="1">
        <f t="shared" ref="T50" si="144">T37</f>
        <v>0</v>
      </c>
      <c r="U50" s="348">
        <v>0</v>
      </c>
      <c r="V50" s="348">
        <v>0</v>
      </c>
      <c r="W50" s="348">
        <v>0</v>
      </c>
      <c r="X50" s="1" t="s">
        <v>1145</v>
      </c>
      <c r="Y50" s="192" t="s">
        <v>1146</v>
      </c>
      <c r="Z50" s="192">
        <v>0</v>
      </c>
      <c r="AA50" s="192">
        <v>0</v>
      </c>
      <c r="AB50" s="354">
        <v>11</v>
      </c>
      <c r="AC50" s="297">
        <v>4</v>
      </c>
      <c r="AD50" s="1">
        <v>0</v>
      </c>
      <c r="AE50" s="1">
        <v>2</v>
      </c>
      <c r="AF50" s="1">
        <v>4</v>
      </c>
      <c r="AG50" s="1">
        <v>0</v>
      </c>
      <c r="AH50" s="1">
        <v>1.5</v>
      </c>
      <c r="AI50" s="1">
        <v>1</v>
      </c>
      <c r="AJ50" s="1">
        <v>1</v>
      </c>
      <c r="AK50" s="1">
        <v>1</v>
      </c>
      <c r="AL50" s="1" t="s">
        <v>1261</v>
      </c>
      <c r="AM50" s="1"/>
      <c r="AN50" s="1"/>
      <c r="AO50" s="356">
        <v>1</v>
      </c>
      <c r="AP50" s="1">
        <v>200</v>
      </c>
      <c r="AQ50" s="1">
        <v>0.18</v>
      </c>
      <c r="AR50" s="1">
        <v>0.8</v>
      </c>
      <c r="AS50" s="1">
        <v>1</v>
      </c>
      <c r="AT50" s="1" t="s">
        <v>1294</v>
      </c>
      <c r="AU50" s="358" t="s">
        <v>1299</v>
      </c>
      <c r="AV50" s="358" t="s">
        <v>1300</v>
      </c>
      <c r="AW50" s="360"/>
      <c r="AX50" s="360" t="s">
        <v>333</v>
      </c>
      <c r="AY50" s="1">
        <f t="shared" si="111"/>
        <v>20</v>
      </c>
      <c r="AZ50" s="362">
        <f t="shared" si="127"/>
        <v>3</v>
      </c>
      <c r="BA50" s="1" t="s">
        <v>1150</v>
      </c>
      <c r="BB50" s="1">
        <f t="shared" si="112"/>
        <v>1.119</v>
      </c>
      <c r="BC50" s="1"/>
      <c r="BD50" s="1">
        <f t="shared" si="128"/>
        <v>200</v>
      </c>
      <c r="BE50" s="1">
        <f t="shared" si="141"/>
        <v>200</v>
      </c>
      <c r="BG50" s="1">
        <f t="shared" si="129"/>
        <v>0</v>
      </c>
      <c r="BR50" s="301">
        <f t="shared" si="130"/>
        <v>220.00000000000003</v>
      </c>
      <c r="BS50" s="356">
        <f t="shared" si="101"/>
        <v>0.1</v>
      </c>
      <c r="BT50" s="297">
        <v>6</v>
      </c>
      <c r="BU50" s="1">
        <v>5</v>
      </c>
      <c r="BV50" s="297">
        <v>8</v>
      </c>
      <c r="BW50" s="1">
        <v>2</v>
      </c>
      <c r="BX50" s="297">
        <v>10</v>
      </c>
      <c r="BY50" s="1">
        <v>2</v>
      </c>
      <c r="BZ50" s="1">
        <f t="shared" si="80"/>
        <v>7.333333333333333</v>
      </c>
      <c r="CA50" s="1">
        <f t="shared" si="136"/>
        <v>7.5</v>
      </c>
      <c r="CB50" s="389">
        <f t="shared" si="104"/>
        <v>0.36363600000000001</v>
      </c>
      <c r="CC50" s="1">
        <f t="shared" si="136"/>
        <v>15</v>
      </c>
      <c r="CD50" s="391">
        <f t="shared" si="105"/>
        <v>0.18181800000000001</v>
      </c>
      <c r="CE50" s="1">
        <f t="shared" si="136"/>
        <v>22.5</v>
      </c>
      <c r="CF50" s="392">
        <f t="shared" si="106"/>
        <v>0.121212</v>
      </c>
      <c r="CH50" s="190">
        <v>0</v>
      </c>
      <c r="CI50" s="403">
        <f t="shared" si="102"/>
        <v>0</v>
      </c>
      <c r="CJ50" s="402">
        <f t="shared" si="131"/>
        <v>0</v>
      </c>
      <c r="CK50" s="411">
        <f t="shared" si="132"/>
        <v>0</v>
      </c>
      <c r="CL50" s="411">
        <f t="shared" si="18"/>
        <v>0</v>
      </c>
      <c r="CM50" s="412">
        <f t="shared" si="82"/>
        <v>0</v>
      </c>
      <c r="CN50" s="413">
        <f t="shared" si="133"/>
        <v>0</v>
      </c>
      <c r="CO50" s="411">
        <f t="shared" si="20"/>
        <v>0</v>
      </c>
      <c r="CP50" s="429" t="e">
        <f t="shared" si="134"/>
        <v>#DIV/0!</v>
      </c>
      <c r="CQ50" s="430">
        <f t="shared" si="83"/>
        <v>12</v>
      </c>
      <c r="CR50" s="431">
        <f t="shared" si="84"/>
        <v>1</v>
      </c>
      <c r="CS50" s="332"/>
      <c r="CT50" s="322">
        <v>12</v>
      </c>
      <c r="CU50" s="331">
        <v>1</v>
      </c>
      <c r="CW50" s="436"/>
      <c r="DB50" s="438"/>
      <c r="DC50" s="430">
        <v>0</v>
      </c>
      <c r="DD50" s="402">
        <v>1</v>
      </c>
      <c r="DE50" s="438">
        <f t="shared" si="22"/>
        <v>0</v>
      </c>
      <c r="DF50" s="430">
        <f t="shared" si="23"/>
        <v>0</v>
      </c>
      <c r="DG50" s="402">
        <f t="shared" si="85"/>
        <v>1</v>
      </c>
      <c r="DH50" s="438">
        <f t="shared" si="25"/>
        <v>0</v>
      </c>
      <c r="DI50" s="430">
        <f t="shared" si="26"/>
        <v>0</v>
      </c>
      <c r="DJ50" s="402">
        <f t="shared" si="86"/>
        <v>1</v>
      </c>
      <c r="DK50" s="438">
        <f t="shared" si="28"/>
        <v>0</v>
      </c>
      <c r="DL50" s="430">
        <f t="shared" si="87"/>
        <v>0</v>
      </c>
      <c r="DM50" s="402">
        <f t="shared" si="88"/>
        <v>1</v>
      </c>
      <c r="DN50" s="438">
        <f t="shared" si="31"/>
        <v>0</v>
      </c>
      <c r="DO50" s="430">
        <f t="shared" si="89"/>
        <v>0</v>
      </c>
      <c r="DP50" s="402">
        <f t="shared" si="90"/>
        <v>1</v>
      </c>
      <c r="DQ50" s="438">
        <f t="shared" si="34"/>
        <v>0</v>
      </c>
      <c r="DR50" s="430">
        <f t="shared" si="91"/>
        <v>0</v>
      </c>
      <c r="DS50" s="402">
        <f t="shared" si="92"/>
        <v>1</v>
      </c>
      <c r="DT50" s="438">
        <f t="shared" si="37"/>
        <v>0</v>
      </c>
      <c r="DU50" s="430">
        <f t="shared" si="93"/>
        <v>0</v>
      </c>
      <c r="DV50" s="402">
        <f t="shared" si="94"/>
        <v>1</v>
      </c>
      <c r="DW50" s="438">
        <f t="shared" si="40"/>
        <v>0</v>
      </c>
      <c r="DX50" s="430">
        <f t="shared" si="95"/>
        <v>0</v>
      </c>
      <c r="DY50" s="402">
        <f t="shared" si="96"/>
        <v>1</v>
      </c>
      <c r="DZ50" s="438">
        <f t="shared" si="43"/>
        <v>0</v>
      </c>
      <c r="EA50" s="430">
        <f t="shared" si="97"/>
        <v>0</v>
      </c>
      <c r="EB50" s="402">
        <f t="shared" si="98"/>
        <v>1</v>
      </c>
      <c r="EC50" s="438">
        <f t="shared" si="46"/>
        <v>0</v>
      </c>
      <c r="ED50" s="430">
        <f t="shared" si="99"/>
        <v>0</v>
      </c>
      <c r="EE50" s="402">
        <f t="shared" si="100"/>
        <v>1</v>
      </c>
      <c r="EF50" s="438">
        <f t="shared" si="49"/>
        <v>0</v>
      </c>
      <c r="EG50" s="430">
        <f t="shared" si="142"/>
        <v>0</v>
      </c>
      <c r="EH50" s="402">
        <f t="shared" si="51"/>
        <v>2</v>
      </c>
      <c r="EI50" s="438">
        <f t="shared" si="52"/>
        <v>0</v>
      </c>
      <c r="EJ50" s="430">
        <f t="shared" si="142"/>
        <v>0</v>
      </c>
      <c r="EK50" s="402">
        <f t="shared" si="54"/>
        <v>4</v>
      </c>
      <c r="EL50" s="438">
        <f t="shared" si="55"/>
        <v>0</v>
      </c>
      <c r="EM50" s="430">
        <f t="shared" si="142"/>
        <v>0</v>
      </c>
      <c r="EN50" s="402">
        <f t="shared" si="57"/>
        <v>6</v>
      </c>
      <c r="EO50" s="438">
        <f t="shared" si="58"/>
        <v>0</v>
      </c>
      <c r="EP50" s="430">
        <f t="shared" si="142"/>
        <v>0</v>
      </c>
      <c r="EQ50" s="402">
        <f t="shared" si="60"/>
        <v>8</v>
      </c>
      <c r="ER50" s="438">
        <f t="shared" si="61"/>
        <v>0</v>
      </c>
      <c r="ES50" s="430">
        <f t="shared" si="142"/>
        <v>0</v>
      </c>
      <c r="ET50" s="402">
        <f t="shared" si="63"/>
        <v>10</v>
      </c>
      <c r="EU50" s="438">
        <f t="shared" si="64"/>
        <v>0</v>
      </c>
      <c r="EV50" s="430">
        <f t="shared" si="142"/>
        <v>0</v>
      </c>
      <c r="EW50" s="402">
        <f t="shared" si="66"/>
        <v>20</v>
      </c>
      <c r="EX50" s="438">
        <f t="shared" si="67"/>
        <v>0</v>
      </c>
      <c r="EY50" s="430">
        <f t="shared" si="142"/>
        <v>0</v>
      </c>
      <c r="EZ50" s="402">
        <f t="shared" si="69"/>
        <v>40</v>
      </c>
      <c r="FA50" s="438">
        <f t="shared" si="70"/>
        <v>0</v>
      </c>
      <c r="FB50" s="430">
        <f t="shared" si="142"/>
        <v>0</v>
      </c>
      <c r="FC50" s="402">
        <f t="shared" si="72"/>
        <v>60</v>
      </c>
      <c r="FD50" s="438">
        <f t="shared" si="73"/>
        <v>0</v>
      </c>
      <c r="FE50" s="430">
        <f t="shared" si="142"/>
        <v>0</v>
      </c>
      <c r="FF50" s="402">
        <f t="shared" si="75"/>
        <v>80</v>
      </c>
      <c r="FG50" s="438">
        <f t="shared" si="76"/>
        <v>0</v>
      </c>
      <c r="FH50" s="430">
        <f t="shared" si="142"/>
        <v>0</v>
      </c>
      <c r="FI50" s="402">
        <f t="shared" si="78"/>
        <v>100</v>
      </c>
      <c r="FJ50" s="438">
        <f t="shared" si="79"/>
        <v>0</v>
      </c>
    </row>
    <row r="51" spans="1:166" x14ac:dyDescent="0.45">
      <c r="A51" s="1">
        <v>47</v>
      </c>
      <c r="B51" s="307"/>
      <c r="C51" s="308">
        <v>5</v>
      </c>
      <c r="D51" s="1">
        <v>1</v>
      </c>
      <c r="E51" s="1">
        <v>300</v>
      </c>
      <c r="F51" s="1"/>
      <c r="G51" s="1"/>
      <c r="H51" s="1">
        <f t="shared" si="137"/>
        <v>0</v>
      </c>
      <c r="I51" s="1">
        <f t="shared" si="138"/>
        <v>0</v>
      </c>
      <c r="J51" s="1">
        <v>0</v>
      </c>
      <c r="K51" s="313">
        <v>0</v>
      </c>
      <c r="L51" s="314">
        <v>0</v>
      </c>
      <c r="M51" s="320">
        <f>ROUND(IF(L51&lt;&gt;0,$BI$4/('全局参数|GlobalPar'!$B$18/10000/E51)/L51,0),6)</f>
        <v>0</v>
      </c>
      <c r="N51" s="320">
        <f t="shared" si="110"/>
        <v>1</v>
      </c>
      <c r="O51" s="323">
        <v>0</v>
      </c>
      <c r="P51" s="322">
        <v>12</v>
      </c>
      <c r="Q51" s="331">
        <v>1</v>
      </c>
      <c r="R51" s="332" t="s">
        <v>1144</v>
      </c>
      <c r="S51" s="1"/>
      <c r="T51" s="333">
        <v>0</v>
      </c>
      <c r="U51" s="348">
        <v>0</v>
      </c>
      <c r="V51" s="348">
        <v>0</v>
      </c>
      <c r="W51" s="348">
        <v>0</v>
      </c>
      <c r="X51" s="1" t="s">
        <v>1145</v>
      </c>
      <c r="Y51" s="192" t="s">
        <v>1146</v>
      </c>
      <c r="Z51" s="192">
        <v>0</v>
      </c>
      <c r="AA51" s="192">
        <v>0</v>
      </c>
      <c r="AB51" s="354">
        <v>11</v>
      </c>
      <c r="AC51" s="1">
        <f>IF(C51=4,1,IF(OR(C51=5,C51=6),2,-1))</f>
        <v>2</v>
      </c>
      <c r="AD51" s="1">
        <v>0</v>
      </c>
      <c r="AE51" s="1">
        <v>2</v>
      </c>
      <c r="AF51" s="1">
        <v>4</v>
      </c>
      <c r="AG51" s="1">
        <v>0</v>
      </c>
      <c r="AH51" s="1">
        <v>1.5</v>
      </c>
      <c r="AI51" s="1">
        <v>1</v>
      </c>
      <c r="AJ51" s="1">
        <v>1</v>
      </c>
      <c r="AK51" s="1">
        <v>1</v>
      </c>
      <c r="AL51" s="1" t="s">
        <v>1215</v>
      </c>
      <c r="AM51" s="1"/>
      <c r="AN51" s="1"/>
      <c r="AO51" s="356">
        <v>1</v>
      </c>
      <c r="AP51" s="1">
        <v>300</v>
      </c>
      <c r="AQ51" s="1">
        <v>0.18</v>
      </c>
      <c r="AR51" s="1">
        <v>0.8</v>
      </c>
      <c r="AS51" s="1">
        <v>1</v>
      </c>
      <c r="AT51" s="1" t="s">
        <v>1294</v>
      </c>
      <c r="AU51" s="358" t="s">
        <v>1301</v>
      </c>
      <c r="AV51" s="358" t="s">
        <v>1302</v>
      </c>
      <c r="AW51" s="360" t="s">
        <v>179</v>
      </c>
      <c r="AX51" s="360" t="s">
        <v>333</v>
      </c>
      <c r="AY51" s="1">
        <f t="shared" si="111"/>
        <v>30</v>
      </c>
      <c r="AZ51" s="362">
        <f t="shared" si="127"/>
        <v>2</v>
      </c>
      <c r="BA51" s="1" t="s">
        <v>1150</v>
      </c>
      <c r="BB51" s="1">
        <f t="shared" si="112"/>
        <v>1.119</v>
      </c>
      <c r="BC51" s="1"/>
      <c r="BD51" s="1">
        <f t="shared" si="128"/>
        <v>300</v>
      </c>
      <c r="BE51" s="297">
        <f>BL2*N51</f>
        <v>300</v>
      </c>
      <c r="BG51" s="1">
        <f t="shared" si="129"/>
        <v>0</v>
      </c>
      <c r="BR51" s="301">
        <f t="shared" si="130"/>
        <v>330</v>
      </c>
      <c r="BS51" s="356">
        <v>0</v>
      </c>
      <c r="BT51" s="297">
        <v>6</v>
      </c>
      <c r="BU51" s="1">
        <v>5</v>
      </c>
      <c r="BV51" s="297">
        <v>8</v>
      </c>
      <c r="BW51" s="1">
        <v>2</v>
      </c>
      <c r="BX51" s="297">
        <v>10</v>
      </c>
      <c r="BY51" s="1">
        <v>2</v>
      </c>
      <c r="BZ51" s="1">
        <f t="shared" si="80"/>
        <v>7.333333333333333</v>
      </c>
      <c r="CA51" s="1">
        <f t="shared" si="136"/>
        <v>7.5</v>
      </c>
      <c r="CB51" s="389">
        <f t="shared" si="104"/>
        <v>0</v>
      </c>
      <c r="CC51" s="1">
        <f t="shared" si="136"/>
        <v>15</v>
      </c>
      <c r="CD51" s="391">
        <f t="shared" si="105"/>
        <v>0</v>
      </c>
      <c r="CE51" s="1">
        <f t="shared" si="136"/>
        <v>22.5</v>
      </c>
      <c r="CF51" s="392">
        <f t="shared" si="106"/>
        <v>0</v>
      </c>
      <c r="CH51" s="190">
        <v>0</v>
      </c>
      <c r="CI51" s="403">
        <f t="shared" si="102"/>
        <v>0</v>
      </c>
      <c r="CJ51" s="402">
        <f t="shared" si="131"/>
        <v>0</v>
      </c>
      <c r="CK51" s="411">
        <f t="shared" si="132"/>
        <v>0</v>
      </c>
      <c r="CL51" s="411">
        <f t="shared" si="18"/>
        <v>0</v>
      </c>
      <c r="CM51" s="412">
        <f t="shared" si="82"/>
        <v>0</v>
      </c>
      <c r="CN51" s="413">
        <f t="shared" si="133"/>
        <v>0</v>
      </c>
      <c r="CO51" s="411">
        <f t="shared" si="20"/>
        <v>0</v>
      </c>
      <c r="CP51" s="429" t="e">
        <f t="shared" si="134"/>
        <v>#DIV/0!</v>
      </c>
      <c r="CQ51" s="430">
        <f t="shared" si="83"/>
        <v>12</v>
      </c>
      <c r="CR51" s="431">
        <f t="shared" si="84"/>
        <v>1</v>
      </c>
      <c r="CS51" s="332"/>
      <c r="CT51" s="322">
        <v>12</v>
      </c>
      <c r="CU51" s="331">
        <v>1</v>
      </c>
      <c r="CW51" s="436"/>
      <c r="DB51" s="438"/>
      <c r="DC51" s="430">
        <v>0</v>
      </c>
      <c r="DD51" s="402">
        <v>1</v>
      </c>
      <c r="DE51" s="438">
        <f t="shared" si="22"/>
        <v>0</v>
      </c>
      <c r="DF51" s="430">
        <f t="shared" si="23"/>
        <v>0</v>
      </c>
      <c r="DG51" s="402">
        <f t="shared" si="85"/>
        <v>1</v>
      </c>
      <c r="DH51" s="438">
        <f t="shared" si="25"/>
        <v>0</v>
      </c>
      <c r="DI51" s="430">
        <f t="shared" si="26"/>
        <v>0</v>
      </c>
      <c r="DJ51" s="402">
        <f t="shared" si="86"/>
        <v>1</v>
      </c>
      <c r="DK51" s="438">
        <f t="shared" si="28"/>
        <v>0</v>
      </c>
      <c r="DL51" s="430">
        <f t="shared" si="87"/>
        <v>0</v>
      </c>
      <c r="DM51" s="402">
        <f t="shared" si="88"/>
        <v>1</v>
      </c>
      <c r="DN51" s="438">
        <f t="shared" si="31"/>
        <v>0</v>
      </c>
      <c r="DO51" s="430">
        <f t="shared" si="89"/>
        <v>0</v>
      </c>
      <c r="DP51" s="402">
        <f t="shared" si="90"/>
        <v>1</v>
      </c>
      <c r="DQ51" s="438">
        <f t="shared" si="34"/>
        <v>0</v>
      </c>
      <c r="DR51" s="430">
        <f t="shared" si="91"/>
        <v>0</v>
      </c>
      <c r="DS51" s="402">
        <f t="shared" si="92"/>
        <v>1</v>
      </c>
      <c r="DT51" s="438">
        <f t="shared" si="37"/>
        <v>0</v>
      </c>
      <c r="DU51" s="430">
        <f t="shared" si="93"/>
        <v>0</v>
      </c>
      <c r="DV51" s="402">
        <f t="shared" si="94"/>
        <v>1</v>
      </c>
      <c r="DW51" s="438">
        <f t="shared" si="40"/>
        <v>0</v>
      </c>
      <c r="DX51" s="430">
        <f t="shared" si="95"/>
        <v>0</v>
      </c>
      <c r="DY51" s="402">
        <f t="shared" si="96"/>
        <v>1</v>
      </c>
      <c r="DZ51" s="438">
        <f t="shared" si="43"/>
        <v>0</v>
      </c>
      <c r="EA51" s="430">
        <f t="shared" si="97"/>
        <v>0</v>
      </c>
      <c r="EB51" s="402">
        <f t="shared" si="98"/>
        <v>1</v>
      </c>
      <c r="EC51" s="438">
        <f t="shared" si="46"/>
        <v>0</v>
      </c>
      <c r="ED51" s="430">
        <f t="shared" si="99"/>
        <v>0</v>
      </c>
      <c r="EE51" s="402">
        <f t="shared" si="100"/>
        <v>1</v>
      </c>
      <c r="EF51" s="438">
        <f t="shared" si="49"/>
        <v>0</v>
      </c>
      <c r="EG51" s="430">
        <f t="shared" si="142"/>
        <v>0</v>
      </c>
      <c r="EH51" s="402">
        <f t="shared" si="51"/>
        <v>2</v>
      </c>
      <c r="EI51" s="438">
        <f t="shared" si="52"/>
        <v>0</v>
      </c>
      <c r="EJ51" s="430">
        <f t="shared" si="142"/>
        <v>0</v>
      </c>
      <c r="EK51" s="402">
        <f t="shared" si="54"/>
        <v>4</v>
      </c>
      <c r="EL51" s="438">
        <f t="shared" si="55"/>
        <v>0</v>
      </c>
      <c r="EM51" s="430">
        <f t="shared" si="142"/>
        <v>0</v>
      </c>
      <c r="EN51" s="402">
        <f t="shared" si="57"/>
        <v>6</v>
      </c>
      <c r="EO51" s="438">
        <f t="shared" si="58"/>
        <v>0</v>
      </c>
      <c r="EP51" s="430">
        <f t="shared" si="142"/>
        <v>0</v>
      </c>
      <c r="EQ51" s="402">
        <f t="shared" si="60"/>
        <v>8</v>
      </c>
      <c r="ER51" s="438">
        <f t="shared" si="61"/>
        <v>0</v>
      </c>
      <c r="ES51" s="430">
        <f t="shared" si="142"/>
        <v>0</v>
      </c>
      <c r="ET51" s="402">
        <f t="shared" si="63"/>
        <v>10</v>
      </c>
      <c r="EU51" s="438">
        <f t="shared" si="64"/>
        <v>0</v>
      </c>
      <c r="EV51" s="430">
        <f t="shared" si="142"/>
        <v>0</v>
      </c>
      <c r="EW51" s="402">
        <f t="shared" si="66"/>
        <v>20</v>
      </c>
      <c r="EX51" s="438">
        <f t="shared" si="67"/>
        <v>0</v>
      </c>
      <c r="EY51" s="430">
        <f t="shared" si="142"/>
        <v>0</v>
      </c>
      <c r="EZ51" s="402">
        <f t="shared" si="69"/>
        <v>40</v>
      </c>
      <c r="FA51" s="438">
        <f t="shared" si="70"/>
        <v>0</v>
      </c>
      <c r="FB51" s="430">
        <f t="shared" si="142"/>
        <v>0</v>
      </c>
      <c r="FC51" s="402">
        <f t="shared" si="72"/>
        <v>60</v>
      </c>
      <c r="FD51" s="438">
        <f t="shared" si="73"/>
        <v>0</v>
      </c>
      <c r="FE51" s="430">
        <f t="shared" si="142"/>
        <v>0</v>
      </c>
      <c r="FF51" s="402">
        <f t="shared" si="75"/>
        <v>80</v>
      </c>
      <c r="FG51" s="438">
        <f t="shared" si="76"/>
        <v>0</v>
      </c>
      <c r="FH51" s="430">
        <f t="shared" si="142"/>
        <v>0</v>
      </c>
      <c r="FI51" s="402">
        <f t="shared" si="78"/>
        <v>100</v>
      </c>
      <c r="FJ51" s="438">
        <f t="shared" si="79"/>
        <v>0</v>
      </c>
    </row>
    <row r="52" spans="1:166" x14ac:dyDescent="0.45">
      <c r="A52" s="1">
        <v>48</v>
      </c>
      <c r="C52" s="308">
        <v>5</v>
      </c>
      <c r="D52" s="1">
        <v>-1</v>
      </c>
      <c r="E52" s="1">
        <v>150</v>
      </c>
      <c r="F52" s="1">
        <f>IF(C52=4,BI52,E52)</f>
        <v>150</v>
      </c>
      <c r="G52" s="1"/>
      <c r="H52" s="1">
        <f t="shared" si="137"/>
        <v>0</v>
      </c>
      <c r="I52" s="1">
        <f t="shared" si="138"/>
        <v>0</v>
      </c>
      <c r="J52" s="1">
        <v>0</v>
      </c>
      <c r="K52" s="313">
        <v>0</v>
      </c>
      <c r="L52" s="314">
        <v>0</v>
      </c>
      <c r="M52" s="320">
        <f>ROUND(IF(L52&lt;&gt;0,$BI$4/('全局参数|GlobalPar'!$B$18/10000/E52)/L52,0),6)</f>
        <v>0</v>
      </c>
      <c r="N52" s="320">
        <f t="shared" si="110"/>
        <v>0</v>
      </c>
      <c r="O52" s="323">
        <v>0</v>
      </c>
      <c r="P52" s="322">
        <v>12</v>
      </c>
      <c r="Q52" s="331">
        <v>1</v>
      </c>
      <c r="R52" s="332" t="s">
        <v>1144</v>
      </c>
      <c r="S52" s="1"/>
      <c r="T52" s="333">
        <v>0</v>
      </c>
      <c r="U52" s="348">
        <v>0</v>
      </c>
      <c r="V52" s="348">
        <v>0</v>
      </c>
      <c r="W52" s="348">
        <v>0</v>
      </c>
      <c r="X52" s="1" t="s">
        <v>1145</v>
      </c>
      <c r="Y52" s="192" t="s">
        <v>1146</v>
      </c>
      <c r="Z52" s="192">
        <v>0</v>
      </c>
      <c r="AA52" s="192">
        <v>0</v>
      </c>
      <c r="AB52" s="354">
        <v>0</v>
      </c>
      <c r="AC52" s="1">
        <f>IF(C52=4,1,IF(OR(C52=5,C52=6),2,-1))</f>
        <v>2</v>
      </c>
      <c r="AD52" s="1">
        <v>0</v>
      </c>
      <c r="AE52" s="1">
        <v>2</v>
      </c>
      <c r="AF52" s="1"/>
      <c r="AG52" s="1">
        <v>0</v>
      </c>
      <c r="AH52" s="1">
        <v>1.5</v>
      </c>
      <c r="AI52" s="1">
        <v>1</v>
      </c>
      <c r="AJ52" s="1">
        <v>1</v>
      </c>
      <c r="AK52" s="1">
        <v>1</v>
      </c>
      <c r="AL52" s="1" t="s">
        <v>1267</v>
      </c>
      <c r="AM52" s="1"/>
      <c r="AN52" s="1"/>
      <c r="AO52" s="356">
        <v>1</v>
      </c>
      <c r="AP52" s="1">
        <v>150</v>
      </c>
      <c r="AQ52" s="1">
        <v>0.18</v>
      </c>
      <c r="AR52" s="1">
        <v>0.8</v>
      </c>
      <c r="AS52" s="1">
        <v>1</v>
      </c>
      <c r="AT52" s="1" t="s">
        <v>1303</v>
      </c>
      <c r="AU52" s="360"/>
      <c r="AV52" s="360" t="s">
        <v>1304</v>
      </c>
      <c r="AW52" s="360"/>
      <c r="AX52" s="360"/>
      <c r="AY52" s="1">
        <f t="shared" si="111"/>
        <v>15</v>
      </c>
      <c r="AZ52" s="362">
        <f t="shared" si="127"/>
        <v>4</v>
      </c>
      <c r="BA52" s="1" t="s">
        <v>1305</v>
      </c>
      <c r="BB52" s="1">
        <f t="shared" si="112"/>
        <v>1.119</v>
      </c>
      <c r="BC52" s="1"/>
      <c r="BD52" s="1">
        <f t="shared" si="128"/>
        <v>150</v>
      </c>
      <c r="BE52" s="1">
        <f>IF(N52=0,BD52,BD52*(1+$BL$1))</f>
        <v>150</v>
      </c>
      <c r="BG52" s="1">
        <f t="shared" si="129"/>
        <v>0</v>
      </c>
      <c r="BR52" s="301">
        <f t="shared" si="130"/>
        <v>165</v>
      </c>
      <c r="BS52" s="356">
        <f t="shared" si="101"/>
        <v>0</v>
      </c>
      <c r="BT52" s="297">
        <v>6</v>
      </c>
      <c r="BU52" s="1">
        <v>5</v>
      </c>
      <c r="BV52" s="297">
        <v>8</v>
      </c>
      <c r="BW52" s="1">
        <v>2</v>
      </c>
      <c r="BX52" s="297">
        <v>10</v>
      </c>
      <c r="BY52" s="1">
        <v>2</v>
      </c>
      <c r="BZ52" s="1">
        <f t="shared" si="80"/>
        <v>7.333333333333333</v>
      </c>
      <c r="CA52" s="1">
        <f t="shared" si="136"/>
        <v>7.5</v>
      </c>
      <c r="CB52" s="389">
        <f t="shared" si="104"/>
        <v>0</v>
      </c>
      <c r="CC52" s="1">
        <f t="shared" si="136"/>
        <v>15</v>
      </c>
      <c r="CD52" s="391">
        <f t="shared" si="105"/>
        <v>0</v>
      </c>
      <c r="CE52" s="1">
        <f t="shared" si="136"/>
        <v>22.5</v>
      </c>
      <c r="CF52" s="392">
        <f t="shared" si="106"/>
        <v>0</v>
      </c>
      <c r="CH52" s="190">
        <v>0</v>
      </c>
      <c r="CI52" s="403">
        <f t="shared" si="102"/>
        <v>0</v>
      </c>
      <c r="CJ52" s="402">
        <f t="shared" si="131"/>
        <v>0</v>
      </c>
      <c r="CK52" s="411">
        <f t="shared" si="132"/>
        <v>0</v>
      </c>
      <c r="CL52" s="411">
        <f t="shared" si="18"/>
        <v>0</v>
      </c>
      <c r="CM52" s="412">
        <f t="shared" si="82"/>
        <v>0</v>
      </c>
      <c r="CN52" s="413">
        <f t="shared" si="133"/>
        <v>0</v>
      </c>
      <c r="CO52" s="411">
        <f t="shared" si="20"/>
        <v>0</v>
      </c>
      <c r="CP52" s="429" t="e">
        <f t="shared" si="134"/>
        <v>#DIV/0!</v>
      </c>
      <c r="CQ52" s="430">
        <f t="shared" si="83"/>
        <v>12</v>
      </c>
      <c r="CR52" s="431">
        <f t="shared" si="84"/>
        <v>1</v>
      </c>
      <c r="CS52" s="332"/>
      <c r="CT52" s="322">
        <v>12</v>
      </c>
      <c r="CU52" s="331">
        <v>1</v>
      </c>
      <c r="CW52" s="436"/>
      <c r="DB52" s="438"/>
      <c r="DC52" s="430">
        <v>0</v>
      </c>
      <c r="DD52" s="402">
        <v>1</v>
      </c>
      <c r="DE52" s="438">
        <f t="shared" si="22"/>
        <v>0</v>
      </c>
      <c r="DF52" s="430">
        <f t="shared" si="23"/>
        <v>0</v>
      </c>
      <c r="DG52" s="402">
        <f t="shared" si="85"/>
        <v>1</v>
      </c>
      <c r="DH52" s="438">
        <f t="shared" si="25"/>
        <v>0</v>
      </c>
      <c r="DI52" s="430">
        <f t="shared" si="26"/>
        <v>0</v>
      </c>
      <c r="DJ52" s="402">
        <f t="shared" si="86"/>
        <v>1</v>
      </c>
      <c r="DK52" s="438">
        <f t="shared" si="28"/>
        <v>0</v>
      </c>
      <c r="DL52" s="430">
        <f t="shared" si="87"/>
        <v>0</v>
      </c>
      <c r="DM52" s="402">
        <f t="shared" si="88"/>
        <v>1</v>
      </c>
      <c r="DN52" s="438">
        <f t="shared" si="31"/>
        <v>0</v>
      </c>
      <c r="DO52" s="430">
        <f t="shared" si="89"/>
        <v>0</v>
      </c>
      <c r="DP52" s="402">
        <f t="shared" si="90"/>
        <v>1</v>
      </c>
      <c r="DQ52" s="438">
        <f t="shared" si="34"/>
        <v>0</v>
      </c>
      <c r="DR52" s="430">
        <f t="shared" si="91"/>
        <v>0</v>
      </c>
      <c r="DS52" s="402">
        <f t="shared" si="92"/>
        <v>1</v>
      </c>
      <c r="DT52" s="438">
        <f t="shared" si="37"/>
        <v>0</v>
      </c>
      <c r="DU52" s="430">
        <f t="shared" si="93"/>
        <v>0</v>
      </c>
      <c r="DV52" s="402">
        <f t="shared" si="94"/>
        <v>1</v>
      </c>
      <c r="DW52" s="438">
        <f t="shared" si="40"/>
        <v>0</v>
      </c>
      <c r="DX52" s="430">
        <f t="shared" si="95"/>
        <v>0</v>
      </c>
      <c r="DY52" s="402">
        <f t="shared" si="96"/>
        <v>1</v>
      </c>
      <c r="DZ52" s="438">
        <f t="shared" si="43"/>
        <v>0</v>
      </c>
      <c r="EA52" s="430">
        <f t="shared" si="97"/>
        <v>0</v>
      </c>
      <c r="EB52" s="402">
        <f t="shared" si="98"/>
        <v>1</v>
      </c>
      <c r="EC52" s="438">
        <f t="shared" si="46"/>
        <v>0</v>
      </c>
      <c r="ED52" s="430">
        <f t="shared" si="99"/>
        <v>0</v>
      </c>
      <c r="EE52" s="402">
        <f t="shared" si="100"/>
        <v>1</v>
      </c>
      <c r="EF52" s="438">
        <f t="shared" si="49"/>
        <v>0</v>
      </c>
      <c r="EG52" s="430">
        <f t="shared" si="142"/>
        <v>0</v>
      </c>
      <c r="EH52" s="402">
        <f t="shared" si="51"/>
        <v>2</v>
      </c>
      <c r="EI52" s="438">
        <f t="shared" si="52"/>
        <v>0</v>
      </c>
      <c r="EJ52" s="430">
        <f t="shared" si="142"/>
        <v>0</v>
      </c>
      <c r="EK52" s="402">
        <f t="shared" si="54"/>
        <v>4</v>
      </c>
      <c r="EL52" s="438">
        <f t="shared" si="55"/>
        <v>0</v>
      </c>
      <c r="EM52" s="430">
        <f t="shared" si="142"/>
        <v>0</v>
      </c>
      <c r="EN52" s="402">
        <f t="shared" si="57"/>
        <v>6</v>
      </c>
      <c r="EO52" s="438">
        <f t="shared" si="58"/>
        <v>0</v>
      </c>
      <c r="EP52" s="430">
        <f t="shared" si="142"/>
        <v>0</v>
      </c>
      <c r="EQ52" s="402">
        <f t="shared" si="60"/>
        <v>8</v>
      </c>
      <c r="ER52" s="438">
        <f t="shared" si="61"/>
        <v>0</v>
      </c>
      <c r="ES52" s="430">
        <f t="shared" si="142"/>
        <v>0</v>
      </c>
      <c r="ET52" s="402">
        <f t="shared" si="63"/>
        <v>10</v>
      </c>
      <c r="EU52" s="438">
        <f t="shared" si="64"/>
        <v>0</v>
      </c>
      <c r="EV52" s="430">
        <f t="shared" si="142"/>
        <v>0</v>
      </c>
      <c r="EW52" s="402">
        <f t="shared" si="66"/>
        <v>20</v>
      </c>
      <c r="EX52" s="438">
        <f t="shared" si="67"/>
        <v>0</v>
      </c>
      <c r="EY52" s="430">
        <f t="shared" si="142"/>
        <v>0</v>
      </c>
      <c r="EZ52" s="402">
        <f t="shared" si="69"/>
        <v>40</v>
      </c>
      <c r="FA52" s="438">
        <f t="shared" si="70"/>
        <v>0</v>
      </c>
      <c r="FB52" s="430">
        <f t="shared" si="142"/>
        <v>0</v>
      </c>
      <c r="FC52" s="402">
        <f t="shared" si="72"/>
        <v>60</v>
      </c>
      <c r="FD52" s="438">
        <f t="shared" si="73"/>
        <v>0</v>
      </c>
      <c r="FE52" s="430">
        <f t="shared" si="142"/>
        <v>0</v>
      </c>
      <c r="FF52" s="402">
        <f t="shared" si="75"/>
        <v>80</v>
      </c>
      <c r="FG52" s="438">
        <f t="shared" si="76"/>
        <v>0</v>
      </c>
      <c r="FH52" s="430">
        <f t="shared" si="142"/>
        <v>0</v>
      </c>
      <c r="FI52" s="402">
        <f t="shared" si="78"/>
        <v>100</v>
      </c>
      <c r="FJ52" s="438">
        <f t="shared" si="79"/>
        <v>0</v>
      </c>
    </row>
    <row r="53" spans="1:166" x14ac:dyDescent="0.45">
      <c r="A53" s="1">
        <v>49</v>
      </c>
      <c r="C53" s="309">
        <v>7</v>
      </c>
      <c r="D53" s="1">
        <v>-1</v>
      </c>
      <c r="E53" s="1">
        <v>150</v>
      </c>
      <c r="F53" s="1"/>
      <c r="G53" s="1"/>
      <c r="H53" s="1">
        <f t="shared" si="137"/>
        <v>0</v>
      </c>
      <c r="I53" s="1">
        <f t="shared" si="138"/>
        <v>0</v>
      </c>
      <c r="J53" s="1">
        <v>0</v>
      </c>
      <c r="K53" s="313">
        <v>0</v>
      </c>
      <c r="L53" s="314">
        <v>0</v>
      </c>
      <c r="M53" s="320">
        <f>ROUND(IF(L53&lt;&gt;0,$BI$4/('全局参数|GlobalPar'!$B$18/10000/E53)/L53,0),6)</f>
        <v>0</v>
      </c>
      <c r="N53" s="320">
        <f t="shared" si="110"/>
        <v>0</v>
      </c>
      <c r="O53" s="323">
        <v>0</v>
      </c>
      <c r="P53" s="322">
        <v>12</v>
      </c>
      <c r="Q53" s="331">
        <v>1</v>
      </c>
      <c r="R53" s="332" t="s">
        <v>1144</v>
      </c>
      <c r="S53" s="297"/>
      <c r="T53" s="1">
        <f t="shared" ref="T53" si="145">T40</f>
        <v>0</v>
      </c>
      <c r="U53" s="348">
        <v>0</v>
      </c>
      <c r="V53" s="348">
        <v>0</v>
      </c>
      <c r="W53" s="348">
        <v>0</v>
      </c>
      <c r="X53" s="1" t="s">
        <v>1145</v>
      </c>
      <c r="Y53" s="192" t="s">
        <v>1146</v>
      </c>
      <c r="Z53" s="192">
        <v>0</v>
      </c>
      <c r="AA53" s="192">
        <v>0</v>
      </c>
      <c r="AB53" s="354">
        <v>8</v>
      </c>
      <c r="AC53" s="1">
        <v>1</v>
      </c>
      <c r="AD53" s="1">
        <v>1</v>
      </c>
      <c r="AE53" s="1">
        <v>2</v>
      </c>
      <c r="AF53" s="1"/>
      <c r="AG53" s="1">
        <v>0</v>
      </c>
      <c r="AH53" s="1">
        <v>1.5</v>
      </c>
      <c r="AI53" s="1">
        <v>1</v>
      </c>
      <c r="AJ53" s="1">
        <v>1</v>
      </c>
      <c r="AK53" s="1">
        <v>1</v>
      </c>
      <c r="AL53" s="1"/>
      <c r="AM53" s="1"/>
      <c r="AN53" s="1"/>
      <c r="AO53" s="356">
        <v>1</v>
      </c>
      <c r="AP53" s="1">
        <v>1500</v>
      </c>
      <c r="AQ53" s="1">
        <v>0.18</v>
      </c>
      <c r="AR53" s="196">
        <v>0.5</v>
      </c>
      <c r="AS53" s="1">
        <v>1</v>
      </c>
      <c r="AT53" s="1" t="s">
        <v>1294</v>
      </c>
      <c r="AU53" s="361" t="s">
        <v>1306</v>
      </c>
      <c r="AV53" s="361" t="s">
        <v>1307</v>
      </c>
      <c r="AW53" s="300" t="s">
        <v>454</v>
      </c>
      <c r="AX53" s="300" t="s">
        <v>333</v>
      </c>
      <c r="AY53" s="1">
        <f t="shared" si="111"/>
        <v>15</v>
      </c>
      <c r="AZ53" s="362">
        <f t="shared" si="127"/>
        <v>4</v>
      </c>
      <c r="BA53" s="1" t="s">
        <v>1305</v>
      </c>
      <c r="BB53" s="1">
        <f t="shared" si="112"/>
        <v>1.5</v>
      </c>
      <c r="BC53" s="1"/>
      <c r="BD53" s="1">
        <f t="shared" si="128"/>
        <v>150</v>
      </c>
      <c r="BE53" s="1">
        <f>IF(N53=0,BD53,BD53*(1+$BL$1))</f>
        <v>150</v>
      </c>
      <c r="BG53" s="1">
        <f t="shared" si="129"/>
        <v>0</v>
      </c>
      <c r="BR53" s="301">
        <f t="shared" si="130"/>
        <v>165</v>
      </c>
      <c r="BS53" s="356">
        <f t="shared" si="101"/>
        <v>0</v>
      </c>
      <c r="BT53" s="297">
        <v>6</v>
      </c>
      <c r="BU53" s="1">
        <v>5</v>
      </c>
      <c r="BV53" s="297">
        <v>8</v>
      </c>
      <c r="BW53" s="1">
        <v>2</v>
      </c>
      <c r="BX53" s="297">
        <v>10</v>
      </c>
      <c r="BY53" s="1">
        <v>2</v>
      </c>
      <c r="BZ53" s="1">
        <f t="shared" si="80"/>
        <v>7.333333333333333</v>
      </c>
      <c r="CA53" s="1">
        <f t="shared" si="136"/>
        <v>7.5</v>
      </c>
      <c r="CB53" s="389">
        <f t="shared" si="104"/>
        <v>0</v>
      </c>
      <c r="CC53" s="1">
        <f t="shared" si="136"/>
        <v>15</v>
      </c>
      <c r="CD53" s="391">
        <f t="shared" si="105"/>
        <v>0</v>
      </c>
      <c r="CE53" s="1">
        <f t="shared" si="136"/>
        <v>22.5</v>
      </c>
      <c r="CF53" s="392">
        <f t="shared" si="106"/>
        <v>0</v>
      </c>
      <c r="CH53" s="190">
        <v>0</v>
      </c>
      <c r="CI53" s="403">
        <f t="shared" si="102"/>
        <v>0</v>
      </c>
      <c r="CJ53" s="402">
        <f t="shared" si="131"/>
        <v>0</v>
      </c>
      <c r="CK53" s="411">
        <f t="shared" si="132"/>
        <v>0</v>
      </c>
      <c r="CL53" s="411">
        <f t="shared" si="18"/>
        <v>0</v>
      </c>
      <c r="CM53" s="412">
        <f t="shared" si="82"/>
        <v>0</v>
      </c>
      <c r="CN53" s="413">
        <f t="shared" si="133"/>
        <v>0</v>
      </c>
      <c r="CO53" s="411">
        <f t="shared" si="20"/>
        <v>0</v>
      </c>
      <c r="CP53" s="429" t="e">
        <f t="shared" si="134"/>
        <v>#DIV/0!</v>
      </c>
      <c r="CQ53" s="430">
        <f t="shared" si="83"/>
        <v>12</v>
      </c>
      <c r="CR53" s="431">
        <f t="shared" si="84"/>
        <v>1</v>
      </c>
      <c r="CS53" s="332"/>
      <c r="CT53" s="322">
        <v>12</v>
      </c>
      <c r="CU53" s="331">
        <v>1</v>
      </c>
      <c r="CW53" s="436"/>
      <c r="DB53" s="438"/>
      <c r="DC53" s="430">
        <v>10</v>
      </c>
      <c r="DD53" s="402">
        <v>1</v>
      </c>
      <c r="DE53" s="439">
        <f>IF(DC53=0,0,DC$4*$E53/DC53*$CZ$2)*2</f>
        <v>4.8000000000000048E-3</v>
      </c>
      <c r="DF53" s="430">
        <f t="shared" si="23"/>
        <v>10</v>
      </c>
      <c r="DG53" s="402">
        <f t="shared" si="85"/>
        <v>1</v>
      </c>
      <c r="DH53" s="439">
        <f>IF(DF53=0,0,DF$4*$E53/DF53*$CZ$2)*2</f>
        <v>9.6000000000000096E-3</v>
      </c>
      <c r="DI53" s="430">
        <f t="shared" si="26"/>
        <v>10</v>
      </c>
      <c r="DJ53" s="402">
        <f t="shared" si="86"/>
        <v>1</v>
      </c>
      <c r="DK53" s="439">
        <f>IF(DI53=0,0,DI$4*$E53/DI53*$CZ$2)*2</f>
        <v>1.4400000000000015E-2</v>
      </c>
      <c r="DL53" s="430">
        <f t="shared" si="87"/>
        <v>10</v>
      </c>
      <c r="DM53" s="402">
        <f t="shared" si="88"/>
        <v>1</v>
      </c>
      <c r="DN53" s="439">
        <f>IF(DL53=0,0,DL$4*$E53/DL53*$CZ$2)*2</f>
        <v>1.9200000000000019E-2</v>
      </c>
      <c r="DO53" s="430">
        <f t="shared" si="89"/>
        <v>10</v>
      </c>
      <c r="DP53" s="402">
        <f t="shared" si="90"/>
        <v>1</v>
      </c>
      <c r="DQ53" s="439">
        <f>IF(DO53=0,0,DO$4*$E53/DO53*$CZ$2)*2</f>
        <v>2.4000000000000025E-2</v>
      </c>
      <c r="DR53" s="430">
        <f t="shared" si="91"/>
        <v>10</v>
      </c>
      <c r="DS53" s="402">
        <f t="shared" si="92"/>
        <v>1</v>
      </c>
      <c r="DT53" s="439">
        <f>IF(DR53=0,0,DR$4*$E53/DR53*$CZ$2)*2</f>
        <v>4.800000000000005E-2</v>
      </c>
      <c r="DU53" s="430">
        <f t="shared" si="93"/>
        <v>10</v>
      </c>
      <c r="DV53" s="402">
        <f t="shared" si="94"/>
        <v>1</v>
      </c>
      <c r="DW53" s="439">
        <f>IF(DU53=0,0,DU$4*$E53/DU53*$CZ$2)*2</f>
        <v>9.6000000000000099E-2</v>
      </c>
      <c r="DX53" s="430">
        <f t="shared" si="95"/>
        <v>10</v>
      </c>
      <c r="DY53" s="402">
        <f t="shared" si="96"/>
        <v>1</v>
      </c>
      <c r="DZ53" s="439">
        <f>IF(DX53=0,0,DX$4*$E53/DX53*$CZ$2)*2</f>
        <v>0.14400000000000016</v>
      </c>
      <c r="EA53" s="430">
        <f t="shared" si="97"/>
        <v>10</v>
      </c>
      <c r="EB53" s="402">
        <f t="shared" si="98"/>
        <v>1</v>
      </c>
      <c r="EC53" s="439">
        <f>IF(EA53=0,0,EA$4*$E53/EA53*$CZ$2)*2</f>
        <v>0.1920000000000002</v>
      </c>
      <c r="ED53" s="430">
        <f t="shared" si="99"/>
        <v>10</v>
      </c>
      <c r="EE53" s="402">
        <f t="shared" si="100"/>
        <v>1</v>
      </c>
      <c r="EF53" s="439">
        <f>IF(ED53=0,0,ED$4*$E53/ED53*$CZ$2)*2</f>
        <v>0.24000000000000024</v>
      </c>
      <c r="EG53" s="430">
        <f t="shared" si="142"/>
        <v>20</v>
      </c>
      <c r="EH53" s="402">
        <f t="shared" si="51"/>
        <v>2</v>
      </c>
      <c r="EI53" s="439">
        <f>IF(EG53=0,0,EG$4*$E53/EG53*$CZ$2)*2</f>
        <v>0.24000000000000024</v>
      </c>
      <c r="EJ53" s="430">
        <f t="shared" si="142"/>
        <v>40</v>
      </c>
      <c r="EK53" s="402">
        <f t="shared" si="54"/>
        <v>4</v>
      </c>
      <c r="EL53" s="439">
        <f>IF(EJ53=0,0,EJ$4*$E53/EJ53*$CZ$2)*2</f>
        <v>0.24000000000000024</v>
      </c>
      <c r="EM53" s="430">
        <f t="shared" si="142"/>
        <v>60</v>
      </c>
      <c r="EN53" s="402">
        <f t="shared" si="57"/>
        <v>6</v>
      </c>
      <c r="EO53" s="439">
        <f>IF(EM53=0,0,EM$4*$E53/EM53*$CZ$2)*2</f>
        <v>0.24000000000000024</v>
      </c>
      <c r="EP53" s="430">
        <f t="shared" si="142"/>
        <v>80</v>
      </c>
      <c r="EQ53" s="402">
        <f t="shared" si="60"/>
        <v>8</v>
      </c>
      <c r="ER53" s="439">
        <f>IF(EP53=0,0,EP$4*$E53/EP53*$CZ$2)*2</f>
        <v>0.24000000000000024</v>
      </c>
      <c r="ES53" s="430">
        <f t="shared" si="142"/>
        <v>100</v>
      </c>
      <c r="ET53" s="402">
        <f t="shared" si="63"/>
        <v>10</v>
      </c>
      <c r="EU53" s="439">
        <f>IF(ES53=0,0,ES$4*$E53/ES53*$CZ$2)*2</f>
        <v>0.24000000000000024</v>
      </c>
      <c r="EV53" s="430">
        <f t="shared" si="142"/>
        <v>200</v>
      </c>
      <c r="EW53" s="402">
        <f t="shared" si="66"/>
        <v>20</v>
      </c>
      <c r="EX53" s="439">
        <f>IF(EV53=0,0,EV$4*$E53/EV53*$CZ$2)*2</f>
        <v>0.24000000000000024</v>
      </c>
      <c r="EY53" s="430">
        <f t="shared" si="142"/>
        <v>400</v>
      </c>
      <c r="EZ53" s="402">
        <f t="shared" si="69"/>
        <v>40</v>
      </c>
      <c r="FA53" s="439">
        <f>IF(EY53=0,0,EY$4*$E53/EY53*$CZ$2)*2</f>
        <v>0.24000000000000024</v>
      </c>
      <c r="FB53" s="430">
        <f t="shared" si="142"/>
        <v>600</v>
      </c>
      <c r="FC53" s="402">
        <f t="shared" si="72"/>
        <v>60</v>
      </c>
      <c r="FD53" s="439">
        <f>IF(FB53=0,0,FB$4*$E53/FB53*$CZ$2)*2</f>
        <v>0.24000000000000024</v>
      </c>
      <c r="FE53" s="430">
        <f t="shared" si="142"/>
        <v>800</v>
      </c>
      <c r="FF53" s="402">
        <f t="shared" si="75"/>
        <v>80</v>
      </c>
      <c r="FG53" s="439">
        <f>IF(FE53=0,0,FE$4*$E53/FE53*$CZ$2)*2</f>
        <v>0.24000000000000024</v>
      </c>
      <c r="FH53" s="430">
        <f t="shared" si="142"/>
        <v>1000</v>
      </c>
      <c r="FI53" s="402">
        <f t="shared" si="78"/>
        <v>100</v>
      </c>
      <c r="FJ53" s="439">
        <f>IF(FH53=0,0,FH$4*$E53/FH53*$CZ$2)*2</f>
        <v>0.24000000000000024</v>
      </c>
    </row>
    <row r="54" spans="1:166" x14ac:dyDescent="0.45">
      <c r="A54" s="1">
        <v>50</v>
      </c>
      <c r="C54" s="308">
        <v>5</v>
      </c>
      <c r="D54" s="1">
        <v>-1</v>
      </c>
      <c r="E54" s="1">
        <v>300</v>
      </c>
      <c r="F54" s="1">
        <f>IF(C54=4,BI54,E54)</f>
        <v>300</v>
      </c>
      <c r="G54" s="1"/>
      <c r="H54" s="1">
        <f t="shared" si="137"/>
        <v>0</v>
      </c>
      <c r="I54" s="1">
        <f t="shared" si="138"/>
        <v>0</v>
      </c>
      <c r="J54" s="1">
        <v>0</v>
      </c>
      <c r="K54" s="313">
        <v>0</v>
      </c>
      <c r="L54" s="314">
        <v>0</v>
      </c>
      <c r="M54" s="320">
        <f>ROUND(IF(L54&lt;&gt;0,$BI$4/('全局参数|GlobalPar'!$B$18/10000/E54)/L54,0),6)</f>
        <v>0</v>
      </c>
      <c r="N54" s="320">
        <f t="shared" si="110"/>
        <v>0</v>
      </c>
      <c r="O54" s="323">
        <v>0</v>
      </c>
      <c r="P54" s="322">
        <v>12</v>
      </c>
      <c r="Q54" s="331">
        <v>1</v>
      </c>
      <c r="R54" s="332" t="s">
        <v>1144</v>
      </c>
      <c r="S54" s="1"/>
      <c r="T54" s="333">
        <v>0</v>
      </c>
      <c r="U54" s="348">
        <v>0</v>
      </c>
      <c r="V54" s="348">
        <v>0</v>
      </c>
      <c r="W54" s="348">
        <v>0</v>
      </c>
      <c r="X54" s="1" t="s">
        <v>1145</v>
      </c>
      <c r="Y54" s="192" t="s">
        <v>1146</v>
      </c>
      <c r="Z54" s="192">
        <v>0</v>
      </c>
      <c r="AA54" s="192">
        <v>0</v>
      </c>
      <c r="AB54" s="354">
        <v>0</v>
      </c>
      <c r="AC54" s="1">
        <f>IF(C54=4,1,IF(OR(C54=5,C54=6),2,-1))</f>
        <v>2</v>
      </c>
      <c r="AD54" s="1">
        <v>0</v>
      </c>
      <c r="AE54" s="1">
        <v>2</v>
      </c>
      <c r="AF54" s="1"/>
      <c r="AG54" s="1">
        <v>0</v>
      </c>
      <c r="AH54" s="1">
        <v>1.5</v>
      </c>
      <c r="AI54" s="1">
        <v>1</v>
      </c>
      <c r="AJ54" s="1">
        <v>1</v>
      </c>
      <c r="AK54" s="1">
        <v>1</v>
      </c>
      <c r="AL54" s="1"/>
      <c r="AM54" s="1"/>
      <c r="AN54" s="1"/>
      <c r="AO54" s="356">
        <v>1</v>
      </c>
      <c r="AP54" s="1">
        <v>300</v>
      </c>
      <c r="AQ54" s="1">
        <v>0.18</v>
      </c>
      <c r="AR54" s="1">
        <v>0.8</v>
      </c>
      <c r="AS54" s="1">
        <v>1</v>
      </c>
      <c r="AT54" s="1" t="s">
        <v>1303</v>
      </c>
      <c r="AU54" s="360"/>
      <c r="AV54" s="360" t="s">
        <v>1304</v>
      </c>
      <c r="AW54" s="360"/>
      <c r="AX54" s="360"/>
      <c r="AY54" s="1">
        <f t="shared" si="111"/>
        <v>30</v>
      </c>
      <c r="AZ54" s="362">
        <f t="shared" si="127"/>
        <v>2</v>
      </c>
      <c r="BA54" s="1" t="s">
        <v>1305</v>
      </c>
      <c r="BB54" s="1">
        <f t="shared" si="112"/>
        <v>1.119</v>
      </c>
      <c r="BC54" s="1"/>
      <c r="BD54" s="1">
        <f t="shared" si="128"/>
        <v>300</v>
      </c>
      <c r="BE54" s="1">
        <f>IF(N54=0,BD54,BD54*(1+$BL$1))</f>
        <v>300</v>
      </c>
      <c r="BG54" s="1">
        <f t="shared" si="129"/>
        <v>0</v>
      </c>
      <c r="BR54" s="301">
        <f t="shared" si="130"/>
        <v>330</v>
      </c>
      <c r="BS54" s="356">
        <f t="shared" si="101"/>
        <v>0</v>
      </c>
      <c r="BT54" s="297">
        <v>6</v>
      </c>
      <c r="BU54" s="1">
        <v>5</v>
      </c>
      <c r="BV54" s="297">
        <v>8</v>
      </c>
      <c r="BW54" s="1">
        <v>2</v>
      </c>
      <c r="BX54" s="297">
        <v>10</v>
      </c>
      <c r="BY54" s="1">
        <v>2</v>
      </c>
      <c r="BZ54" s="1">
        <f t="shared" si="80"/>
        <v>7.333333333333333</v>
      </c>
      <c r="CA54" s="1">
        <f t="shared" si="136"/>
        <v>7.5</v>
      </c>
      <c r="CB54" s="389">
        <f t="shared" si="104"/>
        <v>0</v>
      </c>
      <c r="CC54" s="1">
        <f t="shared" si="136"/>
        <v>15</v>
      </c>
      <c r="CD54" s="391">
        <f t="shared" si="105"/>
        <v>0</v>
      </c>
      <c r="CE54" s="1">
        <f t="shared" si="136"/>
        <v>22.5</v>
      </c>
      <c r="CF54" s="392">
        <f t="shared" si="106"/>
        <v>0</v>
      </c>
      <c r="CH54" s="190">
        <v>0</v>
      </c>
      <c r="CI54" s="403">
        <f t="shared" si="102"/>
        <v>0</v>
      </c>
      <c r="CJ54" s="402">
        <f t="shared" si="131"/>
        <v>0</v>
      </c>
      <c r="CK54" s="411">
        <f t="shared" si="132"/>
        <v>0</v>
      </c>
      <c r="CL54" s="411">
        <f t="shared" si="18"/>
        <v>0</v>
      </c>
      <c r="CM54" s="412">
        <f t="shared" si="82"/>
        <v>0</v>
      </c>
      <c r="CN54" s="413">
        <f t="shared" si="133"/>
        <v>0</v>
      </c>
      <c r="CO54" s="411">
        <f t="shared" si="20"/>
        <v>0</v>
      </c>
      <c r="CP54" s="429" t="e">
        <f t="shared" si="134"/>
        <v>#DIV/0!</v>
      </c>
      <c r="CQ54" s="430">
        <f t="shared" si="83"/>
        <v>12</v>
      </c>
      <c r="CR54" s="431">
        <f t="shared" si="84"/>
        <v>1</v>
      </c>
      <c r="CS54" s="332"/>
      <c r="CT54" s="322">
        <v>12</v>
      </c>
      <c r="CU54" s="331">
        <v>1</v>
      </c>
      <c r="CW54" s="436"/>
      <c r="DB54" s="438"/>
      <c r="DC54" s="430">
        <v>0</v>
      </c>
      <c r="DD54" s="402">
        <v>1</v>
      </c>
      <c r="DE54" s="438">
        <f t="shared" ref="DE54:DE62" si="146">IF(DC54=0,0,DC$4*$E54/DC54*$CZ$2)</f>
        <v>0</v>
      </c>
      <c r="DF54" s="430">
        <f t="shared" si="23"/>
        <v>0</v>
      </c>
      <c r="DG54" s="402">
        <f t="shared" si="85"/>
        <v>1</v>
      </c>
      <c r="DH54" s="438">
        <f t="shared" ref="DH54:DH62" si="147">IF(DF54=0,0,DF$4*$E54/DF54*$CZ$2)</f>
        <v>0</v>
      </c>
      <c r="DI54" s="430">
        <f t="shared" si="26"/>
        <v>0</v>
      </c>
      <c r="DJ54" s="402">
        <f t="shared" si="86"/>
        <v>1</v>
      </c>
      <c r="DK54" s="438">
        <f t="shared" ref="DK54:DK62" si="148">IF(DI54=0,0,DI$4*$E54/DI54*$CZ$2)</f>
        <v>0</v>
      </c>
      <c r="DL54" s="430">
        <f t="shared" si="87"/>
        <v>0</v>
      </c>
      <c r="DM54" s="402">
        <f t="shared" si="88"/>
        <v>1</v>
      </c>
      <c r="DN54" s="438">
        <f t="shared" ref="DN54:DN62" si="149">IF(DL54=0,0,DL$4*$E54/DL54*$CZ$2)</f>
        <v>0</v>
      </c>
      <c r="DO54" s="430">
        <f t="shared" si="89"/>
        <v>0</v>
      </c>
      <c r="DP54" s="402">
        <f t="shared" si="90"/>
        <v>1</v>
      </c>
      <c r="DQ54" s="438">
        <f t="shared" ref="DQ54:DQ62" si="150">IF(DO54=0,0,DO$4*$E54/DO54*$CZ$2)</f>
        <v>0</v>
      </c>
      <c r="DR54" s="430">
        <f t="shared" si="91"/>
        <v>0</v>
      </c>
      <c r="DS54" s="402">
        <f t="shared" si="92"/>
        <v>1</v>
      </c>
      <c r="DT54" s="438">
        <f t="shared" ref="DT54:DT62" si="151">IF(DR54=0,0,DR$4*$E54/DR54*$CZ$2)</f>
        <v>0</v>
      </c>
      <c r="DU54" s="430">
        <f t="shared" si="93"/>
        <v>0</v>
      </c>
      <c r="DV54" s="402">
        <f t="shared" si="94"/>
        <v>1</v>
      </c>
      <c r="DW54" s="438">
        <f t="shared" ref="DW54:DW62" si="152">IF(DU54=0,0,DU$4*$E54/DU54*$CZ$2)</f>
        <v>0</v>
      </c>
      <c r="DX54" s="430">
        <f t="shared" si="95"/>
        <v>0</v>
      </c>
      <c r="DY54" s="402">
        <f t="shared" si="96"/>
        <v>1</v>
      </c>
      <c r="DZ54" s="438">
        <f t="shared" ref="DZ54:DZ62" si="153">IF(DX54=0,0,DX$4*$E54/DX54*$CZ$2)</f>
        <v>0</v>
      </c>
      <c r="EA54" s="430">
        <f t="shared" si="97"/>
        <v>0</v>
      </c>
      <c r="EB54" s="402">
        <f t="shared" si="98"/>
        <v>1</v>
      </c>
      <c r="EC54" s="438">
        <f t="shared" ref="EC54:EC62" si="154">IF(EA54=0,0,EA$4*$E54/EA54*$CZ$2)</f>
        <v>0</v>
      </c>
      <c r="ED54" s="430">
        <f t="shared" si="99"/>
        <v>0</v>
      </c>
      <c r="EE54" s="402">
        <f t="shared" si="100"/>
        <v>1</v>
      </c>
      <c r="EF54" s="438">
        <f t="shared" ref="EF54:EF62" si="155">IF(ED54=0,0,ED$4*$E54/ED54*$CZ$2)</f>
        <v>0</v>
      </c>
      <c r="EG54" s="430">
        <f t="shared" si="142"/>
        <v>0</v>
      </c>
      <c r="EH54" s="402">
        <f t="shared" si="51"/>
        <v>2</v>
      </c>
      <c r="EI54" s="438">
        <f t="shared" ref="EI54:EI62" si="156">IF(EG54=0,0,EG$4*$E54/EG54*$CZ$2)</f>
        <v>0</v>
      </c>
      <c r="EJ54" s="430">
        <f t="shared" si="142"/>
        <v>0</v>
      </c>
      <c r="EK54" s="402">
        <f t="shared" si="54"/>
        <v>4</v>
      </c>
      <c r="EL54" s="438">
        <f t="shared" ref="EL54:EL62" si="157">IF(EJ54=0,0,EJ$4*$E54/EJ54*$CZ$2)</f>
        <v>0</v>
      </c>
      <c r="EM54" s="430">
        <f t="shared" si="142"/>
        <v>0</v>
      </c>
      <c r="EN54" s="402">
        <f t="shared" si="57"/>
        <v>6</v>
      </c>
      <c r="EO54" s="438">
        <f t="shared" ref="EO54:EO62" si="158">IF(EM54=0,0,EM$4*$E54/EM54*$CZ$2)</f>
        <v>0</v>
      </c>
      <c r="EP54" s="430">
        <f t="shared" si="142"/>
        <v>0</v>
      </c>
      <c r="EQ54" s="402">
        <f t="shared" si="60"/>
        <v>8</v>
      </c>
      <c r="ER54" s="438">
        <f t="shared" ref="ER54:ER62" si="159">IF(EP54=0,0,EP$4*$E54/EP54*$CZ$2)</f>
        <v>0</v>
      </c>
      <c r="ES54" s="430">
        <f t="shared" si="142"/>
        <v>0</v>
      </c>
      <c r="ET54" s="402">
        <f t="shared" si="63"/>
        <v>10</v>
      </c>
      <c r="EU54" s="438">
        <f t="shared" ref="EU54:EU62" si="160">IF(ES54=0,0,ES$4*$E54/ES54*$CZ$2)</f>
        <v>0</v>
      </c>
      <c r="EV54" s="430">
        <f t="shared" si="142"/>
        <v>0</v>
      </c>
      <c r="EW54" s="402">
        <f t="shared" si="66"/>
        <v>20</v>
      </c>
      <c r="EX54" s="438">
        <f t="shared" ref="EX54:EX62" si="161">IF(EV54=0,0,EV$4*$E54/EV54*$CZ$2)</f>
        <v>0</v>
      </c>
      <c r="EY54" s="430">
        <f t="shared" si="142"/>
        <v>0</v>
      </c>
      <c r="EZ54" s="402">
        <f t="shared" si="69"/>
        <v>40</v>
      </c>
      <c r="FA54" s="438">
        <f t="shared" ref="FA54:FA62" si="162">IF(EY54=0,0,EY$4*$E54/EY54*$CZ$2)</f>
        <v>0</v>
      </c>
      <c r="FB54" s="430">
        <f t="shared" si="142"/>
        <v>0</v>
      </c>
      <c r="FC54" s="402">
        <f t="shared" si="72"/>
        <v>60</v>
      </c>
      <c r="FD54" s="438">
        <f t="shared" ref="FD54:FD62" si="163">IF(FB54=0,0,FB$4*$E54/FB54*$CZ$2)</f>
        <v>0</v>
      </c>
      <c r="FE54" s="430">
        <f t="shared" si="142"/>
        <v>0</v>
      </c>
      <c r="FF54" s="402">
        <f t="shared" si="75"/>
        <v>80</v>
      </c>
      <c r="FG54" s="438">
        <f t="shared" ref="FG54:FG62" si="164">IF(FE54=0,0,FE$4*$E54/FE54*$CZ$2)</f>
        <v>0</v>
      </c>
      <c r="FH54" s="430">
        <f t="shared" si="142"/>
        <v>0</v>
      </c>
      <c r="FI54" s="402">
        <f t="shared" si="78"/>
        <v>100</v>
      </c>
      <c r="FJ54" s="438">
        <f t="shared" ref="FJ54:FJ62" si="165">IF(FH54=0,0,FH$4*$E54/FH54*$CZ$2)</f>
        <v>0</v>
      </c>
    </row>
    <row r="55" spans="1:166" x14ac:dyDescent="0.45">
      <c r="A55" s="1">
        <v>51</v>
      </c>
      <c r="C55" s="308">
        <v>5</v>
      </c>
      <c r="D55" s="1">
        <v>-1</v>
      </c>
      <c r="E55" s="1">
        <v>300</v>
      </c>
      <c r="F55" s="1">
        <f>IF(C55=4,BI55,E55)</f>
        <v>300</v>
      </c>
      <c r="G55" s="1"/>
      <c r="H55" s="1">
        <f t="shared" si="137"/>
        <v>0</v>
      </c>
      <c r="I55" s="1">
        <f t="shared" si="138"/>
        <v>0</v>
      </c>
      <c r="J55" s="1">
        <v>0</v>
      </c>
      <c r="K55" s="313">
        <v>0</v>
      </c>
      <c r="L55" s="314">
        <v>0</v>
      </c>
      <c r="M55" s="320">
        <f>ROUND(IF(L55&lt;&gt;0,$BI$4/('全局参数|GlobalPar'!$B$18/10000/E55)/L55,0),6)</f>
        <v>0</v>
      </c>
      <c r="N55" s="320">
        <f t="shared" si="110"/>
        <v>0</v>
      </c>
      <c r="O55" s="323">
        <v>0</v>
      </c>
      <c r="P55" s="322">
        <v>12</v>
      </c>
      <c r="Q55" s="331">
        <v>1</v>
      </c>
      <c r="R55" s="332" t="s">
        <v>1144</v>
      </c>
      <c r="S55" s="1"/>
      <c r="T55" s="333">
        <v>0</v>
      </c>
      <c r="U55" s="348">
        <v>0</v>
      </c>
      <c r="V55" s="348">
        <v>0</v>
      </c>
      <c r="W55" s="348">
        <v>0</v>
      </c>
      <c r="X55" s="1" t="s">
        <v>1145</v>
      </c>
      <c r="Y55" s="192" t="s">
        <v>1146</v>
      </c>
      <c r="Z55" s="192">
        <v>0</v>
      </c>
      <c r="AA55" s="192">
        <v>0</v>
      </c>
      <c r="AB55" s="354">
        <v>0</v>
      </c>
      <c r="AC55" s="1">
        <f>IF(C55=4,1,IF(OR(C55=5,C55=6),2,-1))</f>
        <v>2</v>
      </c>
      <c r="AD55" s="1">
        <v>0</v>
      </c>
      <c r="AE55" s="1"/>
      <c r="AF55" s="1"/>
      <c r="AG55" s="1">
        <v>0</v>
      </c>
      <c r="AH55" s="1">
        <v>1.5</v>
      </c>
      <c r="AI55" s="1">
        <v>1</v>
      </c>
      <c r="AJ55" s="1">
        <v>1</v>
      </c>
      <c r="AK55" s="1">
        <v>1</v>
      </c>
      <c r="AL55" s="1"/>
      <c r="AM55" s="1"/>
      <c r="AN55" s="1"/>
      <c r="AO55" s="356">
        <v>1</v>
      </c>
      <c r="AP55" s="1">
        <v>300</v>
      </c>
      <c r="AQ55" s="1">
        <v>0.18</v>
      </c>
      <c r="AR55" s="1">
        <v>0.8</v>
      </c>
      <c r="AS55" s="1">
        <v>1</v>
      </c>
      <c r="AT55" s="1" t="s">
        <v>1303</v>
      </c>
      <c r="AU55" s="360"/>
      <c r="AV55" s="360" t="s">
        <v>1304</v>
      </c>
      <c r="AW55" s="360"/>
      <c r="AX55" s="360"/>
      <c r="AY55" s="1">
        <f t="shared" si="111"/>
        <v>30</v>
      </c>
      <c r="AZ55" s="362">
        <f t="shared" si="127"/>
        <v>2</v>
      </c>
      <c r="BA55" s="1"/>
      <c r="BB55" s="1">
        <f t="shared" si="112"/>
        <v>1.119</v>
      </c>
      <c r="BC55" s="1"/>
      <c r="BD55" s="1">
        <f t="shared" si="128"/>
        <v>300</v>
      </c>
      <c r="BE55" s="1">
        <f>IF(N55=0,BD55,BD55*(1+$BL$1))</f>
        <v>300</v>
      </c>
      <c r="BG55" s="1">
        <f t="shared" si="129"/>
        <v>0</v>
      </c>
      <c r="BR55" s="301">
        <f t="shared" si="130"/>
        <v>330</v>
      </c>
      <c r="BS55" s="356">
        <f t="shared" si="101"/>
        <v>0</v>
      </c>
      <c r="BT55" s="297">
        <v>6</v>
      </c>
      <c r="BU55" s="1">
        <v>5</v>
      </c>
      <c r="BV55" s="297">
        <v>8</v>
      </c>
      <c r="BW55" s="1">
        <v>2</v>
      </c>
      <c r="BX55" s="297">
        <v>10</v>
      </c>
      <c r="BY55" s="1">
        <v>2</v>
      </c>
      <c r="BZ55" s="1">
        <f t="shared" si="80"/>
        <v>7.333333333333333</v>
      </c>
      <c r="CA55" s="1">
        <f t="shared" si="136"/>
        <v>7.5</v>
      </c>
      <c r="CB55" s="389">
        <f t="shared" si="104"/>
        <v>0</v>
      </c>
      <c r="CC55" s="1">
        <f t="shared" si="136"/>
        <v>15</v>
      </c>
      <c r="CD55" s="391">
        <f t="shared" si="105"/>
        <v>0</v>
      </c>
      <c r="CE55" s="1">
        <f t="shared" si="136"/>
        <v>22.5</v>
      </c>
      <c r="CF55" s="392">
        <f t="shared" si="106"/>
        <v>0</v>
      </c>
      <c r="CH55" s="190">
        <v>0</v>
      </c>
      <c r="CI55" s="403">
        <f t="shared" si="102"/>
        <v>0</v>
      </c>
      <c r="CJ55" s="402">
        <f t="shared" si="131"/>
        <v>0</v>
      </c>
      <c r="CK55" s="411">
        <f t="shared" si="132"/>
        <v>0</v>
      </c>
      <c r="CL55" s="411">
        <f t="shared" si="18"/>
        <v>0</v>
      </c>
      <c r="CM55" s="412">
        <f t="shared" si="82"/>
        <v>0</v>
      </c>
      <c r="CN55" s="413">
        <f t="shared" si="133"/>
        <v>0</v>
      </c>
      <c r="CO55" s="411">
        <f t="shared" si="20"/>
        <v>0</v>
      </c>
      <c r="CP55" s="429" t="e">
        <f t="shared" si="134"/>
        <v>#DIV/0!</v>
      </c>
      <c r="CQ55" s="430">
        <f t="shared" si="83"/>
        <v>12</v>
      </c>
      <c r="CR55" s="431">
        <f t="shared" si="84"/>
        <v>1</v>
      </c>
      <c r="CS55" s="332"/>
      <c r="CT55" s="322">
        <v>12</v>
      </c>
      <c r="CU55" s="331">
        <v>1</v>
      </c>
      <c r="CW55" s="436"/>
      <c r="DB55" s="438"/>
      <c r="DC55" s="430">
        <v>0</v>
      </c>
      <c r="DD55" s="402">
        <v>1</v>
      </c>
      <c r="DE55" s="438">
        <f t="shared" si="146"/>
        <v>0</v>
      </c>
      <c r="DF55" s="430">
        <f t="shared" si="23"/>
        <v>0</v>
      </c>
      <c r="DG55" s="402">
        <f t="shared" si="85"/>
        <v>1</v>
      </c>
      <c r="DH55" s="438">
        <f t="shared" si="147"/>
        <v>0</v>
      </c>
      <c r="DI55" s="430">
        <f t="shared" si="26"/>
        <v>0</v>
      </c>
      <c r="DJ55" s="402">
        <f t="shared" si="86"/>
        <v>1</v>
      </c>
      <c r="DK55" s="438">
        <f t="shared" si="148"/>
        <v>0</v>
      </c>
      <c r="DL55" s="430">
        <f t="shared" si="87"/>
        <v>0</v>
      </c>
      <c r="DM55" s="402">
        <f t="shared" si="88"/>
        <v>1</v>
      </c>
      <c r="DN55" s="438">
        <f t="shared" si="149"/>
        <v>0</v>
      </c>
      <c r="DO55" s="430">
        <f t="shared" si="89"/>
        <v>0</v>
      </c>
      <c r="DP55" s="402">
        <f t="shared" si="90"/>
        <v>1</v>
      </c>
      <c r="DQ55" s="438">
        <f t="shared" si="150"/>
        <v>0</v>
      </c>
      <c r="DR55" s="430">
        <f t="shared" si="91"/>
        <v>0</v>
      </c>
      <c r="DS55" s="402">
        <f t="shared" si="92"/>
        <v>1</v>
      </c>
      <c r="DT55" s="438">
        <f t="shared" si="151"/>
        <v>0</v>
      </c>
      <c r="DU55" s="430">
        <f t="shared" si="93"/>
        <v>0</v>
      </c>
      <c r="DV55" s="402">
        <f t="shared" si="94"/>
        <v>1</v>
      </c>
      <c r="DW55" s="438">
        <f t="shared" si="152"/>
        <v>0</v>
      </c>
      <c r="DX55" s="430">
        <f t="shared" si="95"/>
        <v>0</v>
      </c>
      <c r="DY55" s="402">
        <f t="shared" si="96"/>
        <v>1</v>
      </c>
      <c r="DZ55" s="438">
        <f t="shared" si="153"/>
        <v>0</v>
      </c>
      <c r="EA55" s="430">
        <f t="shared" si="97"/>
        <v>0</v>
      </c>
      <c r="EB55" s="402">
        <f t="shared" si="98"/>
        <v>1</v>
      </c>
      <c r="EC55" s="438">
        <f t="shared" si="154"/>
        <v>0</v>
      </c>
      <c r="ED55" s="430">
        <f t="shared" si="99"/>
        <v>0</v>
      </c>
      <c r="EE55" s="402">
        <f t="shared" si="100"/>
        <v>1</v>
      </c>
      <c r="EF55" s="438">
        <f t="shared" si="155"/>
        <v>0</v>
      </c>
      <c r="EG55" s="430">
        <f t="shared" si="142"/>
        <v>0</v>
      </c>
      <c r="EH55" s="402">
        <f t="shared" si="51"/>
        <v>2</v>
      </c>
      <c r="EI55" s="438">
        <f t="shared" si="156"/>
        <v>0</v>
      </c>
      <c r="EJ55" s="430">
        <f t="shared" si="142"/>
        <v>0</v>
      </c>
      <c r="EK55" s="402">
        <f t="shared" si="54"/>
        <v>4</v>
      </c>
      <c r="EL55" s="438">
        <f t="shared" si="157"/>
        <v>0</v>
      </c>
      <c r="EM55" s="430">
        <f t="shared" si="142"/>
        <v>0</v>
      </c>
      <c r="EN55" s="402">
        <f t="shared" si="57"/>
        <v>6</v>
      </c>
      <c r="EO55" s="438">
        <f t="shared" si="158"/>
        <v>0</v>
      </c>
      <c r="EP55" s="430">
        <f t="shared" si="142"/>
        <v>0</v>
      </c>
      <c r="EQ55" s="402">
        <f t="shared" si="60"/>
        <v>8</v>
      </c>
      <c r="ER55" s="438">
        <f t="shared" si="159"/>
        <v>0</v>
      </c>
      <c r="ES55" s="430">
        <f t="shared" si="142"/>
        <v>0</v>
      </c>
      <c r="ET55" s="402">
        <f t="shared" si="63"/>
        <v>10</v>
      </c>
      <c r="EU55" s="438">
        <f t="shared" si="160"/>
        <v>0</v>
      </c>
      <c r="EV55" s="430">
        <f t="shared" si="142"/>
        <v>0</v>
      </c>
      <c r="EW55" s="402">
        <f t="shared" si="66"/>
        <v>20</v>
      </c>
      <c r="EX55" s="438">
        <f t="shared" si="161"/>
        <v>0</v>
      </c>
      <c r="EY55" s="430">
        <f t="shared" si="142"/>
        <v>0</v>
      </c>
      <c r="EZ55" s="402">
        <f t="shared" si="69"/>
        <v>40</v>
      </c>
      <c r="FA55" s="438">
        <f t="shared" si="162"/>
        <v>0</v>
      </c>
      <c r="FB55" s="430">
        <f t="shared" si="142"/>
        <v>0</v>
      </c>
      <c r="FC55" s="402">
        <f t="shared" si="72"/>
        <v>60</v>
      </c>
      <c r="FD55" s="438">
        <f t="shared" si="163"/>
        <v>0</v>
      </c>
      <c r="FE55" s="430">
        <f t="shared" si="142"/>
        <v>0</v>
      </c>
      <c r="FF55" s="402">
        <f t="shared" si="75"/>
        <v>80</v>
      </c>
      <c r="FG55" s="438">
        <f t="shared" si="164"/>
        <v>0</v>
      </c>
      <c r="FH55" s="430">
        <f t="shared" si="142"/>
        <v>0</v>
      </c>
      <c r="FI55" s="402">
        <f t="shared" si="78"/>
        <v>100</v>
      </c>
      <c r="FJ55" s="438">
        <f t="shared" si="165"/>
        <v>0</v>
      </c>
    </row>
    <row r="56" spans="1:166" x14ac:dyDescent="0.45">
      <c r="A56" s="1">
        <v>52</v>
      </c>
      <c r="B56" s="1"/>
      <c r="C56" s="1">
        <v>8</v>
      </c>
      <c r="D56" s="1">
        <v>-1</v>
      </c>
      <c r="E56" s="297">
        <v>0</v>
      </c>
      <c r="F56" s="1"/>
      <c r="G56" s="1"/>
      <c r="H56" s="1">
        <f t="shared" si="137"/>
        <v>0</v>
      </c>
      <c r="I56" s="1">
        <f t="shared" si="138"/>
        <v>0</v>
      </c>
      <c r="J56" s="297">
        <v>1</v>
      </c>
      <c r="K56" s="313">
        <v>0</v>
      </c>
      <c r="L56" s="314">
        <v>0</v>
      </c>
      <c r="M56" s="320">
        <f>ROUND(IF(L56&lt;&gt;0,$BI$4/('全局参数|GlobalPar'!$B$18/10000/E56)/L56,0),6)</f>
        <v>0</v>
      </c>
      <c r="N56" s="320">
        <f t="shared" si="110"/>
        <v>0</v>
      </c>
      <c r="O56" s="323">
        <v>0</v>
      </c>
      <c r="P56" s="322">
        <v>12</v>
      </c>
      <c r="Q56" s="331">
        <v>1</v>
      </c>
      <c r="R56" s="332" t="s">
        <v>1144</v>
      </c>
      <c r="S56" s="297"/>
      <c r="T56" s="1">
        <f t="shared" ref="T56" si="166">T43</f>
        <v>0</v>
      </c>
      <c r="U56" s="348">
        <v>0</v>
      </c>
      <c r="V56" s="348">
        <v>0</v>
      </c>
      <c r="W56" s="348">
        <v>0</v>
      </c>
      <c r="X56" s="1" t="s">
        <v>1145</v>
      </c>
      <c r="Y56" s="192" t="s">
        <v>1146</v>
      </c>
      <c r="Z56" s="192">
        <v>0</v>
      </c>
      <c r="AA56" s="192">
        <v>0</v>
      </c>
      <c r="AB56" s="354">
        <v>0</v>
      </c>
      <c r="AC56" s="1">
        <f t="shared" ref="AC56:AC62" si="167">IF(C56=4,1,IF(C56=6,2,-1))</f>
        <v>-1</v>
      </c>
      <c r="AD56" s="1">
        <v>0</v>
      </c>
      <c r="AE56" s="1"/>
      <c r="AF56" s="1">
        <v>3</v>
      </c>
      <c r="AG56" s="1">
        <v>0</v>
      </c>
      <c r="AH56" s="1">
        <v>0.6</v>
      </c>
      <c r="AI56" s="1">
        <v>1</v>
      </c>
      <c r="AJ56" s="1">
        <v>1</v>
      </c>
      <c r="AK56" s="1">
        <v>1</v>
      </c>
      <c r="AL56" s="1"/>
      <c r="AM56" s="1"/>
      <c r="AN56" s="1"/>
      <c r="AO56" s="356">
        <v>1</v>
      </c>
      <c r="AP56" s="1">
        <v>1601</v>
      </c>
      <c r="AQ56" s="1">
        <v>0.18</v>
      </c>
      <c r="AR56" s="1">
        <v>0.8</v>
      </c>
      <c r="AS56" s="1">
        <v>1</v>
      </c>
      <c r="AT56" s="1" t="s">
        <v>1147</v>
      </c>
      <c r="AU56" s="358" t="s">
        <v>1308</v>
      </c>
      <c r="AV56" s="358" t="s">
        <v>1309</v>
      </c>
      <c r="AW56" s="360" t="s">
        <v>275</v>
      </c>
      <c r="AX56" s="360" t="s">
        <v>333</v>
      </c>
      <c r="AY56" s="1">
        <f t="shared" si="111"/>
        <v>0</v>
      </c>
      <c r="AZ56" s="362">
        <f t="shared" si="127"/>
        <v>0</v>
      </c>
      <c r="BA56" s="1" t="s">
        <v>1150</v>
      </c>
      <c r="BB56" s="1">
        <f t="shared" si="112"/>
        <v>0.44800000000000001</v>
      </c>
      <c r="BC56" s="1"/>
      <c r="BD56" s="1">
        <f t="shared" si="128"/>
        <v>0</v>
      </c>
      <c r="BE56" s="1">
        <f t="shared" ref="BE56:BE62" si="168">BD56*(1+$BL$1)</f>
        <v>0</v>
      </c>
      <c r="BG56" s="1">
        <f t="shared" si="129"/>
        <v>0</v>
      </c>
      <c r="BH56" s="190" t="s">
        <v>1151</v>
      </c>
      <c r="BN56" s="190" t="s">
        <v>1152</v>
      </c>
      <c r="BR56" s="301">
        <f t="shared" si="130"/>
        <v>0</v>
      </c>
      <c r="BS56" s="385">
        <v>0</v>
      </c>
      <c r="BT56" s="297">
        <v>6</v>
      </c>
      <c r="BU56" s="1">
        <v>5</v>
      </c>
      <c r="BV56" s="297">
        <v>8</v>
      </c>
      <c r="BW56" s="1">
        <v>2</v>
      </c>
      <c r="BX56" s="297">
        <v>10</v>
      </c>
      <c r="BY56" s="1">
        <v>2</v>
      </c>
      <c r="BZ56" s="1">
        <f t="shared" si="80"/>
        <v>7.333333333333333</v>
      </c>
      <c r="CA56" s="1">
        <f t="shared" si="136"/>
        <v>7.5</v>
      </c>
      <c r="CB56" s="389">
        <f t="shared" si="104"/>
        <v>0</v>
      </c>
      <c r="CC56" s="1">
        <f t="shared" si="136"/>
        <v>15</v>
      </c>
      <c r="CD56" s="391">
        <f t="shared" si="105"/>
        <v>0</v>
      </c>
      <c r="CE56" s="1">
        <f t="shared" si="136"/>
        <v>22.5</v>
      </c>
      <c r="CF56" s="392">
        <f t="shared" si="106"/>
        <v>0</v>
      </c>
      <c r="CH56" s="190">
        <v>0</v>
      </c>
      <c r="CI56" s="403">
        <f t="shared" si="102"/>
        <v>0</v>
      </c>
      <c r="CJ56" s="402">
        <f t="shared" si="131"/>
        <v>0</v>
      </c>
      <c r="CK56" s="411">
        <f t="shared" si="132"/>
        <v>0</v>
      </c>
      <c r="CL56" s="411">
        <f t="shared" si="18"/>
        <v>0</v>
      </c>
      <c r="CM56" s="412">
        <f t="shared" si="82"/>
        <v>0</v>
      </c>
      <c r="CN56" s="413">
        <f t="shared" si="133"/>
        <v>0</v>
      </c>
      <c r="CO56" s="411">
        <f t="shared" si="20"/>
        <v>0</v>
      </c>
      <c r="CP56" s="429" t="e">
        <f t="shared" si="134"/>
        <v>#DIV/0!</v>
      </c>
      <c r="CQ56" s="430">
        <f t="shared" si="83"/>
        <v>12</v>
      </c>
      <c r="CR56" s="431">
        <f t="shared" si="84"/>
        <v>1</v>
      </c>
      <c r="CS56" s="332"/>
      <c r="CT56" s="322">
        <v>12</v>
      </c>
      <c r="CU56" s="331">
        <v>1</v>
      </c>
      <c r="CW56" s="436"/>
      <c r="DB56" s="438"/>
      <c r="DC56" s="430">
        <v>0</v>
      </c>
      <c r="DD56" s="402">
        <v>1</v>
      </c>
      <c r="DE56" s="438">
        <f t="shared" si="146"/>
        <v>0</v>
      </c>
      <c r="DF56" s="430">
        <f t="shared" si="23"/>
        <v>0</v>
      </c>
      <c r="DG56" s="402">
        <f t="shared" si="85"/>
        <v>1</v>
      </c>
      <c r="DH56" s="438">
        <f t="shared" si="147"/>
        <v>0</v>
      </c>
      <c r="DI56" s="430">
        <f t="shared" si="26"/>
        <v>0</v>
      </c>
      <c r="DJ56" s="402">
        <f t="shared" si="86"/>
        <v>1</v>
      </c>
      <c r="DK56" s="438">
        <f t="shared" si="148"/>
        <v>0</v>
      </c>
      <c r="DL56" s="430">
        <f t="shared" si="87"/>
        <v>0</v>
      </c>
      <c r="DM56" s="402">
        <f t="shared" si="88"/>
        <v>1</v>
      </c>
      <c r="DN56" s="438">
        <f t="shared" si="149"/>
        <v>0</v>
      </c>
      <c r="DO56" s="430">
        <f t="shared" si="89"/>
        <v>0</v>
      </c>
      <c r="DP56" s="402">
        <f t="shared" si="90"/>
        <v>1</v>
      </c>
      <c r="DQ56" s="438">
        <f t="shared" si="150"/>
        <v>0</v>
      </c>
      <c r="DR56" s="430">
        <f t="shared" si="91"/>
        <v>0</v>
      </c>
      <c r="DS56" s="402">
        <f t="shared" si="92"/>
        <v>1</v>
      </c>
      <c r="DT56" s="438">
        <f t="shared" si="151"/>
        <v>0</v>
      </c>
      <c r="DU56" s="430">
        <f t="shared" si="93"/>
        <v>0</v>
      </c>
      <c r="DV56" s="402">
        <f t="shared" si="94"/>
        <v>1</v>
      </c>
      <c r="DW56" s="438">
        <f t="shared" si="152"/>
        <v>0</v>
      </c>
      <c r="DX56" s="430">
        <f t="shared" si="95"/>
        <v>0</v>
      </c>
      <c r="DY56" s="402">
        <f t="shared" si="96"/>
        <v>1</v>
      </c>
      <c r="DZ56" s="438">
        <f t="shared" si="153"/>
        <v>0</v>
      </c>
      <c r="EA56" s="430">
        <f t="shared" si="97"/>
        <v>0</v>
      </c>
      <c r="EB56" s="402">
        <f t="shared" si="98"/>
        <v>1</v>
      </c>
      <c r="EC56" s="438">
        <f t="shared" si="154"/>
        <v>0</v>
      </c>
      <c r="ED56" s="430">
        <f t="shared" si="99"/>
        <v>0</v>
      </c>
      <c r="EE56" s="402">
        <f t="shared" si="100"/>
        <v>1</v>
      </c>
      <c r="EF56" s="438">
        <f t="shared" si="155"/>
        <v>0</v>
      </c>
      <c r="EG56" s="430">
        <f t="shared" si="142"/>
        <v>0</v>
      </c>
      <c r="EH56" s="402">
        <f t="shared" si="51"/>
        <v>2</v>
      </c>
      <c r="EI56" s="438">
        <f t="shared" si="156"/>
        <v>0</v>
      </c>
      <c r="EJ56" s="430">
        <f t="shared" si="142"/>
        <v>0</v>
      </c>
      <c r="EK56" s="402">
        <f t="shared" si="54"/>
        <v>4</v>
      </c>
      <c r="EL56" s="438">
        <f t="shared" si="157"/>
        <v>0</v>
      </c>
      <c r="EM56" s="430">
        <f t="shared" si="142"/>
        <v>0</v>
      </c>
      <c r="EN56" s="402">
        <f t="shared" si="57"/>
        <v>6</v>
      </c>
      <c r="EO56" s="438">
        <f t="shared" si="158"/>
        <v>0</v>
      </c>
      <c r="EP56" s="430">
        <f t="shared" si="142"/>
        <v>0</v>
      </c>
      <c r="EQ56" s="402">
        <f t="shared" si="60"/>
        <v>8</v>
      </c>
      <c r="ER56" s="438">
        <f t="shared" si="159"/>
        <v>0</v>
      </c>
      <c r="ES56" s="430">
        <f t="shared" si="142"/>
        <v>0</v>
      </c>
      <c r="ET56" s="402">
        <f t="shared" si="63"/>
        <v>10</v>
      </c>
      <c r="EU56" s="438">
        <f t="shared" si="160"/>
        <v>0</v>
      </c>
      <c r="EV56" s="430">
        <f t="shared" si="142"/>
        <v>0</v>
      </c>
      <c r="EW56" s="402">
        <f t="shared" si="66"/>
        <v>20</v>
      </c>
      <c r="EX56" s="438">
        <f t="shared" si="161"/>
        <v>0</v>
      </c>
      <c r="EY56" s="430">
        <f t="shared" si="142"/>
        <v>0</v>
      </c>
      <c r="EZ56" s="402">
        <f t="shared" si="69"/>
        <v>40</v>
      </c>
      <c r="FA56" s="438">
        <f t="shared" si="162"/>
        <v>0</v>
      </c>
      <c r="FB56" s="430">
        <f t="shared" si="142"/>
        <v>0</v>
      </c>
      <c r="FC56" s="402">
        <f t="shared" si="72"/>
        <v>60</v>
      </c>
      <c r="FD56" s="438">
        <f t="shared" si="163"/>
        <v>0</v>
      </c>
      <c r="FE56" s="430">
        <f t="shared" si="142"/>
        <v>0</v>
      </c>
      <c r="FF56" s="402">
        <f t="shared" si="75"/>
        <v>80</v>
      </c>
      <c r="FG56" s="438">
        <f t="shared" si="164"/>
        <v>0</v>
      </c>
      <c r="FH56" s="430">
        <f t="shared" si="142"/>
        <v>0</v>
      </c>
      <c r="FI56" s="402">
        <f t="shared" si="78"/>
        <v>100</v>
      </c>
      <c r="FJ56" s="438">
        <f t="shared" si="165"/>
        <v>0</v>
      </c>
    </row>
    <row r="57" spans="1:166" x14ac:dyDescent="0.45">
      <c r="A57" s="1">
        <v>53</v>
      </c>
      <c r="B57" s="1"/>
      <c r="C57" s="1">
        <v>8</v>
      </c>
      <c r="D57" s="1">
        <v>-1</v>
      </c>
      <c r="E57" s="1">
        <v>0</v>
      </c>
      <c r="F57" s="1"/>
      <c r="G57" s="1"/>
      <c r="H57" s="1">
        <f t="shared" si="137"/>
        <v>0</v>
      </c>
      <c r="I57" s="1">
        <f t="shared" si="138"/>
        <v>0</v>
      </c>
      <c r="J57" s="297">
        <v>20</v>
      </c>
      <c r="K57" s="313">
        <v>0</v>
      </c>
      <c r="L57" s="314">
        <v>0</v>
      </c>
      <c r="M57" s="320">
        <f>ROUND(IF(L57&lt;&gt;0,$BI$4/('全局参数|GlobalPar'!$B$18/10000/E57)/L57,0),6)</f>
        <v>0</v>
      </c>
      <c r="N57" s="320">
        <f t="shared" si="110"/>
        <v>0</v>
      </c>
      <c r="O57" s="323">
        <v>0</v>
      </c>
      <c r="P57" s="322">
        <v>12</v>
      </c>
      <c r="Q57" s="331">
        <v>1</v>
      </c>
      <c r="R57" s="332" t="s">
        <v>1144</v>
      </c>
      <c r="S57" s="297"/>
      <c r="T57" s="333">
        <v>0</v>
      </c>
      <c r="U57" s="348">
        <v>0</v>
      </c>
      <c r="V57" s="348">
        <v>0</v>
      </c>
      <c r="W57" s="348">
        <v>0</v>
      </c>
      <c r="X57" s="1" t="s">
        <v>1145</v>
      </c>
      <c r="Y57" s="192" t="s">
        <v>1146</v>
      </c>
      <c r="Z57" s="192">
        <v>0</v>
      </c>
      <c r="AA57" s="192">
        <v>0</v>
      </c>
      <c r="AB57" s="354">
        <v>0</v>
      </c>
      <c r="AC57" s="1">
        <f t="shared" si="167"/>
        <v>-1</v>
      </c>
      <c r="AD57" s="1">
        <v>0</v>
      </c>
      <c r="AE57" s="1">
        <v>1</v>
      </c>
      <c r="AF57" s="1">
        <v>4</v>
      </c>
      <c r="AG57" s="1">
        <v>0</v>
      </c>
      <c r="AH57" s="1">
        <v>0.9</v>
      </c>
      <c r="AI57" s="1">
        <v>1</v>
      </c>
      <c r="AJ57" s="1">
        <v>1</v>
      </c>
      <c r="AK57" s="1">
        <v>1</v>
      </c>
      <c r="AL57" s="1"/>
      <c r="AM57" s="1"/>
      <c r="AN57" s="1"/>
      <c r="AO57" s="356">
        <v>1</v>
      </c>
      <c r="AP57" s="1">
        <v>1602</v>
      </c>
      <c r="AQ57" s="1">
        <v>0.18</v>
      </c>
      <c r="AR57" s="1">
        <v>0.8</v>
      </c>
      <c r="AS57" s="1">
        <v>1</v>
      </c>
      <c r="AT57" s="1" t="s">
        <v>1216</v>
      </c>
      <c r="AU57" s="358" t="s">
        <v>1308</v>
      </c>
      <c r="AV57" s="358" t="s">
        <v>1310</v>
      </c>
      <c r="AW57" s="360"/>
      <c r="AX57" s="360"/>
      <c r="AY57" s="1">
        <f t="shared" si="111"/>
        <v>0</v>
      </c>
      <c r="AZ57" s="362">
        <f t="shared" si="127"/>
        <v>0</v>
      </c>
      <c r="BA57" s="1" t="s">
        <v>1150</v>
      </c>
      <c r="BB57" s="1">
        <f t="shared" si="112"/>
        <v>0.67200000000000004</v>
      </c>
      <c r="BC57" s="1"/>
      <c r="BD57" s="1">
        <f t="shared" si="128"/>
        <v>0</v>
      </c>
      <c r="BE57" s="1">
        <f t="shared" si="168"/>
        <v>0</v>
      </c>
      <c r="BG57" s="1">
        <f t="shared" si="129"/>
        <v>0</v>
      </c>
      <c r="BR57" s="301">
        <f t="shared" si="130"/>
        <v>0</v>
      </c>
      <c r="BS57" s="385">
        <f t="shared" si="101"/>
        <v>0</v>
      </c>
      <c r="BT57" s="297">
        <v>6</v>
      </c>
      <c r="BU57" s="1">
        <v>5</v>
      </c>
      <c r="BV57" s="297">
        <v>8</v>
      </c>
      <c r="BW57" s="1">
        <v>2</v>
      </c>
      <c r="BX57" s="297">
        <v>10</v>
      </c>
      <c r="BY57" s="1">
        <v>2</v>
      </c>
      <c r="BZ57" s="1">
        <f t="shared" si="80"/>
        <v>7.333333333333333</v>
      </c>
      <c r="CA57" s="1">
        <f t="shared" si="136"/>
        <v>7.5</v>
      </c>
      <c r="CB57" s="389">
        <f t="shared" si="104"/>
        <v>0</v>
      </c>
      <c r="CC57" s="1">
        <f t="shared" si="136"/>
        <v>15</v>
      </c>
      <c r="CD57" s="391">
        <f t="shared" si="105"/>
        <v>0</v>
      </c>
      <c r="CE57" s="1">
        <f t="shared" si="136"/>
        <v>22.5</v>
      </c>
      <c r="CF57" s="392">
        <f t="shared" si="106"/>
        <v>0</v>
      </c>
      <c r="CH57" s="190">
        <v>0</v>
      </c>
      <c r="CI57" s="403">
        <f t="shared" si="102"/>
        <v>0</v>
      </c>
      <c r="CJ57" s="402">
        <f t="shared" si="131"/>
        <v>0</v>
      </c>
      <c r="CK57" s="411">
        <f t="shared" si="132"/>
        <v>0</v>
      </c>
      <c r="CL57" s="411">
        <f t="shared" si="18"/>
        <v>0</v>
      </c>
      <c r="CM57" s="412">
        <f t="shared" si="82"/>
        <v>0</v>
      </c>
      <c r="CN57" s="413">
        <f t="shared" si="133"/>
        <v>0</v>
      </c>
      <c r="CO57" s="411">
        <f t="shared" si="20"/>
        <v>0</v>
      </c>
      <c r="CP57" s="429" t="e">
        <f t="shared" si="134"/>
        <v>#DIV/0!</v>
      </c>
      <c r="CQ57" s="430">
        <f t="shared" si="83"/>
        <v>12</v>
      </c>
      <c r="CR57" s="431">
        <f t="shared" si="84"/>
        <v>1</v>
      </c>
      <c r="CS57" s="332"/>
      <c r="CT57" s="322">
        <v>12</v>
      </c>
      <c r="CU57" s="331">
        <v>1</v>
      </c>
      <c r="CW57" s="436"/>
      <c r="DB57" s="438"/>
      <c r="DC57" s="430">
        <v>0</v>
      </c>
      <c r="DD57" s="402">
        <v>1</v>
      </c>
      <c r="DE57" s="438">
        <f t="shared" si="146"/>
        <v>0</v>
      </c>
      <c r="DF57" s="430">
        <f t="shared" si="23"/>
        <v>0</v>
      </c>
      <c r="DG57" s="402">
        <f t="shared" si="85"/>
        <v>1</v>
      </c>
      <c r="DH57" s="438">
        <f t="shared" si="147"/>
        <v>0</v>
      </c>
      <c r="DI57" s="430">
        <f t="shared" si="26"/>
        <v>0</v>
      </c>
      <c r="DJ57" s="402">
        <f t="shared" si="86"/>
        <v>1</v>
      </c>
      <c r="DK57" s="438">
        <f t="shared" si="148"/>
        <v>0</v>
      </c>
      <c r="DL57" s="430">
        <f t="shared" si="87"/>
        <v>0</v>
      </c>
      <c r="DM57" s="402">
        <f t="shared" si="88"/>
        <v>1</v>
      </c>
      <c r="DN57" s="438">
        <f t="shared" si="149"/>
        <v>0</v>
      </c>
      <c r="DO57" s="430">
        <f t="shared" si="89"/>
        <v>0</v>
      </c>
      <c r="DP57" s="402">
        <f t="shared" si="90"/>
        <v>1</v>
      </c>
      <c r="DQ57" s="438">
        <f t="shared" si="150"/>
        <v>0</v>
      </c>
      <c r="DR57" s="430">
        <f t="shared" si="91"/>
        <v>0</v>
      </c>
      <c r="DS57" s="402">
        <f t="shared" si="92"/>
        <v>1</v>
      </c>
      <c r="DT57" s="438">
        <f t="shared" si="151"/>
        <v>0</v>
      </c>
      <c r="DU57" s="430">
        <f t="shared" si="93"/>
        <v>0</v>
      </c>
      <c r="DV57" s="402">
        <f t="shared" si="94"/>
        <v>1</v>
      </c>
      <c r="DW57" s="438">
        <f t="shared" si="152"/>
        <v>0</v>
      </c>
      <c r="DX57" s="430">
        <f t="shared" si="95"/>
        <v>0</v>
      </c>
      <c r="DY57" s="402">
        <f t="shared" si="96"/>
        <v>1</v>
      </c>
      <c r="DZ57" s="438">
        <f t="shared" si="153"/>
        <v>0</v>
      </c>
      <c r="EA57" s="430">
        <f t="shared" si="97"/>
        <v>0</v>
      </c>
      <c r="EB57" s="402">
        <f t="shared" si="98"/>
        <v>1</v>
      </c>
      <c r="EC57" s="438">
        <f t="shared" si="154"/>
        <v>0</v>
      </c>
      <c r="ED57" s="430">
        <f t="shared" si="99"/>
        <v>0</v>
      </c>
      <c r="EE57" s="402">
        <f t="shared" si="100"/>
        <v>1</v>
      </c>
      <c r="EF57" s="438">
        <f t="shared" si="155"/>
        <v>0</v>
      </c>
      <c r="EG57" s="430">
        <f t="shared" si="142"/>
        <v>0</v>
      </c>
      <c r="EH57" s="402">
        <f t="shared" si="51"/>
        <v>2</v>
      </c>
      <c r="EI57" s="438">
        <f t="shared" si="156"/>
        <v>0</v>
      </c>
      <c r="EJ57" s="430">
        <f t="shared" si="142"/>
        <v>0</v>
      </c>
      <c r="EK57" s="402">
        <f t="shared" si="54"/>
        <v>4</v>
      </c>
      <c r="EL57" s="438">
        <f t="shared" si="157"/>
        <v>0</v>
      </c>
      <c r="EM57" s="430">
        <f t="shared" si="142"/>
        <v>0</v>
      </c>
      <c r="EN57" s="402">
        <f t="shared" si="57"/>
        <v>6</v>
      </c>
      <c r="EO57" s="438">
        <f t="shared" si="158"/>
        <v>0</v>
      </c>
      <c r="EP57" s="430">
        <f t="shared" si="142"/>
        <v>0</v>
      </c>
      <c r="EQ57" s="402">
        <f t="shared" si="60"/>
        <v>8</v>
      </c>
      <c r="ER57" s="438">
        <f t="shared" si="159"/>
        <v>0</v>
      </c>
      <c r="ES57" s="430">
        <f t="shared" si="142"/>
        <v>0</v>
      </c>
      <c r="ET57" s="402">
        <f t="shared" si="63"/>
        <v>10</v>
      </c>
      <c r="EU57" s="438">
        <f t="shared" si="160"/>
        <v>0</v>
      </c>
      <c r="EV57" s="430">
        <f t="shared" si="142"/>
        <v>0</v>
      </c>
      <c r="EW57" s="402">
        <f t="shared" si="66"/>
        <v>20</v>
      </c>
      <c r="EX57" s="438">
        <f t="shared" si="161"/>
        <v>0</v>
      </c>
      <c r="EY57" s="430">
        <f t="shared" si="142"/>
        <v>0</v>
      </c>
      <c r="EZ57" s="402">
        <f t="shared" si="69"/>
        <v>40</v>
      </c>
      <c r="FA57" s="438">
        <f t="shared" si="162"/>
        <v>0</v>
      </c>
      <c r="FB57" s="430">
        <f t="shared" si="142"/>
        <v>0</v>
      </c>
      <c r="FC57" s="402">
        <f t="shared" si="72"/>
        <v>60</v>
      </c>
      <c r="FD57" s="438">
        <f t="shared" si="163"/>
        <v>0</v>
      </c>
      <c r="FE57" s="430">
        <f t="shared" si="142"/>
        <v>0</v>
      </c>
      <c r="FF57" s="402">
        <f t="shared" si="75"/>
        <v>80</v>
      </c>
      <c r="FG57" s="438">
        <f t="shared" si="164"/>
        <v>0</v>
      </c>
      <c r="FH57" s="430">
        <f t="shared" si="142"/>
        <v>0</v>
      </c>
      <c r="FI57" s="402">
        <f t="shared" si="78"/>
        <v>100</v>
      </c>
      <c r="FJ57" s="438">
        <f t="shared" si="165"/>
        <v>0</v>
      </c>
    </row>
    <row r="58" spans="1:166" x14ac:dyDescent="0.45">
      <c r="A58" s="1">
        <v>54</v>
      </c>
      <c r="B58" s="1"/>
      <c r="C58" s="1">
        <v>8</v>
      </c>
      <c r="D58" s="1">
        <v>-1</v>
      </c>
      <c r="E58" s="1">
        <v>0</v>
      </c>
      <c r="F58" s="1"/>
      <c r="G58" s="1"/>
      <c r="H58" s="1">
        <f t="shared" si="137"/>
        <v>0</v>
      </c>
      <c r="I58" s="1">
        <f t="shared" si="138"/>
        <v>0</v>
      </c>
      <c r="J58" s="297">
        <v>50</v>
      </c>
      <c r="K58" s="313">
        <v>0</v>
      </c>
      <c r="L58" s="314">
        <v>0</v>
      </c>
      <c r="M58" s="320">
        <f>ROUND(IF(L58&lt;&gt;0,$BI$4/('全局参数|GlobalPar'!$B$18/10000/E58)/L58,0),6)</f>
        <v>0</v>
      </c>
      <c r="N58" s="320">
        <f t="shared" si="110"/>
        <v>0</v>
      </c>
      <c r="O58" s="323">
        <v>0</v>
      </c>
      <c r="P58" s="322">
        <v>12</v>
      </c>
      <c r="Q58" s="331">
        <v>1</v>
      </c>
      <c r="R58" s="332" t="s">
        <v>1144</v>
      </c>
      <c r="S58" s="297"/>
      <c r="T58" s="333">
        <v>0</v>
      </c>
      <c r="U58" s="348">
        <v>0</v>
      </c>
      <c r="V58" s="348">
        <v>0</v>
      </c>
      <c r="W58" s="348">
        <v>0</v>
      </c>
      <c r="X58" s="1" t="s">
        <v>1145</v>
      </c>
      <c r="Y58" s="192" t="s">
        <v>1146</v>
      </c>
      <c r="Z58" s="192">
        <v>0</v>
      </c>
      <c r="AA58" s="192">
        <v>0</v>
      </c>
      <c r="AB58" s="354">
        <v>0</v>
      </c>
      <c r="AC58" s="1">
        <f t="shared" si="167"/>
        <v>-1</v>
      </c>
      <c r="AD58" s="1">
        <v>0</v>
      </c>
      <c r="AE58" s="1">
        <v>2</v>
      </c>
      <c r="AF58" s="1">
        <v>4</v>
      </c>
      <c r="AG58" s="1">
        <v>0</v>
      </c>
      <c r="AH58" s="1">
        <v>1.5</v>
      </c>
      <c r="AI58" s="1">
        <v>1</v>
      </c>
      <c r="AJ58" s="1">
        <v>1</v>
      </c>
      <c r="AK58" s="1">
        <v>1</v>
      </c>
      <c r="AL58" s="1"/>
      <c r="AM58" s="1"/>
      <c r="AN58" s="1"/>
      <c r="AO58" s="356">
        <v>1</v>
      </c>
      <c r="AP58" s="1">
        <v>1603</v>
      </c>
      <c r="AQ58" s="1">
        <v>0.18</v>
      </c>
      <c r="AR58" s="1">
        <v>0.8</v>
      </c>
      <c r="AS58" s="1">
        <v>1</v>
      </c>
      <c r="AT58" s="1" t="s">
        <v>1275</v>
      </c>
      <c r="AU58" s="358" t="s">
        <v>1308</v>
      </c>
      <c r="AV58" s="358" t="s">
        <v>1310</v>
      </c>
      <c r="AW58" s="360"/>
      <c r="AX58" s="360"/>
      <c r="AY58" s="1">
        <f t="shared" si="111"/>
        <v>0</v>
      </c>
      <c r="AZ58" s="362">
        <f t="shared" si="127"/>
        <v>0</v>
      </c>
      <c r="BA58" s="1" t="s">
        <v>1150</v>
      </c>
      <c r="BB58" s="1">
        <f t="shared" si="112"/>
        <v>1.119</v>
      </c>
      <c r="BC58" s="1"/>
      <c r="BD58" s="1">
        <f t="shared" si="128"/>
        <v>0</v>
      </c>
      <c r="BE58" s="1">
        <f t="shared" si="168"/>
        <v>0</v>
      </c>
      <c r="BG58" s="1">
        <f t="shared" si="129"/>
        <v>0</v>
      </c>
      <c r="BR58" s="301">
        <f t="shared" si="130"/>
        <v>0</v>
      </c>
      <c r="BS58" s="385">
        <f t="shared" si="101"/>
        <v>0</v>
      </c>
      <c r="BT58" s="297">
        <v>6</v>
      </c>
      <c r="BU58" s="1">
        <v>5</v>
      </c>
      <c r="BV58" s="297">
        <v>8</v>
      </c>
      <c r="BW58" s="1">
        <v>2</v>
      </c>
      <c r="BX58" s="297">
        <v>10</v>
      </c>
      <c r="BY58" s="1">
        <v>2</v>
      </c>
      <c r="BZ58" s="1">
        <f t="shared" si="80"/>
        <v>7.333333333333333</v>
      </c>
      <c r="CA58" s="1">
        <f t="shared" si="136"/>
        <v>7.5</v>
      </c>
      <c r="CB58" s="389">
        <f t="shared" si="104"/>
        <v>0</v>
      </c>
      <c r="CC58" s="1">
        <f t="shared" si="136"/>
        <v>15</v>
      </c>
      <c r="CD58" s="391">
        <f t="shared" si="105"/>
        <v>0</v>
      </c>
      <c r="CE58" s="1">
        <f t="shared" si="136"/>
        <v>22.5</v>
      </c>
      <c r="CF58" s="392">
        <f t="shared" si="106"/>
        <v>0</v>
      </c>
      <c r="CH58" s="190">
        <v>0</v>
      </c>
      <c r="CI58" s="403">
        <f t="shared" si="102"/>
        <v>0</v>
      </c>
      <c r="CJ58" s="402">
        <f t="shared" si="131"/>
        <v>0</v>
      </c>
      <c r="CK58" s="411">
        <f t="shared" si="132"/>
        <v>0</v>
      </c>
      <c r="CL58" s="411">
        <f t="shared" si="18"/>
        <v>0</v>
      </c>
      <c r="CM58" s="412">
        <f t="shared" si="82"/>
        <v>0</v>
      </c>
      <c r="CN58" s="413">
        <f t="shared" si="133"/>
        <v>0</v>
      </c>
      <c r="CO58" s="411">
        <f t="shared" si="20"/>
        <v>0</v>
      </c>
      <c r="CP58" s="429" t="e">
        <f t="shared" si="134"/>
        <v>#DIV/0!</v>
      </c>
      <c r="CQ58" s="430">
        <f t="shared" si="83"/>
        <v>12</v>
      </c>
      <c r="CR58" s="431">
        <f t="shared" si="84"/>
        <v>1</v>
      </c>
      <c r="CS58" s="332"/>
      <c r="CT58" s="322">
        <v>12</v>
      </c>
      <c r="CU58" s="331">
        <v>1</v>
      </c>
      <c r="CW58" s="436"/>
      <c r="DB58" s="438"/>
      <c r="DC58" s="430">
        <v>0</v>
      </c>
      <c r="DD58" s="402">
        <v>1</v>
      </c>
      <c r="DE58" s="438">
        <f t="shared" si="146"/>
        <v>0</v>
      </c>
      <c r="DF58" s="430">
        <f t="shared" si="23"/>
        <v>0</v>
      </c>
      <c r="DG58" s="402">
        <f t="shared" si="85"/>
        <v>1</v>
      </c>
      <c r="DH58" s="438">
        <f t="shared" si="147"/>
        <v>0</v>
      </c>
      <c r="DI58" s="430">
        <f t="shared" si="26"/>
        <v>0</v>
      </c>
      <c r="DJ58" s="402">
        <f t="shared" si="86"/>
        <v>1</v>
      </c>
      <c r="DK58" s="438">
        <f t="shared" si="148"/>
        <v>0</v>
      </c>
      <c r="DL58" s="430">
        <f t="shared" si="87"/>
        <v>0</v>
      </c>
      <c r="DM58" s="402">
        <f t="shared" si="88"/>
        <v>1</v>
      </c>
      <c r="DN58" s="438">
        <f t="shared" si="149"/>
        <v>0</v>
      </c>
      <c r="DO58" s="430">
        <f t="shared" si="89"/>
        <v>0</v>
      </c>
      <c r="DP58" s="402">
        <f t="shared" si="90"/>
        <v>1</v>
      </c>
      <c r="DQ58" s="438">
        <f t="shared" si="150"/>
        <v>0</v>
      </c>
      <c r="DR58" s="430">
        <f t="shared" si="91"/>
        <v>0</v>
      </c>
      <c r="DS58" s="402">
        <f t="shared" si="92"/>
        <v>1</v>
      </c>
      <c r="DT58" s="438">
        <f t="shared" si="151"/>
        <v>0</v>
      </c>
      <c r="DU58" s="430">
        <f t="shared" si="93"/>
        <v>0</v>
      </c>
      <c r="DV58" s="402">
        <f t="shared" si="94"/>
        <v>1</v>
      </c>
      <c r="DW58" s="438">
        <f t="shared" si="152"/>
        <v>0</v>
      </c>
      <c r="DX58" s="430">
        <f t="shared" si="95"/>
        <v>0</v>
      </c>
      <c r="DY58" s="402">
        <f t="shared" si="96"/>
        <v>1</v>
      </c>
      <c r="DZ58" s="438">
        <f t="shared" si="153"/>
        <v>0</v>
      </c>
      <c r="EA58" s="430">
        <f t="shared" si="97"/>
        <v>0</v>
      </c>
      <c r="EB58" s="402">
        <f t="shared" si="98"/>
        <v>1</v>
      </c>
      <c r="EC58" s="438">
        <f t="shared" si="154"/>
        <v>0</v>
      </c>
      <c r="ED58" s="430">
        <f t="shared" si="99"/>
        <v>0</v>
      </c>
      <c r="EE58" s="402">
        <f t="shared" si="100"/>
        <v>1</v>
      </c>
      <c r="EF58" s="438">
        <f t="shared" si="155"/>
        <v>0</v>
      </c>
      <c r="EG58" s="430">
        <f t="shared" si="142"/>
        <v>0</v>
      </c>
      <c r="EH58" s="402">
        <f t="shared" si="51"/>
        <v>2</v>
      </c>
      <c r="EI58" s="438">
        <f t="shared" si="156"/>
        <v>0</v>
      </c>
      <c r="EJ58" s="430">
        <f t="shared" si="142"/>
        <v>0</v>
      </c>
      <c r="EK58" s="402">
        <f t="shared" si="54"/>
        <v>4</v>
      </c>
      <c r="EL58" s="438">
        <f t="shared" si="157"/>
        <v>0</v>
      </c>
      <c r="EM58" s="430">
        <f t="shared" si="142"/>
        <v>0</v>
      </c>
      <c r="EN58" s="402">
        <f t="shared" si="57"/>
        <v>6</v>
      </c>
      <c r="EO58" s="438">
        <f t="shared" si="158"/>
        <v>0</v>
      </c>
      <c r="EP58" s="430">
        <f t="shared" si="142"/>
        <v>0</v>
      </c>
      <c r="EQ58" s="402">
        <f t="shared" si="60"/>
        <v>8</v>
      </c>
      <c r="ER58" s="438">
        <f t="shared" si="159"/>
        <v>0</v>
      </c>
      <c r="ES58" s="430">
        <f t="shared" si="142"/>
        <v>0</v>
      </c>
      <c r="ET58" s="402">
        <f t="shared" si="63"/>
        <v>10</v>
      </c>
      <c r="EU58" s="438">
        <f t="shared" si="160"/>
        <v>0</v>
      </c>
      <c r="EV58" s="430">
        <f t="shared" si="142"/>
        <v>0</v>
      </c>
      <c r="EW58" s="402">
        <f t="shared" si="66"/>
        <v>20</v>
      </c>
      <c r="EX58" s="438">
        <f t="shared" si="161"/>
        <v>0</v>
      </c>
      <c r="EY58" s="430">
        <f t="shared" si="142"/>
        <v>0</v>
      </c>
      <c r="EZ58" s="402">
        <f t="shared" si="69"/>
        <v>40</v>
      </c>
      <c r="FA58" s="438">
        <f t="shared" si="162"/>
        <v>0</v>
      </c>
      <c r="FB58" s="430">
        <f t="shared" si="142"/>
        <v>0</v>
      </c>
      <c r="FC58" s="402">
        <f t="shared" si="72"/>
        <v>60</v>
      </c>
      <c r="FD58" s="438">
        <f t="shared" si="163"/>
        <v>0</v>
      </c>
      <c r="FE58" s="430">
        <f t="shared" si="142"/>
        <v>0</v>
      </c>
      <c r="FF58" s="402">
        <f t="shared" si="75"/>
        <v>80</v>
      </c>
      <c r="FG58" s="438">
        <f t="shared" si="164"/>
        <v>0</v>
      </c>
      <c r="FH58" s="430">
        <f t="shared" si="142"/>
        <v>0</v>
      </c>
      <c r="FI58" s="402">
        <f t="shared" si="78"/>
        <v>100</v>
      </c>
      <c r="FJ58" s="438">
        <f t="shared" si="165"/>
        <v>0</v>
      </c>
    </row>
    <row r="59" spans="1:166" x14ac:dyDescent="0.45">
      <c r="A59" s="1">
        <v>55</v>
      </c>
      <c r="B59" s="1"/>
      <c r="C59" s="1">
        <v>8</v>
      </c>
      <c r="D59" s="1">
        <v>-1</v>
      </c>
      <c r="E59" s="1">
        <v>0</v>
      </c>
      <c r="F59" s="1"/>
      <c r="G59" s="1"/>
      <c r="H59" s="1">
        <f t="shared" si="137"/>
        <v>0</v>
      </c>
      <c r="I59" s="1">
        <f t="shared" si="138"/>
        <v>0</v>
      </c>
      <c r="J59" s="297">
        <v>200</v>
      </c>
      <c r="K59" s="313">
        <v>0</v>
      </c>
      <c r="L59" s="314">
        <v>0</v>
      </c>
      <c r="M59" s="320">
        <f>ROUND(IF(L59&lt;&gt;0,$BI$4/('全局参数|GlobalPar'!$B$18/10000/E59)/L59,0),6)</f>
        <v>0</v>
      </c>
      <c r="N59" s="320">
        <f t="shared" si="110"/>
        <v>0</v>
      </c>
      <c r="O59" s="323">
        <v>0</v>
      </c>
      <c r="P59" s="324">
        <v>12</v>
      </c>
      <c r="Q59" s="334">
        <v>1</v>
      </c>
      <c r="R59" s="332" t="s">
        <v>1144</v>
      </c>
      <c r="S59" s="297"/>
      <c r="T59" s="1">
        <f t="shared" ref="T59" si="169">T46</f>
        <v>0</v>
      </c>
      <c r="U59" s="348">
        <v>0</v>
      </c>
      <c r="V59" s="348">
        <v>0</v>
      </c>
      <c r="W59" s="348">
        <v>0</v>
      </c>
      <c r="X59" s="1" t="s">
        <v>1145</v>
      </c>
      <c r="Y59" s="192" t="s">
        <v>1146</v>
      </c>
      <c r="Z59" s="192">
        <v>0</v>
      </c>
      <c r="AA59" s="192">
        <v>0</v>
      </c>
      <c r="AB59" s="354">
        <v>0</v>
      </c>
      <c r="AC59" s="1">
        <f t="shared" si="167"/>
        <v>-1</v>
      </c>
      <c r="AD59" s="1">
        <v>0</v>
      </c>
      <c r="AE59" s="1">
        <v>3</v>
      </c>
      <c r="AF59" s="1">
        <v>4</v>
      </c>
      <c r="AG59" s="1">
        <v>0</v>
      </c>
      <c r="AH59" s="1">
        <v>0.9</v>
      </c>
      <c r="AI59" s="1">
        <v>1</v>
      </c>
      <c r="AJ59" s="1">
        <v>1</v>
      </c>
      <c r="AK59" s="1">
        <v>1</v>
      </c>
      <c r="AL59" s="1"/>
      <c r="AM59" s="1"/>
      <c r="AN59" s="1"/>
      <c r="AO59" s="356">
        <v>1</v>
      </c>
      <c r="AP59" s="1">
        <v>1604</v>
      </c>
      <c r="AQ59" s="1">
        <v>0.18</v>
      </c>
      <c r="AR59" s="1">
        <v>0.8</v>
      </c>
      <c r="AS59" s="1">
        <v>1</v>
      </c>
      <c r="AT59" s="1" t="s">
        <v>1216</v>
      </c>
      <c r="AU59" s="358" t="s">
        <v>1308</v>
      </c>
      <c r="AV59" s="358" t="s">
        <v>1310</v>
      </c>
      <c r="AW59" s="360"/>
      <c r="AX59" s="360"/>
      <c r="AY59" s="1">
        <f t="shared" si="111"/>
        <v>0</v>
      </c>
      <c r="AZ59" s="362">
        <f t="shared" si="127"/>
        <v>0</v>
      </c>
      <c r="BA59" s="1" t="s">
        <v>1150</v>
      </c>
      <c r="BB59" s="1">
        <f t="shared" si="112"/>
        <v>0.67200000000000004</v>
      </c>
      <c r="BC59" s="1"/>
      <c r="BD59" s="1">
        <f t="shared" si="128"/>
        <v>0</v>
      </c>
      <c r="BE59" s="1">
        <f t="shared" si="168"/>
        <v>0</v>
      </c>
      <c r="BG59" s="1">
        <f t="shared" si="129"/>
        <v>0</v>
      </c>
      <c r="BN59" s="299"/>
      <c r="BR59" s="301">
        <f t="shared" si="130"/>
        <v>0</v>
      </c>
      <c r="BS59" s="385">
        <f t="shared" si="101"/>
        <v>0</v>
      </c>
      <c r="BT59" s="297">
        <v>6</v>
      </c>
      <c r="BU59" s="1">
        <v>5</v>
      </c>
      <c r="BV59" s="297">
        <v>8</v>
      </c>
      <c r="BW59" s="1">
        <v>2</v>
      </c>
      <c r="BX59" s="297">
        <v>10</v>
      </c>
      <c r="BY59" s="1">
        <v>2</v>
      </c>
      <c r="BZ59" s="1">
        <f t="shared" si="80"/>
        <v>7.333333333333333</v>
      </c>
      <c r="CA59" s="1">
        <f t="shared" si="136"/>
        <v>7.5</v>
      </c>
      <c r="CB59" s="389">
        <f t="shared" si="104"/>
        <v>0</v>
      </c>
      <c r="CC59" s="1">
        <f t="shared" si="136"/>
        <v>15</v>
      </c>
      <c r="CD59" s="391">
        <f t="shared" si="105"/>
        <v>0</v>
      </c>
      <c r="CE59" s="1">
        <f t="shared" si="136"/>
        <v>22.5</v>
      </c>
      <c r="CF59" s="392">
        <f t="shared" si="106"/>
        <v>0</v>
      </c>
      <c r="CH59" s="190">
        <v>0</v>
      </c>
      <c r="CI59" s="404">
        <f t="shared" si="102"/>
        <v>0</v>
      </c>
      <c r="CJ59" s="405">
        <f t="shared" si="131"/>
        <v>0</v>
      </c>
      <c r="CK59" s="414">
        <f t="shared" si="132"/>
        <v>0</v>
      </c>
      <c r="CL59" s="414">
        <f t="shared" si="18"/>
        <v>0</v>
      </c>
      <c r="CM59" s="412">
        <f t="shared" si="82"/>
        <v>0</v>
      </c>
      <c r="CN59" s="415">
        <f t="shared" si="133"/>
        <v>0</v>
      </c>
      <c r="CO59" s="414">
        <f t="shared" si="20"/>
        <v>0</v>
      </c>
      <c r="CP59" s="432" t="e">
        <f t="shared" si="134"/>
        <v>#DIV/0!</v>
      </c>
      <c r="CQ59" s="430">
        <f t="shared" si="83"/>
        <v>12</v>
      </c>
      <c r="CR59" s="431">
        <f t="shared" si="84"/>
        <v>1</v>
      </c>
      <c r="CS59" s="332"/>
      <c r="CT59" s="324">
        <v>12</v>
      </c>
      <c r="CU59" s="334">
        <v>1</v>
      </c>
      <c r="CW59" s="436"/>
      <c r="DB59" s="438"/>
      <c r="DC59" s="430">
        <v>0</v>
      </c>
      <c r="DD59" s="402">
        <v>1</v>
      </c>
      <c r="DE59" s="438">
        <f t="shared" si="146"/>
        <v>0</v>
      </c>
      <c r="DF59" s="430">
        <f t="shared" si="23"/>
        <v>0</v>
      </c>
      <c r="DG59" s="402">
        <f t="shared" si="85"/>
        <v>1</v>
      </c>
      <c r="DH59" s="438">
        <f t="shared" si="147"/>
        <v>0</v>
      </c>
      <c r="DI59" s="430">
        <f t="shared" si="26"/>
        <v>0</v>
      </c>
      <c r="DJ59" s="402">
        <f t="shared" si="86"/>
        <v>1</v>
      </c>
      <c r="DK59" s="438">
        <f t="shared" si="148"/>
        <v>0</v>
      </c>
      <c r="DL59" s="430">
        <f t="shared" si="87"/>
        <v>0</v>
      </c>
      <c r="DM59" s="402">
        <f t="shared" si="88"/>
        <v>1</v>
      </c>
      <c r="DN59" s="438">
        <f t="shared" si="149"/>
        <v>0</v>
      </c>
      <c r="DO59" s="430">
        <f t="shared" si="89"/>
        <v>0</v>
      </c>
      <c r="DP59" s="402">
        <f t="shared" si="90"/>
        <v>1</v>
      </c>
      <c r="DQ59" s="438">
        <f t="shared" si="150"/>
        <v>0</v>
      </c>
      <c r="DR59" s="430">
        <f t="shared" si="91"/>
        <v>0</v>
      </c>
      <c r="DS59" s="402">
        <f t="shared" si="92"/>
        <v>1</v>
      </c>
      <c r="DT59" s="438">
        <f t="shared" si="151"/>
        <v>0</v>
      </c>
      <c r="DU59" s="430">
        <f t="shared" si="93"/>
        <v>0</v>
      </c>
      <c r="DV59" s="402">
        <f t="shared" si="94"/>
        <v>1</v>
      </c>
      <c r="DW59" s="438">
        <f t="shared" si="152"/>
        <v>0</v>
      </c>
      <c r="DX59" s="430">
        <f t="shared" si="95"/>
        <v>0</v>
      </c>
      <c r="DY59" s="402">
        <f t="shared" si="96"/>
        <v>1</v>
      </c>
      <c r="DZ59" s="438">
        <f t="shared" si="153"/>
        <v>0</v>
      </c>
      <c r="EA59" s="430">
        <f t="shared" si="97"/>
        <v>0</v>
      </c>
      <c r="EB59" s="402">
        <f t="shared" si="98"/>
        <v>1</v>
      </c>
      <c r="EC59" s="438">
        <f t="shared" si="154"/>
        <v>0</v>
      </c>
      <c r="ED59" s="430">
        <f t="shared" si="99"/>
        <v>0</v>
      </c>
      <c r="EE59" s="402">
        <f t="shared" si="100"/>
        <v>1</v>
      </c>
      <c r="EF59" s="438">
        <f t="shared" si="155"/>
        <v>0</v>
      </c>
      <c r="EG59" s="430">
        <f t="shared" si="142"/>
        <v>0</v>
      </c>
      <c r="EH59" s="402">
        <f t="shared" si="51"/>
        <v>2</v>
      </c>
      <c r="EI59" s="438">
        <f t="shared" si="156"/>
        <v>0</v>
      </c>
      <c r="EJ59" s="430">
        <f t="shared" si="142"/>
        <v>0</v>
      </c>
      <c r="EK59" s="402">
        <f t="shared" si="54"/>
        <v>4</v>
      </c>
      <c r="EL59" s="438">
        <f t="shared" si="157"/>
        <v>0</v>
      </c>
      <c r="EM59" s="430">
        <f t="shared" si="142"/>
        <v>0</v>
      </c>
      <c r="EN59" s="402">
        <f t="shared" si="57"/>
        <v>6</v>
      </c>
      <c r="EO59" s="438">
        <f t="shared" si="158"/>
        <v>0</v>
      </c>
      <c r="EP59" s="430">
        <f t="shared" si="142"/>
        <v>0</v>
      </c>
      <c r="EQ59" s="402">
        <f t="shared" si="60"/>
        <v>8</v>
      </c>
      <c r="ER59" s="438">
        <f t="shared" si="159"/>
        <v>0</v>
      </c>
      <c r="ES59" s="430">
        <f t="shared" si="142"/>
        <v>0</v>
      </c>
      <c r="ET59" s="402">
        <f t="shared" si="63"/>
        <v>10</v>
      </c>
      <c r="EU59" s="438">
        <f t="shared" si="160"/>
        <v>0</v>
      </c>
      <c r="EV59" s="430">
        <f t="shared" si="142"/>
        <v>0</v>
      </c>
      <c r="EW59" s="402">
        <f t="shared" si="66"/>
        <v>20</v>
      </c>
      <c r="EX59" s="438">
        <f t="shared" si="161"/>
        <v>0</v>
      </c>
      <c r="EY59" s="430">
        <f t="shared" si="142"/>
        <v>0</v>
      </c>
      <c r="EZ59" s="402">
        <f t="shared" si="69"/>
        <v>40</v>
      </c>
      <c r="FA59" s="438">
        <f t="shared" si="162"/>
        <v>0</v>
      </c>
      <c r="FB59" s="430">
        <f t="shared" si="142"/>
        <v>0</v>
      </c>
      <c r="FC59" s="402">
        <f t="shared" si="72"/>
        <v>60</v>
      </c>
      <c r="FD59" s="438">
        <f t="shared" si="163"/>
        <v>0</v>
      </c>
      <c r="FE59" s="430">
        <f t="shared" si="142"/>
        <v>0</v>
      </c>
      <c r="FF59" s="402">
        <f t="shared" si="75"/>
        <v>80</v>
      </c>
      <c r="FG59" s="438">
        <f t="shared" si="164"/>
        <v>0</v>
      </c>
      <c r="FH59" s="430">
        <f t="shared" si="142"/>
        <v>0</v>
      </c>
      <c r="FI59" s="402">
        <f t="shared" si="78"/>
        <v>100</v>
      </c>
      <c r="FJ59" s="438">
        <f t="shared" si="165"/>
        <v>0</v>
      </c>
    </row>
    <row r="60" spans="1:166" x14ac:dyDescent="0.45">
      <c r="A60" s="1">
        <v>56</v>
      </c>
      <c r="B60" s="1"/>
      <c r="C60" s="1">
        <v>8</v>
      </c>
      <c r="D60" s="1">
        <v>-1</v>
      </c>
      <c r="E60" s="1">
        <v>0</v>
      </c>
      <c r="F60" s="1"/>
      <c r="G60" s="1"/>
      <c r="H60" s="1">
        <f t="shared" ref="H60:H62" si="170">ROUND(IF(C60=4,E60*10%,0),0)</f>
        <v>0</v>
      </c>
      <c r="I60" s="1">
        <f t="shared" ref="I60:I62" si="171">ROUND(IF(C60=4,E60*2%,0),0)</f>
        <v>0</v>
      </c>
      <c r="J60" s="297">
        <v>500</v>
      </c>
      <c r="K60" s="313">
        <v>0</v>
      </c>
      <c r="L60" s="314">
        <v>0</v>
      </c>
      <c r="M60" s="320">
        <f>ROUND(IF(L60&lt;&gt;0,$BI$4/('全局参数|GlobalPar'!$B$18/10000/E60)/L60,0),6)</f>
        <v>0</v>
      </c>
      <c r="N60" s="320">
        <f t="shared" si="110"/>
        <v>0</v>
      </c>
      <c r="O60" s="323">
        <v>0</v>
      </c>
      <c r="P60" s="322">
        <v>12</v>
      </c>
      <c r="Q60" s="331">
        <v>1</v>
      </c>
      <c r="R60" s="332" t="s">
        <v>1144</v>
      </c>
      <c r="S60" s="297"/>
      <c r="T60" s="333">
        <v>0</v>
      </c>
      <c r="U60" s="348">
        <v>0</v>
      </c>
      <c r="V60" s="348">
        <v>0</v>
      </c>
      <c r="W60" s="348">
        <v>0</v>
      </c>
      <c r="X60" s="1" t="s">
        <v>1145</v>
      </c>
      <c r="Y60" s="192" t="s">
        <v>1146</v>
      </c>
      <c r="Z60" s="192">
        <v>0</v>
      </c>
      <c r="AA60" s="192">
        <v>0</v>
      </c>
      <c r="AB60" s="354">
        <v>0</v>
      </c>
      <c r="AC60" s="1">
        <f t="shared" si="167"/>
        <v>-1</v>
      </c>
      <c r="AD60" s="1">
        <v>0</v>
      </c>
      <c r="AE60" s="1">
        <v>1</v>
      </c>
      <c r="AF60" s="1">
        <v>4</v>
      </c>
      <c r="AG60" s="1">
        <v>0</v>
      </c>
      <c r="AH60" s="1">
        <v>1.5</v>
      </c>
      <c r="AI60" s="1">
        <v>1</v>
      </c>
      <c r="AJ60" s="1">
        <v>1</v>
      </c>
      <c r="AK60" s="1">
        <v>1</v>
      </c>
      <c r="AL60" s="1"/>
      <c r="AM60" s="1"/>
      <c r="AN60" s="1"/>
      <c r="AO60" s="356">
        <v>1</v>
      </c>
      <c r="AP60" s="1">
        <v>1602</v>
      </c>
      <c r="AQ60" s="1">
        <v>0.18</v>
      </c>
      <c r="AR60" s="1">
        <v>0.8</v>
      </c>
      <c r="AS60" s="1">
        <v>1</v>
      </c>
      <c r="AT60" s="1" t="s">
        <v>1275</v>
      </c>
      <c r="AU60" s="358" t="s">
        <v>1308</v>
      </c>
      <c r="AV60" s="358" t="s">
        <v>1310</v>
      </c>
      <c r="AW60" s="360"/>
      <c r="AX60" s="360"/>
      <c r="AY60" s="1">
        <f t="shared" si="111"/>
        <v>0</v>
      </c>
      <c r="AZ60" s="362">
        <f t="shared" ref="AZ60:AZ62" si="172">IF(AY60=0,0,$BC$1/AY60)</f>
        <v>0</v>
      </c>
      <c r="BA60" s="1" t="s">
        <v>1150</v>
      </c>
      <c r="BB60" s="1">
        <f t="shared" si="112"/>
        <v>1.119</v>
      </c>
      <c r="BC60" s="1"/>
      <c r="BD60" s="1">
        <f t="shared" si="128"/>
        <v>0</v>
      </c>
      <c r="BE60" s="1">
        <f t="shared" si="168"/>
        <v>0</v>
      </c>
      <c r="BG60" s="1">
        <f t="shared" si="129"/>
        <v>0</v>
      </c>
      <c r="BR60" s="301">
        <f t="shared" si="130"/>
        <v>0</v>
      </c>
      <c r="BS60" s="385">
        <f t="shared" si="101"/>
        <v>0</v>
      </c>
      <c r="BT60" s="297">
        <v>6</v>
      </c>
      <c r="BU60" s="1">
        <v>5</v>
      </c>
      <c r="BV60" s="297">
        <v>8</v>
      </c>
      <c r="BW60" s="1">
        <v>2</v>
      </c>
      <c r="BX60" s="297">
        <v>10</v>
      </c>
      <c r="BY60" s="1">
        <v>2</v>
      </c>
      <c r="BZ60" s="1">
        <f t="shared" ref="BZ60:BZ62" si="173">(BT60*BU60+BV60*BW60+BX60*BY60)/(BU60+BW60+BY60)</f>
        <v>7.333333333333333</v>
      </c>
      <c r="CA60" s="1">
        <f t="shared" si="136"/>
        <v>7.5</v>
      </c>
      <c r="CB60" s="389">
        <f t="shared" si="104"/>
        <v>0</v>
      </c>
      <c r="CC60" s="1">
        <f t="shared" si="136"/>
        <v>15</v>
      </c>
      <c r="CD60" s="391">
        <f t="shared" si="105"/>
        <v>0</v>
      </c>
      <c r="CE60" s="1">
        <f t="shared" si="136"/>
        <v>22.5</v>
      </c>
      <c r="CF60" s="392">
        <f t="shared" si="106"/>
        <v>0</v>
      </c>
      <c r="CH60" s="190">
        <v>0</v>
      </c>
      <c r="CI60" s="403">
        <f t="shared" si="102"/>
        <v>0</v>
      </c>
      <c r="CJ60" s="402">
        <f t="shared" si="131"/>
        <v>0</v>
      </c>
      <c r="CK60" s="411">
        <f t="shared" si="132"/>
        <v>0</v>
      </c>
      <c r="CL60" s="411">
        <f t="shared" ref="CL60:CL62" si="174">$CK60*CL$3/CQ60</f>
        <v>0</v>
      </c>
      <c r="CM60" s="412">
        <f t="shared" ref="CM60:CM62" si="175">IF(CL60&gt;$CM$3,CI60*$CM$3/CL60,$CI60)</f>
        <v>0</v>
      </c>
      <c r="CN60" s="413">
        <f t="shared" si="133"/>
        <v>0</v>
      </c>
      <c r="CO60" s="411">
        <f t="shared" ref="CO60:CO62" si="176">$CN60*CL$3/CQ60</f>
        <v>0</v>
      </c>
      <c r="CP60" s="429" t="e">
        <f t="shared" si="134"/>
        <v>#DIV/0!</v>
      </c>
      <c r="CQ60" s="430">
        <f t="shared" ref="CQ60:CQ62" si="177">IF($CL$3&lt;$CT$2,CT60,CT60*INT($CL$3/$CT$2))</f>
        <v>12</v>
      </c>
      <c r="CR60" s="431">
        <f t="shared" ref="CR60:CR62" si="178">IF($CL$3&lt;$CT$2,CU60,CU60*INT($CL$3/$CT$2))</f>
        <v>1</v>
      </c>
      <c r="CS60" s="332"/>
      <c r="CT60" s="322">
        <v>12</v>
      </c>
      <c r="CU60" s="331">
        <v>1</v>
      </c>
      <c r="CW60" s="436"/>
      <c r="DB60" s="438"/>
      <c r="DC60" s="430">
        <v>0</v>
      </c>
      <c r="DD60" s="402">
        <v>1</v>
      </c>
      <c r="DE60" s="438">
        <f t="shared" si="146"/>
        <v>0</v>
      </c>
      <c r="DF60" s="430">
        <f t="shared" ref="DF60:DF62" si="179">DC60</f>
        <v>0</v>
      </c>
      <c r="DG60" s="402">
        <f t="shared" ref="DG60:DG62" si="180">DD60</f>
        <v>1</v>
      </c>
      <c r="DH60" s="438">
        <f t="shared" si="147"/>
        <v>0</v>
      </c>
      <c r="DI60" s="430">
        <f t="shared" ref="DI60:DI62" si="181">DF60</f>
        <v>0</v>
      </c>
      <c r="DJ60" s="402">
        <f t="shared" ref="DJ60:DJ62" si="182">DG60</f>
        <v>1</v>
      </c>
      <c r="DK60" s="438">
        <f t="shared" si="148"/>
        <v>0</v>
      </c>
      <c r="DL60" s="430">
        <f t="shared" ref="DL60:DL62" si="183">DI60</f>
        <v>0</v>
      </c>
      <c r="DM60" s="402">
        <f t="shared" ref="DM60:DM62" si="184">DJ60</f>
        <v>1</v>
      </c>
      <c r="DN60" s="438">
        <f t="shared" si="149"/>
        <v>0</v>
      </c>
      <c r="DO60" s="430">
        <f t="shared" ref="DO60:DO62" si="185">DL60</f>
        <v>0</v>
      </c>
      <c r="DP60" s="402">
        <f t="shared" ref="DP60:DP62" si="186">DM60</f>
        <v>1</v>
      </c>
      <c r="DQ60" s="438">
        <f t="shared" si="150"/>
        <v>0</v>
      </c>
      <c r="DR60" s="430">
        <f t="shared" ref="DR60:DR62" si="187">DO60</f>
        <v>0</v>
      </c>
      <c r="DS60" s="402">
        <f t="shared" ref="DS60:DS62" si="188">DP60</f>
        <v>1</v>
      </c>
      <c r="DT60" s="438">
        <f t="shared" si="151"/>
        <v>0</v>
      </c>
      <c r="DU60" s="430">
        <f t="shared" ref="DU60:DU62" si="189">DR60</f>
        <v>0</v>
      </c>
      <c r="DV60" s="402">
        <f t="shared" ref="DV60:DV62" si="190">DS60</f>
        <v>1</v>
      </c>
      <c r="DW60" s="438">
        <f t="shared" si="152"/>
        <v>0</v>
      </c>
      <c r="DX60" s="430">
        <f t="shared" ref="DX60:DX62" si="191">DU60</f>
        <v>0</v>
      </c>
      <c r="DY60" s="402">
        <f t="shared" ref="DY60:DY62" si="192">DV60</f>
        <v>1</v>
      </c>
      <c r="DZ60" s="438">
        <f t="shared" si="153"/>
        <v>0</v>
      </c>
      <c r="EA60" s="430">
        <f t="shared" ref="EA60:EA62" si="193">DX60</f>
        <v>0</v>
      </c>
      <c r="EB60" s="402">
        <f t="shared" ref="EB60:EB62" si="194">DY60</f>
        <v>1</v>
      </c>
      <c r="EC60" s="438">
        <f t="shared" si="154"/>
        <v>0</v>
      </c>
      <c r="ED60" s="430">
        <f t="shared" ref="ED60:ED62" si="195">EA60</f>
        <v>0</v>
      </c>
      <c r="EE60" s="402">
        <f t="shared" ref="EE60:EE62" si="196">EB60</f>
        <v>1</v>
      </c>
      <c r="EF60" s="438">
        <f t="shared" si="155"/>
        <v>0</v>
      </c>
      <c r="EG60" s="430">
        <f t="shared" si="142"/>
        <v>0</v>
      </c>
      <c r="EH60" s="402">
        <f t="shared" ref="EH60:EH62" si="197">$EE60*EG$4/$ED$4</f>
        <v>2</v>
      </c>
      <c r="EI60" s="438">
        <f t="shared" si="156"/>
        <v>0</v>
      </c>
      <c r="EJ60" s="430">
        <f t="shared" si="142"/>
        <v>0</v>
      </c>
      <c r="EK60" s="402">
        <f t="shared" ref="EK60:EK62" si="198">$EE60*EJ$4/$ED$4</f>
        <v>4</v>
      </c>
      <c r="EL60" s="438">
        <f t="shared" si="157"/>
        <v>0</v>
      </c>
      <c r="EM60" s="430">
        <f t="shared" si="142"/>
        <v>0</v>
      </c>
      <c r="EN60" s="402">
        <f t="shared" ref="EN60:EN62" si="199">$EE60*EM$4/$ED$4</f>
        <v>6</v>
      </c>
      <c r="EO60" s="438">
        <f t="shared" si="158"/>
        <v>0</v>
      </c>
      <c r="EP60" s="430">
        <f t="shared" si="142"/>
        <v>0</v>
      </c>
      <c r="EQ60" s="402">
        <f t="shared" ref="EQ60:EQ62" si="200">$EE60*EP$4/$ED$4</f>
        <v>8</v>
      </c>
      <c r="ER60" s="438">
        <f t="shared" si="159"/>
        <v>0</v>
      </c>
      <c r="ES60" s="430">
        <f t="shared" si="142"/>
        <v>0</v>
      </c>
      <c r="ET60" s="402">
        <f t="shared" ref="ET60:ET62" si="201">$EE60*ES$4/$ED$4</f>
        <v>10</v>
      </c>
      <c r="EU60" s="438">
        <f t="shared" si="160"/>
        <v>0</v>
      </c>
      <c r="EV60" s="430">
        <f t="shared" si="142"/>
        <v>0</v>
      </c>
      <c r="EW60" s="402">
        <f t="shared" ref="EW60:EW62" si="202">$EE60*EV$4/$ED$4</f>
        <v>20</v>
      </c>
      <c r="EX60" s="438">
        <f t="shared" si="161"/>
        <v>0</v>
      </c>
      <c r="EY60" s="430">
        <f t="shared" si="142"/>
        <v>0</v>
      </c>
      <c r="EZ60" s="402">
        <f t="shared" ref="EZ60:EZ62" si="203">$EE60*EY$4/$ED$4</f>
        <v>40</v>
      </c>
      <c r="FA60" s="438">
        <f t="shared" si="162"/>
        <v>0</v>
      </c>
      <c r="FB60" s="430">
        <f t="shared" si="142"/>
        <v>0</v>
      </c>
      <c r="FC60" s="402">
        <f t="shared" ref="FC60:FC62" si="204">$EE60*FB$4/$ED$4</f>
        <v>60</v>
      </c>
      <c r="FD60" s="438">
        <f t="shared" si="163"/>
        <v>0</v>
      </c>
      <c r="FE60" s="430">
        <f t="shared" si="142"/>
        <v>0</v>
      </c>
      <c r="FF60" s="402">
        <f t="shared" ref="FF60:FF62" si="205">$EE60*FE$4/$ED$4</f>
        <v>80</v>
      </c>
      <c r="FG60" s="438">
        <f t="shared" si="164"/>
        <v>0</v>
      </c>
      <c r="FH60" s="430">
        <f t="shared" si="142"/>
        <v>0</v>
      </c>
      <c r="FI60" s="402">
        <f t="shared" ref="FI60:FI62" si="206">$EE60*FH$4/$ED$4</f>
        <v>100</v>
      </c>
      <c r="FJ60" s="438">
        <f t="shared" si="165"/>
        <v>0</v>
      </c>
    </row>
    <row r="61" spans="1:166" x14ac:dyDescent="0.45">
      <c r="A61" s="1">
        <v>57</v>
      </c>
      <c r="B61" s="1"/>
      <c r="C61" s="1">
        <v>8</v>
      </c>
      <c r="D61" s="1">
        <v>-1</v>
      </c>
      <c r="E61" s="1">
        <v>0</v>
      </c>
      <c r="F61" s="1"/>
      <c r="G61" s="1"/>
      <c r="H61" s="1">
        <f t="shared" si="170"/>
        <v>0</v>
      </c>
      <c r="I61" s="1">
        <f t="shared" si="171"/>
        <v>0</v>
      </c>
      <c r="J61" s="297">
        <v>2000</v>
      </c>
      <c r="K61" s="313">
        <v>0</v>
      </c>
      <c r="L61" s="314">
        <v>0</v>
      </c>
      <c r="M61" s="320">
        <f>ROUND(IF(L61&lt;&gt;0,$BI$4/('全局参数|GlobalPar'!$B$18/10000/E61)/L61,0),6)</f>
        <v>0</v>
      </c>
      <c r="N61" s="320">
        <f t="shared" si="110"/>
        <v>0</v>
      </c>
      <c r="O61" s="323">
        <v>0</v>
      </c>
      <c r="P61" s="322">
        <v>12</v>
      </c>
      <c r="Q61" s="331">
        <v>1</v>
      </c>
      <c r="R61" s="332" t="s">
        <v>1144</v>
      </c>
      <c r="S61" s="297"/>
      <c r="T61" s="333">
        <v>0</v>
      </c>
      <c r="U61" s="348">
        <v>0</v>
      </c>
      <c r="V61" s="348">
        <v>0</v>
      </c>
      <c r="W61" s="348">
        <v>0</v>
      </c>
      <c r="X61" s="1" t="s">
        <v>1145</v>
      </c>
      <c r="Y61" s="192" t="s">
        <v>1146</v>
      </c>
      <c r="Z61" s="192">
        <v>0</v>
      </c>
      <c r="AA61" s="192">
        <v>0</v>
      </c>
      <c r="AB61" s="354">
        <v>0</v>
      </c>
      <c r="AC61" s="1">
        <f t="shared" si="167"/>
        <v>-1</v>
      </c>
      <c r="AD61" s="1">
        <v>0</v>
      </c>
      <c r="AE61" s="1">
        <v>2</v>
      </c>
      <c r="AF61" s="1">
        <v>4</v>
      </c>
      <c r="AG61" s="1">
        <v>0</v>
      </c>
      <c r="AH61" s="1">
        <v>0.9</v>
      </c>
      <c r="AI61" s="1">
        <v>1</v>
      </c>
      <c r="AJ61" s="1">
        <v>1</v>
      </c>
      <c r="AK61" s="1">
        <v>1</v>
      </c>
      <c r="AL61" s="1"/>
      <c r="AM61" s="1"/>
      <c r="AN61" s="1"/>
      <c r="AO61" s="356">
        <v>1</v>
      </c>
      <c r="AP61" s="1">
        <v>1603</v>
      </c>
      <c r="AQ61" s="1">
        <v>0.18</v>
      </c>
      <c r="AR61" s="1">
        <v>0.8</v>
      </c>
      <c r="AS61" s="1">
        <v>1</v>
      </c>
      <c r="AT61" s="1" t="s">
        <v>1216</v>
      </c>
      <c r="AU61" s="358" t="s">
        <v>1308</v>
      </c>
      <c r="AV61" s="358" t="s">
        <v>1310</v>
      </c>
      <c r="AW61" s="360"/>
      <c r="AX61" s="360"/>
      <c r="AY61" s="1">
        <f t="shared" si="111"/>
        <v>0</v>
      </c>
      <c r="AZ61" s="362">
        <f t="shared" si="172"/>
        <v>0</v>
      </c>
      <c r="BA61" s="1" t="s">
        <v>1150</v>
      </c>
      <c r="BB61" s="1">
        <f t="shared" si="112"/>
        <v>0.67200000000000004</v>
      </c>
      <c r="BC61" s="1"/>
      <c r="BD61" s="1">
        <f t="shared" si="128"/>
        <v>0</v>
      </c>
      <c r="BE61" s="1">
        <f t="shared" si="168"/>
        <v>0</v>
      </c>
      <c r="BG61" s="1">
        <f t="shared" si="129"/>
        <v>0</v>
      </c>
      <c r="BR61" s="301">
        <f t="shared" si="130"/>
        <v>0</v>
      </c>
      <c r="BS61" s="385">
        <f t="shared" si="101"/>
        <v>0</v>
      </c>
      <c r="BT61" s="297">
        <v>6</v>
      </c>
      <c r="BU61" s="1">
        <v>5</v>
      </c>
      <c r="BV61" s="297">
        <v>8</v>
      </c>
      <c r="BW61" s="1">
        <v>2</v>
      </c>
      <c r="BX61" s="297">
        <v>10</v>
      </c>
      <c r="BY61" s="1">
        <v>2</v>
      </c>
      <c r="BZ61" s="1">
        <f t="shared" si="173"/>
        <v>7.333333333333333</v>
      </c>
      <c r="CA61" s="1">
        <f t="shared" ref="CA61:CE62" si="207">CA$3/10</f>
        <v>7.5</v>
      </c>
      <c r="CB61" s="389">
        <f t="shared" si="104"/>
        <v>0</v>
      </c>
      <c r="CC61" s="1">
        <f t="shared" si="207"/>
        <v>15</v>
      </c>
      <c r="CD61" s="391">
        <f t="shared" si="105"/>
        <v>0</v>
      </c>
      <c r="CE61" s="1">
        <f t="shared" si="207"/>
        <v>22.5</v>
      </c>
      <c r="CF61" s="392">
        <f t="shared" si="106"/>
        <v>0</v>
      </c>
      <c r="CH61" s="190">
        <v>0</v>
      </c>
      <c r="CI61" s="403">
        <f t="shared" si="102"/>
        <v>0</v>
      </c>
      <c r="CJ61" s="402">
        <f t="shared" si="131"/>
        <v>0</v>
      </c>
      <c r="CK61" s="411">
        <f t="shared" si="132"/>
        <v>0</v>
      </c>
      <c r="CL61" s="411">
        <f t="shared" si="174"/>
        <v>0</v>
      </c>
      <c r="CM61" s="412">
        <f t="shared" si="175"/>
        <v>0</v>
      </c>
      <c r="CN61" s="413">
        <f t="shared" si="133"/>
        <v>0</v>
      </c>
      <c r="CO61" s="411">
        <f t="shared" si="176"/>
        <v>0</v>
      </c>
      <c r="CP61" s="429" t="e">
        <f t="shared" si="134"/>
        <v>#DIV/0!</v>
      </c>
      <c r="CQ61" s="430">
        <f t="shared" si="177"/>
        <v>12</v>
      </c>
      <c r="CR61" s="431">
        <f t="shared" si="178"/>
        <v>1</v>
      </c>
      <c r="CS61" s="332"/>
      <c r="CT61" s="322">
        <v>12</v>
      </c>
      <c r="CU61" s="331">
        <v>1</v>
      </c>
      <c r="CW61" s="436"/>
      <c r="DB61" s="438"/>
      <c r="DC61" s="430">
        <v>0</v>
      </c>
      <c r="DD61" s="402">
        <v>1</v>
      </c>
      <c r="DE61" s="438">
        <f t="shared" si="146"/>
        <v>0</v>
      </c>
      <c r="DF61" s="430">
        <f t="shared" si="179"/>
        <v>0</v>
      </c>
      <c r="DG61" s="402">
        <f t="shared" si="180"/>
        <v>1</v>
      </c>
      <c r="DH61" s="438">
        <f t="shared" si="147"/>
        <v>0</v>
      </c>
      <c r="DI61" s="430">
        <f t="shared" si="181"/>
        <v>0</v>
      </c>
      <c r="DJ61" s="402">
        <f t="shared" si="182"/>
        <v>1</v>
      </c>
      <c r="DK61" s="438">
        <f t="shared" si="148"/>
        <v>0</v>
      </c>
      <c r="DL61" s="430">
        <f t="shared" si="183"/>
        <v>0</v>
      </c>
      <c r="DM61" s="402">
        <f t="shared" si="184"/>
        <v>1</v>
      </c>
      <c r="DN61" s="438">
        <f t="shared" si="149"/>
        <v>0</v>
      </c>
      <c r="DO61" s="430">
        <f t="shared" si="185"/>
        <v>0</v>
      </c>
      <c r="DP61" s="402">
        <f t="shared" si="186"/>
        <v>1</v>
      </c>
      <c r="DQ61" s="438">
        <f t="shared" si="150"/>
        <v>0</v>
      </c>
      <c r="DR61" s="430">
        <f t="shared" si="187"/>
        <v>0</v>
      </c>
      <c r="DS61" s="402">
        <f t="shared" si="188"/>
        <v>1</v>
      </c>
      <c r="DT61" s="438">
        <f t="shared" si="151"/>
        <v>0</v>
      </c>
      <c r="DU61" s="430">
        <f t="shared" si="189"/>
        <v>0</v>
      </c>
      <c r="DV61" s="402">
        <f t="shared" si="190"/>
        <v>1</v>
      </c>
      <c r="DW61" s="438">
        <f t="shared" si="152"/>
        <v>0</v>
      </c>
      <c r="DX61" s="430">
        <f t="shared" si="191"/>
        <v>0</v>
      </c>
      <c r="DY61" s="402">
        <f t="shared" si="192"/>
        <v>1</v>
      </c>
      <c r="DZ61" s="438">
        <f t="shared" si="153"/>
        <v>0</v>
      </c>
      <c r="EA61" s="430">
        <f t="shared" si="193"/>
        <v>0</v>
      </c>
      <c r="EB61" s="402">
        <f t="shared" si="194"/>
        <v>1</v>
      </c>
      <c r="EC61" s="438">
        <f t="shared" si="154"/>
        <v>0</v>
      </c>
      <c r="ED61" s="430">
        <f t="shared" si="195"/>
        <v>0</v>
      </c>
      <c r="EE61" s="402">
        <f t="shared" si="196"/>
        <v>1</v>
      </c>
      <c r="EF61" s="438">
        <f t="shared" si="155"/>
        <v>0</v>
      </c>
      <c r="EG61" s="430">
        <f t="shared" si="142"/>
        <v>0</v>
      </c>
      <c r="EH61" s="402">
        <f t="shared" si="197"/>
        <v>2</v>
      </c>
      <c r="EI61" s="438">
        <f t="shared" si="156"/>
        <v>0</v>
      </c>
      <c r="EJ61" s="430">
        <f t="shared" si="142"/>
        <v>0</v>
      </c>
      <c r="EK61" s="402">
        <f t="shared" si="198"/>
        <v>4</v>
      </c>
      <c r="EL61" s="438">
        <f t="shared" si="157"/>
        <v>0</v>
      </c>
      <c r="EM61" s="430">
        <f t="shared" si="142"/>
        <v>0</v>
      </c>
      <c r="EN61" s="402">
        <f t="shared" si="199"/>
        <v>6</v>
      </c>
      <c r="EO61" s="438">
        <f t="shared" si="158"/>
        <v>0</v>
      </c>
      <c r="EP61" s="430">
        <f t="shared" si="142"/>
        <v>0</v>
      </c>
      <c r="EQ61" s="402">
        <f t="shared" si="200"/>
        <v>8</v>
      </c>
      <c r="ER61" s="438">
        <f t="shared" si="159"/>
        <v>0</v>
      </c>
      <c r="ES61" s="430">
        <f t="shared" si="142"/>
        <v>0</v>
      </c>
      <c r="ET61" s="402">
        <f t="shared" si="201"/>
        <v>10</v>
      </c>
      <c r="EU61" s="438">
        <f t="shared" si="160"/>
        <v>0</v>
      </c>
      <c r="EV61" s="430">
        <f t="shared" si="142"/>
        <v>0</v>
      </c>
      <c r="EW61" s="402">
        <f t="shared" si="202"/>
        <v>20</v>
      </c>
      <c r="EX61" s="438">
        <f t="shared" si="161"/>
        <v>0</v>
      </c>
      <c r="EY61" s="430">
        <f t="shared" si="142"/>
        <v>0</v>
      </c>
      <c r="EZ61" s="402">
        <f t="shared" si="203"/>
        <v>40</v>
      </c>
      <c r="FA61" s="438">
        <f t="shared" si="162"/>
        <v>0</v>
      </c>
      <c r="FB61" s="430">
        <f t="shared" si="142"/>
        <v>0</v>
      </c>
      <c r="FC61" s="402">
        <f t="shared" si="204"/>
        <v>60</v>
      </c>
      <c r="FD61" s="438">
        <f t="shared" si="163"/>
        <v>0</v>
      </c>
      <c r="FE61" s="430">
        <f t="shared" si="142"/>
        <v>0</v>
      </c>
      <c r="FF61" s="402">
        <f t="shared" si="205"/>
        <v>80</v>
      </c>
      <c r="FG61" s="438">
        <f t="shared" si="164"/>
        <v>0</v>
      </c>
      <c r="FH61" s="430">
        <f t="shared" si="142"/>
        <v>0</v>
      </c>
      <c r="FI61" s="402">
        <f t="shared" si="206"/>
        <v>100</v>
      </c>
      <c r="FJ61" s="438">
        <f t="shared" si="165"/>
        <v>0</v>
      </c>
    </row>
    <row r="62" spans="1:166" x14ac:dyDescent="0.45">
      <c r="A62" s="1">
        <v>58</v>
      </c>
      <c r="B62" s="1"/>
      <c r="C62" s="1">
        <v>8</v>
      </c>
      <c r="D62" s="1">
        <v>-1</v>
      </c>
      <c r="E62" s="1">
        <v>0</v>
      </c>
      <c r="F62" s="1"/>
      <c r="G62" s="1"/>
      <c r="H62" s="1">
        <f t="shared" si="170"/>
        <v>0</v>
      </c>
      <c r="I62" s="1">
        <f t="shared" si="171"/>
        <v>0</v>
      </c>
      <c r="J62" s="297">
        <v>5000</v>
      </c>
      <c r="K62" s="313">
        <v>0</v>
      </c>
      <c r="L62" s="314">
        <v>0</v>
      </c>
      <c r="M62" s="320">
        <f>ROUND(IF(L62&lt;&gt;0,$BI$4/('全局参数|GlobalPar'!$B$18/10000/E62)/L62,0),6)</f>
        <v>0</v>
      </c>
      <c r="N62" s="320">
        <f t="shared" si="110"/>
        <v>0</v>
      </c>
      <c r="O62" s="323">
        <v>0</v>
      </c>
      <c r="P62" s="324">
        <v>12</v>
      </c>
      <c r="Q62" s="334">
        <v>1</v>
      </c>
      <c r="R62" s="332" t="s">
        <v>1144</v>
      </c>
      <c r="S62" s="297"/>
      <c r="T62" s="1">
        <f t="shared" ref="T62" si="208">T49</f>
        <v>0</v>
      </c>
      <c r="U62" s="348">
        <v>0</v>
      </c>
      <c r="V62" s="348">
        <v>0</v>
      </c>
      <c r="W62" s="348">
        <v>0</v>
      </c>
      <c r="X62" s="1" t="s">
        <v>1145</v>
      </c>
      <c r="Y62" s="192" t="s">
        <v>1146</v>
      </c>
      <c r="Z62" s="192">
        <v>0</v>
      </c>
      <c r="AA62" s="192">
        <v>0</v>
      </c>
      <c r="AB62" s="354">
        <v>0</v>
      </c>
      <c r="AC62" s="1">
        <f t="shared" si="167"/>
        <v>-1</v>
      </c>
      <c r="AD62" s="1">
        <v>0</v>
      </c>
      <c r="AE62" s="1">
        <v>3</v>
      </c>
      <c r="AF62" s="1">
        <v>4</v>
      </c>
      <c r="AG62" s="1">
        <v>0</v>
      </c>
      <c r="AH62" s="1">
        <v>1.5</v>
      </c>
      <c r="AI62" s="1">
        <v>1</v>
      </c>
      <c r="AJ62" s="1">
        <v>1</v>
      </c>
      <c r="AK62" s="1">
        <v>1</v>
      </c>
      <c r="AL62" s="1"/>
      <c r="AM62" s="1"/>
      <c r="AN62" s="1"/>
      <c r="AO62" s="356">
        <v>1</v>
      </c>
      <c r="AP62" s="1">
        <v>1604</v>
      </c>
      <c r="AQ62" s="1">
        <v>0.18</v>
      </c>
      <c r="AR62" s="1">
        <v>0.8</v>
      </c>
      <c r="AS62" s="1">
        <v>1</v>
      </c>
      <c r="AT62" s="1" t="s">
        <v>1275</v>
      </c>
      <c r="AU62" s="358" t="s">
        <v>1308</v>
      </c>
      <c r="AV62" s="358" t="s">
        <v>1310</v>
      </c>
      <c r="AW62" s="360"/>
      <c r="AX62" s="360"/>
      <c r="AY62" s="1">
        <f t="shared" si="111"/>
        <v>0</v>
      </c>
      <c r="AZ62" s="362">
        <f t="shared" si="172"/>
        <v>0</v>
      </c>
      <c r="BA62" s="1" t="s">
        <v>1150</v>
      </c>
      <c r="BB62" s="1">
        <f t="shared" si="112"/>
        <v>1.119</v>
      </c>
      <c r="BC62" s="1"/>
      <c r="BD62" s="1">
        <f t="shared" si="128"/>
        <v>0</v>
      </c>
      <c r="BE62" s="1">
        <f t="shared" si="168"/>
        <v>0</v>
      </c>
      <c r="BG62" s="1">
        <f t="shared" si="129"/>
        <v>0</v>
      </c>
      <c r="BN62" s="299"/>
      <c r="BR62" s="301">
        <f t="shared" si="130"/>
        <v>0</v>
      </c>
      <c r="BS62" s="385">
        <f t="shared" si="101"/>
        <v>0</v>
      </c>
      <c r="BT62" s="297">
        <v>6</v>
      </c>
      <c r="BU62" s="1">
        <v>5</v>
      </c>
      <c r="BV62" s="297">
        <v>8</v>
      </c>
      <c r="BW62" s="1">
        <v>2</v>
      </c>
      <c r="BX62" s="297">
        <v>10</v>
      </c>
      <c r="BY62" s="1">
        <v>2</v>
      </c>
      <c r="BZ62" s="1">
        <f t="shared" si="173"/>
        <v>7.333333333333333</v>
      </c>
      <c r="CA62" s="1">
        <f t="shared" si="207"/>
        <v>7.5</v>
      </c>
      <c r="CB62" s="389">
        <f t="shared" si="104"/>
        <v>0</v>
      </c>
      <c r="CC62" s="1">
        <f t="shared" si="207"/>
        <v>15</v>
      </c>
      <c r="CD62" s="391">
        <f t="shared" si="105"/>
        <v>0</v>
      </c>
      <c r="CE62" s="1">
        <f t="shared" si="207"/>
        <v>22.5</v>
      </c>
      <c r="CF62" s="392">
        <f t="shared" si="106"/>
        <v>0</v>
      </c>
      <c r="CH62" s="190">
        <v>0</v>
      </c>
      <c r="CI62" s="404">
        <f t="shared" si="102"/>
        <v>0</v>
      </c>
      <c r="CJ62" s="405">
        <f t="shared" si="131"/>
        <v>0</v>
      </c>
      <c r="CK62" s="414">
        <f t="shared" si="132"/>
        <v>0</v>
      </c>
      <c r="CL62" s="414">
        <f t="shared" si="174"/>
        <v>0</v>
      </c>
      <c r="CM62" s="412">
        <f t="shared" si="175"/>
        <v>0</v>
      </c>
      <c r="CN62" s="415">
        <f t="shared" si="133"/>
        <v>0</v>
      </c>
      <c r="CO62" s="414">
        <f t="shared" si="176"/>
        <v>0</v>
      </c>
      <c r="CP62" s="432" t="e">
        <f t="shared" si="134"/>
        <v>#DIV/0!</v>
      </c>
      <c r="CQ62" s="430">
        <f t="shared" si="177"/>
        <v>12</v>
      </c>
      <c r="CR62" s="431">
        <f t="shared" si="178"/>
        <v>1</v>
      </c>
      <c r="CS62" s="332"/>
      <c r="CT62" s="324">
        <v>12</v>
      </c>
      <c r="CU62" s="334">
        <v>1</v>
      </c>
      <c r="CW62" s="436"/>
      <c r="DB62" s="438"/>
      <c r="DC62" s="430">
        <v>0</v>
      </c>
      <c r="DD62" s="402">
        <v>1</v>
      </c>
      <c r="DE62" s="438">
        <f t="shared" si="146"/>
        <v>0</v>
      </c>
      <c r="DF62" s="430">
        <f t="shared" si="179"/>
        <v>0</v>
      </c>
      <c r="DG62" s="402">
        <f t="shared" si="180"/>
        <v>1</v>
      </c>
      <c r="DH62" s="438">
        <f t="shared" si="147"/>
        <v>0</v>
      </c>
      <c r="DI62" s="430">
        <f t="shared" si="181"/>
        <v>0</v>
      </c>
      <c r="DJ62" s="402">
        <f t="shared" si="182"/>
        <v>1</v>
      </c>
      <c r="DK62" s="438">
        <f t="shared" si="148"/>
        <v>0</v>
      </c>
      <c r="DL62" s="430">
        <f t="shared" si="183"/>
        <v>0</v>
      </c>
      <c r="DM62" s="402">
        <f t="shared" si="184"/>
        <v>1</v>
      </c>
      <c r="DN62" s="438">
        <f t="shared" si="149"/>
        <v>0</v>
      </c>
      <c r="DO62" s="430">
        <f t="shared" si="185"/>
        <v>0</v>
      </c>
      <c r="DP62" s="402">
        <f t="shared" si="186"/>
        <v>1</v>
      </c>
      <c r="DQ62" s="438">
        <f t="shared" si="150"/>
        <v>0</v>
      </c>
      <c r="DR62" s="430">
        <f t="shared" si="187"/>
        <v>0</v>
      </c>
      <c r="DS62" s="402">
        <f t="shared" si="188"/>
        <v>1</v>
      </c>
      <c r="DT62" s="438">
        <f t="shared" si="151"/>
        <v>0</v>
      </c>
      <c r="DU62" s="430">
        <f t="shared" si="189"/>
        <v>0</v>
      </c>
      <c r="DV62" s="402">
        <f t="shared" si="190"/>
        <v>1</v>
      </c>
      <c r="DW62" s="438">
        <f t="shared" si="152"/>
        <v>0</v>
      </c>
      <c r="DX62" s="430">
        <f t="shared" si="191"/>
        <v>0</v>
      </c>
      <c r="DY62" s="402">
        <f t="shared" si="192"/>
        <v>1</v>
      </c>
      <c r="DZ62" s="438">
        <f t="shared" si="153"/>
        <v>0</v>
      </c>
      <c r="EA62" s="430">
        <f t="shared" si="193"/>
        <v>0</v>
      </c>
      <c r="EB62" s="402">
        <f t="shared" si="194"/>
        <v>1</v>
      </c>
      <c r="EC62" s="438">
        <f t="shared" si="154"/>
        <v>0</v>
      </c>
      <c r="ED62" s="430">
        <f t="shared" si="195"/>
        <v>0</v>
      </c>
      <c r="EE62" s="402">
        <f t="shared" si="196"/>
        <v>1</v>
      </c>
      <c r="EF62" s="438">
        <f t="shared" si="155"/>
        <v>0</v>
      </c>
      <c r="EG62" s="430">
        <f t="shared" ref="EG62:FH62" si="209">$ED62*EG$4/$ED$4</f>
        <v>0</v>
      </c>
      <c r="EH62" s="402">
        <f t="shared" si="197"/>
        <v>2</v>
      </c>
      <c r="EI62" s="438">
        <f t="shared" si="156"/>
        <v>0</v>
      </c>
      <c r="EJ62" s="430">
        <f t="shared" si="209"/>
        <v>0</v>
      </c>
      <c r="EK62" s="402">
        <f t="shared" si="198"/>
        <v>4</v>
      </c>
      <c r="EL62" s="438">
        <f t="shared" si="157"/>
        <v>0</v>
      </c>
      <c r="EM62" s="430">
        <f t="shared" si="209"/>
        <v>0</v>
      </c>
      <c r="EN62" s="402">
        <f t="shared" si="199"/>
        <v>6</v>
      </c>
      <c r="EO62" s="438">
        <f t="shared" si="158"/>
        <v>0</v>
      </c>
      <c r="EP62" s="430">
        <f t="shared" si="209"/>
        <v>0</v>
      </c>
      <c r="EQ62" s="402">
        <f t="shared" si="200"/>
        <v>8</v>
      </c>
      <c r="ER62" s="438">
        <f t="shared" si="159"/>
        <v>0</v>
      </c>
      <c r="ES62" s="430">
        <f t="shared" si="209"/>
        <v>0</v>
      </c>
      <c r="ET62" s="402">
        <f t="shared" si="201"/>
        <v>10</v>
      </c>
      <c r="EU62" s="438">
        <f t="shared" si="160"/>
        <v>0</v>
      </c>
      <c r="EV62" s="430">
        <f t="shared" si="209"/>
        <v>0</v>
      </c>
      <c r="EW62" s="402">
        <f t="shared" si="202"/>
        <v>20</v>
      </c>
      <c r="EX62" s="438">
        <f t="shared" si="161"/>
        <v>0</v>
      </c>
      <c r="EY62" s="430">
        <f t="shared" si="209"/>
        <v>0</v>
      </c>
      <c r="EZ62" s="402">
        <f t="shared" si="203"/>
        <v>40</v>
      </c>
      <c r="FA62" s="438">
        <f t="shared" si="162"/>
        <v>0</v>
      </c>
      <c r="FB62" s="430">
        <f t="shared" si="209"/>
        <v>0</v>
      </c>
      <c r="FC62" s="402">
        <f t="shared" si="204"/>
        <v>60</v>
      </c>
      <c r="FD62" s="438">
        <f t="shared" si="163"/>
        <v>0</v>
      </c>
      <c r="FE62" s="430">
        <f t="shared" si="209"/>
        <v>0</v>
      </c>
      <c r="FF62" s="402">
        <f t="shared" si="205"/>
        <v>80</v>
      </c>
      <c r="FG62" s="438">
        <f t="shared" si="164"/>
        <v>0</v>
      </c>
      <c r="FH62" s="430">
        <f t="shared" si="209"/>
        <v>0</v>
      </c>
      <c r="FI62" s="402">
        <f t="shared" si="206"/>
        <v>100</v>
      </c>
      <c r="FJ62" s="438">
        <f t="shared" si="165"/>
        <v>0</v>
      </c>
    </row>
  </sheetData>
  <mergeCells count="14">
    <mergeCell ref="CY2:CY4"/>
    <mergeCell ref="CY5:CY6"/>
    <mergeCell ref="CZ2:CZ4"/>
    <mergeCell ref="CZ5:CZ6"/>
    <mergeCell ref="BR1:BT2"/>
    <mergeCell ref="BX1:CB2"/>
    <mergeCell ref="CK1:CN1"/>
    <mergeCell ref="CQ3:CR3"/>
    <mergeCell ref="CT3:CU3"/>
    <mergeCell ref="BI28:BJ28"/>
    <mergeCell ref="BK28:BL28"/>
    <mergeCell ref="BM28:BN28"/>
    <mergeCell ref="BU1:BU2"/>
    <mergeCell ref="CK2:CK3"/>
  </mergeCells>
  <phoneticPr fontId="57" type="noConversion"/>
  <conditionalFormatting sqref="AE1">
    <cfRule type="containsText" dxfId="1820" priority="1337" operator="containsText" text=" ">
      <formula>NOT(ISERROR(SEARCH(" ",AE1)))</formula>
    </cfRule>
    <cfRule type="containsText" dxfId="1819" priority="1338" operator="containsText" text=" ">
      <formula>NOT(ISERROR(SEARCH(" ",AE1)))</formula>
    </cfRule>
  </conditionalFormatting>
  <conditionalFormatting sqref="AM1">
    <cfRule type="containsText" dxfId="1818" priority="116" operator="containsText" text=" ">
      <formula>NOT(ISERROR(SEARCH(" ",AM1)))</formula>
    </cfRule>
    <cfRule type="containsText" dxfId="1817" priority="117" operator="containsText" text=" ">
      <formula>NOT(ISERROR(SEARCH(" ",AM1)))</formula>
    </cfRule>
  </conditionalFormatting>
  <conditionalFormatting sqref="AP1">
    <cfRule type="containsText" dxfId="1816" priority="1170" operator="containsText" text=" ">
      <formula>NOT(ISERROR(SEARCH(" ",AP1)))</formula>
    </cfRule>
    <cfRule type="containsText" dxfId="1815" priority="1171" operator="containsText" text=" ">
      <formula>NOT(ISERROR(SEARCH(" ",AP1)))</formula>
    </cfRule>
  </conditionalFormatting>
  <conditionalFormatting sqref="AQ1">
    <cfRule type="containsText" dxfId="1814" priority="1142" operator="containsText" text=" ">
      <formula>NOT(ISERROR(SEARCH(" ",AQ1)))</formula>
    </cfRule>
    <cfRule type="containsText" dxfId="1813" priority="1143" operator="containsText" text=" ">
      <formula>NOT(ISERROR(SEARCH(" ",AQ1)))</formula>
    </cfRule>
  </conditionalFormatting>
  <conditionalFormatting sqref="AR1">
    <cfRule type="containsText" dxfId="1812" priority="172" operator="containsText" text=" ">
      <formula>NOT(ISERROR(SEARCH(" ",AR1)))</formula>
    </cfRule>
    <cfRule type="containsText" dxfId="1811" priority="173" operator="containsText" text=" ">
      <formula>NOT(ISERROR(SEARCH(" ",AR1)))</formula>
    </cfRule>
  </conditionalFormatting>
  <conditionalFormatting sqref="AS1">
    <cfRule type="containsText" dxfId="1810" priority="1329" operator="containsText" text=" ">
      <formula>NOT(ISERROR(SEARCH(" ",AS1)))</formula>
    </cfRule>
    <cfRule type="containsText" dxfId="1809" priority="1330" operator="containsText" text=" ">
      <formula>NOT(ISERROR(SEARCH(" ",AS1)))</formula>
    </cfRule>
  </conditionalFormatting>
  <conditionalFormatting sqref="AT1">
    <cfRule type="containsText" dxfId="1808" priority="1016" operator="containsText" text=" ">
      <formula>NOT(ISERROR(SEARCH(" ",AT1)))</formula>
    </cfRule>
    <cfRule type="containsText" dxfId="1807" priority="1017" operator="containsText" text=" ">
      <formula>NOT(ISERROR(SEARCH(" ",AT1)))</formula>
    </cfRule>
  </conditionalFormatting>
  <conditionalFormatting sqref="AU1">
    <cfRule type="containsText" dxfId="1806" priority="138" operator="containsText" text=" ">
      <formula>NOT(ISERROR(SEARCH(" ",AU1)))</formula>
    </cfRule>
    <cfRule type="containsText" dxfId="1805" priority="139" operator="containsText" text=" ">
      <formula>NOT(ISERROR(SEARCH(" ",AU1)))</formula>
    </cfRule>
  </conditionalFormatting>
  <conditionalFormatting sqref="AV1">
    <cfRule type="containsText" dxfId="1804" priority="1038" operator="containsText" text=" ">
      <formula>NOT(ISERROR(SEARCH(" ",AV1)))</formula>
    </cfRule>
    <cfRule type="containsText" dxfId="1803" priority="1039" operator="containsText" text=" ">
      <formula>NOT(ISERROR(SEARCH(" ",AV1)))</formula>
    </cfRule>
  </conditionalFormatting>
  <conditionalFormatting sqref="AW1">
    <cfRule type="containsText" dxfId="1802" priority="972" operator="containsText" text=" ">
      <formula>NOT(ISERROR(SEARCH(" ",AW1)))</formula>
    </cfRule>
    <cfRule type="containsText" dxfId="1801" priority="973" operator="containsText" text=" ">
      <formula>NOT(ISERROR(SEARCH(" ",AW1)))</formula>
    </cfRule>
  </conditionalFormatting>
  <conditionalFormatting sqref="AX1">
    <cfRule type="containsText" dxfId="1800" priority="968" operator="containsText" text=" ">
      <formula>NOT(ISERROR(SEARCH(" ",AX1)))</formula>
    </cfRule>
    <cfRule type="containsText" dxfId="1799" priority="969" operator="containsText" text=" ">
      <formula>NOT(ISERROR(SEARCH(" ",AX1)))</formula>
    </cfRule>
  </conditionalFormatting>
  <conditionalFormatting sqref="BI1">
    <cfRule type="containsText" dxfId="1798" priority="1261" operator="containsText" text=" ">
      <formula>NOT(ISERROR(SEARCH(" ",BI1)))</formula>
    </cfRule>
    <cfRule type="containsText" dxfId="1797" priority="1262" operator="containsText" text=" ">
      <formula>NOT(ISERROR(SEARCH(" ",BI1)))</formula>
    </cfRule>
  </conditionalFormatting>
  <conditionalFormatting sqref="B2">
    <cfRule type="containsText" dxfId="1796" priority="858" operator="containsText" text=" ">
      <formula>NOT(ISERROR(SEARCH(" ",B2)))</formula>
    </cfRule>
    <cfRule type="containsText" dxfId="1795" priority="859" operator="containsText" text=" ">
      <formula>NOT(ISERROR(SEARCH(" ",B2)))</formula>
    </cfRule>
  </conditionalFormatting>
  <conditionalFormatting sqref="F2">
    <cfRule type="containsText" dxfId="1794" priority="854" operator="containsText" text=" ">
      <formula>NOT(ISERROR(SEARCH(" ",F2)))</formula>
    </cfRule>
    <cfRule type="containsText" dxfId="1793" priority="855" operator="containsText" text=" ">
      <formula>NOT(ISERROR(SEARCH(" ",F2)))</formula>
    </cfRule>
  </conditionalFormatting>
  <conditionalFormatting sqref="G2">
    <cfRule type="containsText" dxfId="1792" priority="860" operator="containsText" text=" ">
      <formula>NOT(ISERROR(SEARCH(" ",G2)))</formula>
    </cfRule>
    <cfRule type="containsText" dxfId="1791" priority="861" operator="containsText" text=" ">
      <formula>NOT(ISERROR(SEARCH(" ",G2)))</formula>
    </cfRule>
  </conditionalFormatting>
  <conditionalFormatting sqref="AE2">
    <cfRule type="containsText" dxfId="1790" priority="1333" operator="containsText" text=" ">
      <formula>NOT(ISERROR(SEARCH(" ",AE2)))</formula>
    </cfRule>
    <cfRule type="containsText" dxfId="1789" priority="1334" operator="containsText" text=" ">
      <formula>NOT(ISERROR(SEARCH(" ",AE2)))</formula>
    </cfRule>
  </conditionalFormatting>
  <conditionalFormatting sqref="AF2">
    <cfRule type="containsText" dxfId="1788" priority="1335" operator="containsText" text=" ">
      <formula>NOT(ISERROR(SEARCH(" ",AF2)))</formula>
    </cfRule>
    <cfRule type="containsText" dxfId="1787" priority="1336" operator="containsText" text=" ">
      <formula>NOT(ISERROR(SEARCH(" ",AF2)))</formula>
    </cfRule>
  </conditionalFormatting>
  <conditionalFormatting sqref="AG2">
    <cfRule type="containsText" dxfId="1786" priority="1124" operator="containsText" text=" ">
      <formula>NOT(ISERROR(SEARCH(" ",AG2)))</formula>
    </cfRule>
    <cfRule type="containsText" dxfId="1785" priority="1125" operator="containsText" text=" ">
      <formula>NOT(ISERROR(SEARCH(" ",AG2)))</formula>
    </cfRule>
  </conditionalFormatting>
  <conditionalFormatting sqref="AI2">
    <cfRule type="containsText" dxfId="1784" priority="1076" operator="containsText" text=" ">
      <formula>NOT(ISERROR(SEARCH(" ",AI2)))</formula>
    </cfRule>
    <cfRule type="containsText" dxfId="1783" priority="1077" operator="containsText" text=" ">
      <formula>NOT(ISERROR(SEARCH(" ",AI2)))</formula>
    </cfRule>
  </conditionalFormatting>
  <conditionalFormatting sqref="AJ2">
    <cfRule type="containsText" dxfId="1782" priority="1020" operator="containsText" text=" ">
      <formula>NOT(ISERROR(SEARCH(" ",AJ2)))</formula>
    </cfRule>
    <cfRule type="containsText" dxfId="1781" priority="1021" operator="containsText" text=" ">
      <formula>NOT(ISERROR(SEARCH(" ",AJ2)))</formula>
    </cfRule>
  </conditionalFormatting>
  <conditionalFormatting sqref="AK2">
    <cfRule type="containsText" dxfId="1780" priority="1092" operator="containsText" text=" ">
      <formula>NOT(ISERROR(SEARCH(" ",AK2)))</formula>
    </cfRule>
    <cfRule type="containsText" dxfId="1779" priority="1093" operator="containsText" text=" ">
      <formula>NOT(ISERROR(SEARCH(" ",AK2)))</formula>
    </cfRule>
  </conditionalFormatting>
  <conditionalFormatting sqref="AL2">
    <cfRule type="containsText" dxfId="1778" priority="868" operator="containsText" text=" ">
      <formula>NOT(ISERROR(SEARCH(" ",AL2)))</formula>
    </cfRule>
    <cfRule type="containsText" dxfId="1777" priority="869" operator="containsText" text=" ">
      <formula>NOT(ISERROR(SEARCH(" ",AL2)))</formula>
    </cfRule>
  </conditionalFormatting>
  <conditionalFormatting sqref="AM2">
    <cfRule type="containsText" dxfId="1776" priority="114" operator="containsText" text=" ">
      <formula>NOT(ISERROR(SEARCH(" ",AM2)))</formula>
    </cfRule>
    <cfRule type="containsText" dxfId="1775" priority="115" operator="containsText" text=" ">
      <formula>NOT(ISERROR(SEARCH(" ",AM2)))</formula>
    </cfRule>
  </conditionalFormatting>
  <conditionalFormatting sqref="AN2">
    <cfRule type="containsText" dxfId="1774" priority="112" operator="containsText" text=" ">
      <formula>NOT(ISERROR(SEARCH(" ",AN2)))</formula>
    </cfRule>
    <cfRule type="containsText" dxfId="1773" priority="113" operator="containsText" text=" ">
      <formula>NOT(ISERROR(SEARCH(" ",AN2)))</formula>
    </cfRule>
  </conditionalFormatting>
  <conditionalFormatting sqref="AO2">
    <cfRule type="containsText" dxfId="1772" priority="1110" operator="containsText" text=" ">
      <formula>NOT(ISERROR(SEARCH(" ",AO2)))</formula>
    </cfRule>
    <cfRule type="containsText" dxfId="1771" priority="1111" operator="containsText" text=" ">
      <formula>NOT(ISERROR(SEARCH(" ",AO2)))</formula>
    </cfRule>
  </conditionalFormatting>
  <conditionalFormatting sqref="AP2">
    <cfRule type="containsText" dxfId="1770" priority="1166" operator="containsText" text=" ">
      <formula>NOT(ISERROR(SEARCH(" ",AP2)))</formula>
    </cfRule>
    <cfRule type="containsText" dxfId="1769" priority="1167" operator="containsText" text=" ">
      <formula>NOT(ISERROR(SEARCH(" ",AP2)))</formula>
    </cfRule>
  </conditionalFormatting>
  <conditionalFormatting sqref="AR2">
    <cfRule type="containsText" dxfId="1768" priority="170" operator="containsText" text=" ">
      <formula>NOT(ISERROR(SEARCH(" ",AR2)))</formula>
    </cfRule>
    <cfRule type="containsText" dxfId="1767" priority="171" operator="containsText" text=" ">
      <formula>NOT(ISERROR(SEARCH(" ",AR2)))</formula>
    </cfRule>
  </conditionalFormatting>
  <conditionalFormatting sqref="AS2">
    <cfRule type="containsText" dxfId="1766" priority="1325" operator="containsText" text=" ">
      <formula>NOT(ISERROR(SEARCH(" ",AS2)))</formula>
    </cfRule>
    <cfRule type="containsText" dxfId="1765" priority="1326" operator="containsText" text=" ">
      <formula>NOT(ISERROR(SEARCH(" ",AS2)))</formula>
    </cfRule>
  </conditionalFormatting>
  <conditionalFormatting sqref="AT2">
    <cfRule type="containsText" dxfId="1764" priority="1018" operator="containsText" text=" ">
      <formula>NOT(ISERROR(SEARCH(" ",AT2)))</formula>
    </cfRule>
    <cfRule type="containsText" dxfId="1763" priority="1019" operator="containsText" text=" ">
      <formula>NOT(ISERROR(SEARCH(" ",AT2)))</formula>
    </cfRule>
  </conditionalFormatting>
  <conditionalFormatting sqref="AW2">
    <cfRule type="containsText" dxfId="1762" priority="974" operator="containsText" text=" ">
      <formula>NOT(ISERROR(SEARCH(" ",AW2)))</formula>
    </cfRule>
    <cfRule type="containsText" dxfId="1761" priority="975" operator="containsText" text=" ">
      <formula>NOT(ISERROR(SEARCH(" ",AW2)))</formula>
    </cfRule>
  </conditionalFormatting>
  <conditionalFormatting sqref="AX2">
    <cfRule type="containsText" dxfId="1760" priority="970" operator="containsText" text=" ">
      <formula>NOT(ISERROR(SEARCH(" ",AX2)))</formula>
    </cfRule>
    <cfRule type="containsText" dxfId="1759" priority="971" operator="containsText" text=" ">
      <formula>NOT(ISERROR(SEARCH(" ",AX2)))</formula>
    </cfRule>
  </conditionalFormatting>
  <conditionalFormatting sqref="Y3:AA3">
    <cfRule type="containsText" dxfId="1758" priority="952" operator="containsText" text=" ">
      <formula>NOT(ISERROR(SEARCH(" ",Y3)))</formula>
    </cfRule>
    <cfRule type="containsText" dxfId="1757" priority="953" operator="containsText" text=" ">
      <formula>NOT(ISERROR(SEARCH(" ",Y3)))</formula>
    </cfRule>
  </conditionalFormatting>
  <conditionalFormatting sqref="AJ3">
    <cfRule type="containsText" dxfId="1756" priority="1024" operator="containsText" text=" ">
      <formula>NOT(ISERROR(SEARCH(" ",AJ3)))</formula>
    </cfRule>
    <cfRule type="containsText" dxfId="1755" priority="1025" operator="containsText" text=" ">
      <formula>NOT(ISERROR(SEARCH(" ",AJ3)))</formula>
    </cfRule>
  </conditionalFormatting>
  <conditionalFormatting sqref="AM3">
    <cfRule type="containsText" dxfId="1754" priority="118" operator="containsText" text=" ">
      <formula>NOT(ISERROR(SEARCH(" ",AM3)))</formula>
    </cfRule>
    <cfRule type="containsText" dxfId="1753" priority="119" operator="containsText" text=" ">
      <formula>NOT(ISERROR(SEARCH(" ",AM3)))</formula>
    </cfRule>
  </conditionalFormatting>
  <conditionalFormatting sqref="AP3">
    <cfRule type="containsText" dxfId="1752" priority="1164" operator="containsText" text=" ">
      <formula>NOT(ISERROR(SEARCH(" ",AP3)))</formula>
    </cfRule>
    <cfRule type="containsText" dxfId="1751" priority="1165" operator="containsText" text=" ">
      <formula>NOT(ISERROR(SEARCH(" ",AP3)))</formula>
    </cfRule>
  </conditionalFormatting>
  <conditionalFormatting sqref="AS3:AT3">
    <cfRule type="containsText" dxfId="1750" priority="1327" operator="containsText" text=" ">
      <formula>NOT(ISERROR(SEARCH(" ",AS3)))</formula>
    </cfRule>
    <cfRule type="containsText" dxfId="1749" priority="1328" operator="containsText" text=" ">
      <formula>NOT(ISERROR(SEARCH(" ",AS3)))</formula>
    </cfRule>
  </conditionalFormatting>
  <conditionalFormatting sqref="D4">
    <cfRule type="containsText" dxfId="1748" priority="76" operator="containsText" text=" ">
      <formula>NOT(ISERROR(SEARCH(" ",D4)))</formula>
    </cfRule>
    <cfRule type="containsText" dxfId="1747" priority="77" operator="containsText" text=" ">
      <formula>NOT(ISERROR(SEARCH(" ",D4)))</formula>
    </cfRule>
  </conditionalFormatting>
  <conditionalFormatting sqref="AC4">
    <cfRule type="containsText" dxfId="1746" priority="1321" operator="containsText" text=" ">
      <formula>NOT(ISERROR(SEARCH(" ",AC4)))</formula>
    </cfRule>
    <cfRule type="containsText" dxfId="1745" priority="1322" operator="containsText" text=" ">
      <formula>NOT(ISERROR(SEARCH(" ",AC4)))</formula>
    </cfRule>
  </conditionalFormatting>
  <conditionalFormatting sqref="AP4:AR4">
    <cfRule type="containsText" dxfId="1744" priority="1160" operator="containsText" text=" ">
      <formula>NOT(ISERROR(SEARCH(" ",AP4)))</formula>
    </cfRule>
    <cfRule type="containsText" dxfId="1743" priority="1161" operator="containsText" text=" ">
      <formula>NOT(ISERROR(SEARCH(" ",AP4)))</formula>
    </cfRule>
  </conditionalFormatting>
  <conditionalFormatting sqref="DG4">
    <cfRule type="containsText" dxfId="1742" priority="694" operator="containsText" text=" ">
      <formula>NOT(ISERROR(SEARCH(" ",DG4)))</formula>
    </cfRule>
  </conditionalFormatting>
  <conditionalFormatting sqref="DH4">
    <cfRule type="containsText" dxfId="1741" priority="818" operator="containsText" text=" ">
      <formula>NOT(ISERROR(SEARCH(" ",DH4)))</formula>
    </cfRule>
  </conditionalFormatting>
  <conditionalFormatting sqref="DJ4">
    <cfRule type="containsText" dxfId="1740" priority="687" operator="containsText" text=" ">
      <formula>NOT(ISERROR(SEARCH(" ",DJ4)))</formula>
    </cfRule>
  </conditionalFormatting>
  <conditionalFormatting sqref="DK4">
    <cfRule type="containsText" dxfId="1739" priority="816" operator="containsText" text=" ">
      <formula>NOT(ISERROR(SEARCH(" ",DK4)))</formula>
    </cfRule>
  </conditionalFormatting>
  <conditionalFormatting sqref="DM4">
    <cfRule type="containsText" dxfId="1738" priority="680" operator="containsText" text=" ">
      <formula>NOT(ISERROR(SEARCH(" ",DM4)))</formula>
    </cfRule>
  </conditionalFormatting>
  <conditionalFormatting sqref="DN4">
    <cfRule type="containsText" dxfId="1737" priority="815" operator="containsText" text=" ">
      <formula>NOT(ISERROR(SEARCH(" ",DN4)))</formula>
    </cfRule>
  </conditionalFormatting>
  <conditionalFormatting sqref="DP4">
    <cfRule type="containsText" dxfId="1736" priority="673" operator="containsText" text=" ">
      <formula>NOT(ISERROR(SEARCH(" ",DP4)))</formula>
    </cfRule>
  </conditionalFormatting>
  <conditionalFormatting sqref="DQ4">
    <cfRule type="containsText" dxfId="1735" priority="814" operator="containsText" text=" ">
      <formula>NOT(ISERROR(SEARCH(" ",DQ4)))</formula>
    </cfRule>
  </conditionalFormatting>
  <conditionalFormatting sqref="DS4">
    <cfRule type="containsText" dxfId="1734" priority="666" operator="containsText" text=" ">
      <formula>NOT(ISERROR(SEARCH(" ",DS4)))</formula>
    </cfRule>
  </conditionalFormatting>
  <conditionalFormatting sqref="DT4">
    <cfRule type="containsText" dxfId="1733" priority="813" operator="containsText" text=" ">
      <formula>NOT(ISERROR(SEARCH(" ",DT4)))</formula>
    </cfRule>
  </conditionalFormatting>
  <conditionalFormatting sqref="DV4">
    <cfRule type="containsText" dxfId="1732" priority="659" operator="containsText" text=" ">
      <formula>NOT(ISERROR(SEARCH(" ",DV4)))</formula>
    </cfRule>
  </conditionalFormatting>
  <conditionalFormatting sqref="DW4">
    <cfRule type="containsText" dxfId="1731" priority="812" operator="containsText" text=" ">
      <formula>NOT(ISERROR(SEARCH(" ",DW4)))</formula>
    </cfRule>
  </conditionalFormatting>
  <conditionalFormatting sqref="DY4">
    <cfRule type="containsText" dxfId="1730" priority="652" operator="containsText" text=" ">
      <formula>NOT(ISERROR(SEARCH(" ",DY4)))</formula>
    </cfRule>
  </conditionalFormatting>
  <conditionalFormatting sqref="DZ4">
    <cfRule type="containsText" dxfId="1729" priority="811" operator="containsText" text=" ">
      <formula>NOT(ISERROR(SEARCH(" ",DZ4)))</formula>
    </cfRule>
  </conditionalFormatting>
  <conditionalFormatting sqref="EB4">
    <cfRule type="containsText" dxfId="1728" priority="645" operator="containsText" text=" ">
      <formula>NOT(ISERROR(SEARCH(" ",EB4)))</formula>
    </cfRule>
  </conditionalFormatting>
  <conditionalFormatting sqref="EC4">
    <cfRule type="containsText" dxfId="1727" priority="810" operator="containsText" text=" ">
      <formula>NOT(ISERROR(SEARCH(" ",EC4)))</formula>
    </cfRule>
  </conditionalFormatting>
  <conditionalFormatting sqref="EE4">
    <cfRule type="containsText" dxfId="1726" priority="638" operator="containsText" text=" ">
      <formula>NOT(ISERROR(SEARCH(" ",EE4)))</formula>
    </cfRule>
  </conditionalFormatting>
  <conditionalFormatting sqref="EF4">
    <cfRule type="containsText" dxfId="1725" priority="809" operator="containsText" text=" ">
      <formula>NOT(ISERROR(SEARCH(" ",EF4)))</formula>
    </cfRule>
  </conditionalFormatting>
  <conditionalFormatting sqref="EH4">
    <cfRule type="containsText" dxfId="1724" priority="631" operator="containsText" text=" ">
      <formula>NOT(ISERROR(SEARCH(" ",EH4)))</formula>
    </cfRule>
  </conditionalFormatting>
  <conditionalFormatting sqref="EI4">
    <cfRule type="containsText" dxfId="1723" priority="808" operator="containsText" text=" ">
      <formula>NOT(ISERROR(SEARCH(" ",EI4)))</formula>
    </cfRule>
  </conditionalFormatting>
  <conditionalFormatting sqref="EK4">
    <cfRule type="containsText" dxfId="1722" priority="624" operator="containsText" text=" ">
      <formula>NOT(ISERROR(SEARCH(" ",EK4)))</formula>
    </cfRule>
  </conditionalFormatting>
  <conditionalFormatting sqref="EL4">
    <cfRule type="containsText" dxfId="1721" priority="807" operator="containsText" text=" ">
      <formula>NOT(ISERROR(SEARCH(" ",EL4)))</formula>
    </cfRule>
  </conditionalFormatting>
  <conditionalFormatting sqref="EN4">
    <cfRule type="containsText" dxfId="1720" priority="617" operator="containsText" text=" ">
      <formula>NOT(ISERROR(SEARCH(" ",EN4)))</formula>
    </cfRule>
  </conditionalFormatting>
  <conditionalFormatting sqref="EO4">
    <cfRule type="containsText" dxfId="1719" priority="806" operator="containsText" text=" ">
      <formula>NOT(ISERROR(SEARCH(" ",EO4)))</formula>
    </cfRule>
  </conditionalFormatting>
  <conditionalFormatting sqref="EQ4">
    <cfRule type="containsText" dxfId="1718" priority="610" operator="containsText" text=" ">
      <formula>NOT(ISERROR(SEARCH(" ",EQ4)))</formula>
    </cfRule>
  </conditionalFormatting>
  <conditionalFormatting sqref="ER4">
    <cfRule type="containsText" dxfId="1717" priority="805" operator="containsText" text=" ">
      <formula>NOT(ISERROR(SEARCH(" ",ER4)))</formula>
    </cfRule>
  </conditionalFormatting>
  <conditionalFormatting sqref="ET4">
    <cfRule type="containsText" dxfId="1716" priority="603" operator="containsText" text=" ">
      <formula>NOT(ISERROR(SEARCH(" ",ET4)))</formula>
    </cfRule>
  </conditionalFormatting>
  <conditionalFormatting sqref="EU4">
    <cfRule type="containsText" dxfId="1715" priority="804" operator="containsText" text=" ">
      <formula>NOT(ISERROR(SEARCH(" ",EU4)))</formula>
    </cfRule>
  </conditionalFormatting>
  <conditionalFormatting sqref="EW4">
    <cfRule type="containsText" dxfId="1714" priority="596" operator="containsText" text=" ">
      <formula>NOT(ISERROR(SEARCH(" ",EW4)))</formula>
    </cfRule>
  </conditionalFormatting>
  <conditionalFormatting sqref="EX4">
    <cfRule type="containsText" dxfId="1713" priority="803" operator="containsText" text=" ">
      <formula>NOT(ISERROR(SEARCH(" ",EX4)))</formula>
    </cfRule>
  </conditionalFormatting>
  <conditionalFormatting sqref="EZ4">
    <cfRule type="containsText" dxfId="1712" priority="589" operator="containsText" text=" ">
      <formula>NOT(ISERROR(SEARCH(" ",EZ4)))</formula>
    </cfRule>
  </conditionalFormatting>
  <conditionalFormatting sqref="FA4">
    <cfRule type="containsText" dxfId="1711" priority="802" operator="containsText" text=" ">
      <formula>NOT(ISERROR(SEARCH(" ",FA4)))</formula>
    </cfRule>
  </conditionalFormatting>
  <conditionalFormatting sqref="FC4">
    <cfRule type="containsText" dxfId="1710" priority="582" operator="containsText" text=" ">
      <formula>NOT(ISERROR(SEARCH(" ",FC4)))</formula>
    </cfRule>
  </conditionalFormatting>
  <conditionalFormatting sqref="FD4">
    <cfRule type="containsText" dxfId="1709" priority="801" operator="containsText" text=" ">
      <formula>NOT(ISERROR(SEARCH(" ",FD4)))</formula>
    </cfRule>
  </conditionalFormatting>
  <conditionalFormatting sqref="FF4">
    <cfRule type="containsText" dxfId="1708" priority="575" operator="containsText" text=" ">
      <formula>NOT(ISERROR(SEARCH(" ",FF4)))</formula>
    </cfRule>
  </conditionalFormatting>
  <conditionalFormatting sqref="FG4">
    <cfRule type="containsText" dxfId="1707" priority="800" operator="containsText" text=" ">
      <formula>NOT(ISERROR(SEARCH(" ",FG4)))</formula>
    </cfRule>
  </conditionalFormatting>
  <conditionalFormatting sqref="FI4">
    <cfRule type="containsText" dxfId="1706" priority="568" operator="containsText" text=" ">
      <formula>NOT(ISERROR(SEARCH(" ",FI4)))</formula>
    </cfRule>
  </conditionalFormatting>
  <conditionalFormatting sqref="FJ4">
    <cfRule type="cellIs" dxfId="1705" priority="798" operator="greaterThan">
      <formula>1</formula>
    </cfRule>
    <cfRule type="containsText" dxfId="1704" priority="799" operator="containsText" text=" ">
      <formula>NOT(ISERROR(SEARCH(" ",FJ4)))</formula>
    </cfRule>
  </conditionalFormatting>
  <conditionalFormatting sqref="B5">
    <cfRule type="containsText" dxfId="1703" priority="54" operator="containsText" text=" ">
      <formula>NOT(ISERROR(SEARCH(" ",B5)))</formula>
    </cfRule>
    <cfRule type="containsText" dxfId="1702" priority="55" operator="containsText" text=" ">
      <formula>NOT(ISERROR(SEARCH(" ",B5)))</formula>
    </cfRule>
  </conditionalFormatting>
  <conditionalFormatting sqref="DG5">
    <cfRule type="colorScale" priority="476">
      <colorScale>
        <cfvo type="min"/>
        <cfvo type="max"/>
        <color rgb="FFFCFCFF"/>
        <color rgb="FF63BE7B"/>
      </colorScale>
    </cfRule>
    <cfRule type="colorScale" priority="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5">
    <cfRule type="colorScale" priority="466">
      <colorScale>
        <cfvo type="min"/>
        <cfvo type="max"/>
        <color rgb="FFFCFCFF"/>
        <color rgb="FF63BE7B"/>
      </colorScale>
    </cfRule>
    <cfRule type="colorScale" priority="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H6">
    <cfRule type="containsText" dxfId="1701" priority="1132" operator="containsText" text=" ">
      <formula>NOT(ISERROR(SEARCH(" ",BH6)))</formula>
    </cfRule>
    <cfRule type="containsText" dxfId="1700" priority="1133" operator="containsText" text=" ">
      <formula>NOT(ISERROR(SEARCH(" ",BH6)))</formula>
    </cfRule>
  </conditionalFormatting>
  <conditionalFormatting sqref="DG6">
    <cfRule type="colorScale" priority="474">
      <colorScale>
        <cfvo type="min"/>
        <cfvo type="max"/>
        <color rgb="FFFCFCFF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2">
    <cfRule type="containsText" dxfId="1699" priority="1088" operator="containsText" text=" ">
      <formula>NOT(ISERROR(SEARCH(" ",E12)))</formula>
    </cfRule>
    <cfRule type="containsText" dxfId="1698" priority="1089" operator="containsText" text=" ">
      <formula>NOT(ISERROR(SEARCH(" ",E12)))</formula>
    </cfRule>
  </conditionalFormatting>
  <conditionalFormatting sqref="AU12">
    <cfRule type="containsText" dxfId="1697" priority="166" operator="containsText" text=" ">
      <formula>NOT(ISERROR(SEARCH(" ",AU12)))</formula>
    </cfRule>
    <cfRule type="containsText" dxfId="1696" priority="167" operator="containsText" text=" ">
      <formula>NOT(ISERROR(SEARCH(" ",AU12)))</formula>
    </cfRule>
  </conditionalFormatting>
  <conditionalFormatting sqref="AV12">
    <cfRule type="containsText" dxfId="1695" priority="1070" operator="containsText" text=" ">
      <formula>NOT(ISERROR(SEARCH(" ",AV12)))</formula>
    </cfRule>
    <cfRule type="containsText" dxfId="1694" priority="1071" operator="containsText" text=" ">
      <formula>NOT(ISERROR(SEARCH(" ",AV12)))</formula>
    </cfRule>
  </conditionalFormatting>
  <conditionalFormatting sqref="BF12">
    <cfRule type="containsText" dxfId="1693" priority="1401" operator="containsText" text=" ">
      <formula>NOT(ISERROR(SEARCH(" ",BF12)))</formula>
    </cfRule>
    <cfRule type="containsText" dxfId="1692" priority="1402" operator="containsText" text=" ">
      <formula>NOT(ISERROR(SEARCH(" ",BF12)))</formula>
    </cfRule>
  </conditionalFormatting>
  <conditionalFormatting sqref="E13">
    <cfRule type="containsText" dxfId="1691" priority="1084" operator="containsText" text=" ">
      <formula>NOT(ISERROR(SEARCH(" ",E13)))</formula>
    </cfRule>
    <cfRule type="containsText" dxfId="1690" priority="1085" operator="containsText" text=" ">
      <formula>NOT(ISERROR(SEARCH(" ",E13)))</formula>
    </cfRule>
  </conditionalFormatting>
  <conditionalFormatting sqref="AU13">
    <cfRule type="containsText" dxfId="1689" priority="160" operator="containsText" text=" ">
      <formula>NOT(ISERROR(SEARCH(" ",AU13)))</formula>
    </cfRule>
    <cfRule type="containsText" dxfId="1688" priority="161" operator="containsText" text=" ">
      <formula>NOT(ISERROR(SEARCH(" ",AU13)))</formula>
    </cfRule>
  </conditionalFormatting>
  <conditionalFormatting sqref="AV13">
    <cfRule type="containsText" dxfId="1687" priority="1064" operator="containsText" text=" ">
      <formula>NOT(ISERROR(SEARCH(" ",AV13)))</formula>
    </cfRule>
    <cfRule type="containsText" dxfId="1686" priority="1065" operator="containsText" text=" ">
      <formula>NOT(ISERROR(SEARCH(" ",AV13)))</formula>
    </cfRule>
  </conditionalFormatting>
  <conditionalFormatting sqref="AU14">
    <cfRule type="containsText" dxfId="1685" priority="148" operator="containsText" text=" ">
      <formula>NOT(ISERROR(SEARCH(" ",AU14)))</formula>
    </cfRule>
    <cfRule type="containsText" dxfId="1684" priority="149" operator="containsText" text=" ">
      <formula>NOT(ISERROR(SEARCH(" ",AU14)))</formula>
    </cfRule>
  </conditionalFormatting>
  <conditionalFormatting sqref="AV14">
    <cfRule type="containsText" dxfId="1683" priority="1048" operator="containsText" text=" ">
      <formula>NOT(ISERROR(SEARCH(" ",AV14)))</formula>
    </cfRule>
    <cfRule type="containsText" dxfId="1682" priority="1049" operator="containsText" text=" ">
      <formula>NOT(ISERROR(SEARCH(" ",AV14)))</formula>
    </cfRule>
  </conditionalFormatting>
  <conditionalFormatting sqref="B15">
    <cfRule type="containsText" dxfId="1681" priority="62" operator="containsText" text=" ">
      <formula>NOT(ISERROR(SEARCH(" ",B15)))</formula>
    </cfRule>
    <cfRule type="containsText" dxfId="1680" priority="63" operator="containsText" text=" ">
      <formula>NOT(ISERROR(SEARCH(" ",B15)))</formula>
    </cfRule>
  </conditionalFormatting>
  <conditionalFormatting sqref="B20">
    <cfRule type="containsText" dxfId="1679" priority="58" operator="containsText" text=" ">
      <formula>NOT(ISERROR(SEARCH(" ",B20)))</formula>
    </cfRule>
    <cfRule type="containsText" dxfId="1678" priority="59" operator="containsText" text=" ">
      <formula>NOT(ISERROR(SEARCH(" ",B20)))</formula>
    </cfRule>
  </conditionalFormatting>
  <conditionalFormatting sqref="E20">
    <cfRule type="containsText" dxfId="1677" priority="1082" operator="containsText" text=" ">
      <formula>NOT(ISERROR(SEARCH(" ",E20)))</formula>
    </cfRule>
    <cfRule type="containsText" dxfId="1676" priority="1083" operator="containsText" text=" ">
      <formula>NOT(ISERROR(SEARCH(" ",E20)))</formula>
    </cfRule>
  </conditionalFormatting>
  <conditionalFormatting sqref="AU20">
    <cfRule type="containsText" dxfId="1675" priority="152" operator="containsText" text=" ">
      <formula>NOT(ISERROR(SEARCH(" ",AU20)))</formula>
    </cfRule>
    <cfRule type="containsText" dxfId="1674" priority="153" operator="containsText" text=" ">
      <formula>NOT(ISERROR(SEARCH(" ",AU20)))</formula>
    </cfRule>
  </conditionalFormatting>
  <conditionalFormatting sqref="AV20">
    <cfRule type="containsText" dxfId="1673" priority="1052" operator="containsText" text=" ">
      <formula>NOT(ISERROR(SEARCH(" ",AV20)))</formula>
    </cfRule>
    <cfRule type="containsText" dxfId="1672" priority="1053" operator="containsText" text=" ">
      <formula>NOT(ISERROR(SEARCH(" ",AV20)))</formula>
    </cfRule>
  </conditionalFormatting>
  <conditionalFormatting sqref="BF20">
    <cfRule type="containsText" dxfId="1671" priority="1375" operator="containsText" text=" ">
      <formula>NOT(ISERROR(SEARCH(" ",BF20)))</formula>
    </cfRule>
    <cfRule type="containsText" dxfId="1670" priority="1376" operator="containsText" text=" ">
      <formula>NOT(ISERROR(SEARCH(" ",BF20)))</formula>
    </cfRule>
  </conditionalFormatting>
  <conditionalFormatting sqref="B26">
    <cfRule type="containsText" dxfId="1669" priority="26" operator="containsText" text=" ">
      <formula>NOT(ISERROR(SEARCH(" ",B26)))</formula>
    </cfRule>
    <cfRule type="containsText" dxfId="1668" priority="27" operator="containsText" text=" ">
      <formula>NOT(ISERROR(SEARCH(" ",B26)))</formula>
    </cfRule>
  </conditionalFormatting>
  <conditionalFormatting sqref="AU30">
    <cfRule type="containsText" dxfId="1667" priority="164" operator="containsText" text=" ">
      <formula>NOT(ISERROR(SEARCH(" ",AU30)))</formula>
    </cfRule>
    <cfRule type="containsText" dxfId="1666" priority="165" operator="containsText" text=" ">
      <formula>NOT(ISERROR(SEARCH(" ",AU30)))</formula>
    </cfRule>
  </conditionalFormatting>
  <conditionalFormatting sqref="BM31">
    <cfRule type="containsText" dxfId="1665" priority="1" operator="containsText" text=" ">
      <formula>NOT(ISERROR(SEARCH(" ",BM31)))</formula>
    </cfRule>
    <cfRule type="containsText" dxfId="1664" priority="2" operator="containsText" text=" ">
      <formula>NOT(ISERROR(SEARCH(" ",BM31)))</formula>
    </cfRule>
  </conditionalFormatting>
  <conditionalFormatting sqref="AU33">
    <cfRule type="containsText" dxfId="1663" priority="140" operator="containsText" text=" ">
      <formula>NOT(ISERROR(SEARCH(" ",AU33)))</formula>
    </cfRule>
    <cfRule type="containsText" dxfId="1662" priority="141" operator="containsText" text=" ">
      <formula>NOT(ISERROR(SEARCH(" ",AU33)))</formula>
    </cfRule>
  </conditionalFormatting>
  <conditionalFormatting sqref="AV33">
    <cfRule type="containsText" dxfId="1661" priority="1040" operator="containsText" text=" ">
      <formula>NOT(ISERROR(SEARCH(" ",AV33)))</formula>
    </cfRule>
    <cfRule type="containsText" dxfId="1660" priority="1041" operator="containsText" text=" ">
      <formula>NOT(ISERROR(SEARCH(" ",AV33)))</formula>
    </cfRule>
  </conditionalFormatting>
  <conditionalFormatting sqref="B35">
    <cfRule type="cellIs" dxfId="1659" priority="9" operator="equal">
      <formula>" "</formula>
    </cfRule>
  </conditionalFormatting>
  <conditionalFormatting sqref="B38">
    <cfRule type="cellIs" dxfId="1658" priority="10" operator="equal">
      <formula>" "</formula>
    </cfRule>
  </conditionalFormatting>
  <conditionalFormatting sqref="AU39">
    <cfRule type="containsText" dxfId="1657" priority="134" operator="containsText" text=" ">
      <formula>NOT(ISERROR(SEARCH(" ",AU39)))</formula>
    </cfRule>
    <cfRule type="containsText" dxfId="1656" priority="135" operator="containsText" text=" ">
      <formula>NOT(ISERROR(SEARCH(" ",AU39)))</formula>
    </cfRule>
  </conditionalFormatting>
  <conditionalFormatting sqref="AV39">
    <cfRule type="containsText" dxfId="1655" priority="1034" operator="containsText" text=" ">
      <formula>NOT(ISERROR(SEARCH(" ",AV39)))</formula>
    </cfRule>
    <cfRule type="containsText" dxfId="1654" priority="1035" operator="containsText" text=" ">
      <formula>NOT(ISERROR(SEARCH(" ",AV39)))</formula>
    </cfRule>
  </conditionalFormatting>
  <conditionalFormatting sqref="AW39:AX39">
    <cfRule type="containsText" dxfId="1653" priority="966" operator="containsText" text=" ">
      <formula>NOT(ISERROR(SEARCH(" ",AW39)))</formula>
    </cfRule>
    <cfRule type="containsText" dxfId="1652" priority="967" operator="containsText" text=" ">
      <formula>NOT(ISERROR(SEARCH(" ",AW39)))</formula>
    </cfRule>
  </conditionalFormatting>
  <conditionalFormatting sqref="B41">
    <cfRule type="containsText" dxfId="1651" priority="11" operator="containsText" text=" ">
      <formula>NOT(ISERROR(SEARCH(" ",B41)))</formula>
    </cfRule>
    <cfRule type="containsText" dxfId="1650" priority="12" operator="containsText" text=" ">
      <formula>NOT(ISERROR(SEARCH(" ",B41)))</formula>
    </cfRule>
    <cfRule type="containsText" dxfId="1649" priority="13" operator="containsText" text=" ">
      <formula>NOT(ISERROR(SEARCH(" ",B41)))</formula>
    </cfRule>
    <cfRule type="containsText" dxfId="1648" priority="14" operator="containsText" text=" ">
      <formula>NOT(ISERROR(SEARCH(" ",B41)))</formula>
    </cfRule>
    <cfRule type="containsText" dxfId="1647" priority="42" operator="containsText" text=" ">
      <formula>NOT(ISERROR(SEARCH(" ",B41)))</formula>
    </cfRule>
    <cfRule type="containsText" dxfId="1646" priority="43" operator="containsText" text=" ">
      <formula>NOT(ISERROR(SEARCH(" ",B41)))</formula>
    </cfRule>
  </conditionalFormatting>
  <conditionalFormatting sqref="AU41">
    <cfRule type="containsText" dxfId="1645" priority="136" operator="containsText" text=" ">
      <formula>NOT(ISERROR(SEARCH(" ",AU41)))</formula>
    </cfRule>
    <cfRule type="containsText" dxfId="1644" priority="137" operator="containsText" text=" ">
      <formula>NOT(ISERROR(SEARCH(" ",AU41)))</formula>
    </cfRule>
  </conditionalFormatting>
  <conditionalFormatting sqref="B42">
    <cfRule type="containsText" dxfId="1643" priority="40" operator="containsText" text=" ">
      <formula>NOT(ISERROR(SEARCH(" ",B42)))</formula>
    </cfRule>
    <cfRule type="containsText" dxfId="1642" priority="41" operator="containsText" text=" ">
      <formula>NOT(ISERROR(SEARCH(" ",B42)))</formula>
    </cfRule>
  </conditionalFormatting>
  <conditionalFormatting sqref="B43">
    <cfRule type="containsText" dxfId="1641" priority="15" operator="containsText" text=" ">
      <formula>NOT(ISERROR(SEARCH(" ",B43)))</formula>
    </cfRule>
    <cfRule type="containsText" dxfId="1640" priority="16" operator="containsText" text=" ">
      <formula>NOT(ISERROR(SEARCH(" ",B43)))</formula>
    </cfRule>
    <cfRule type="containsText" dxfId="1639" priority="17" operator="containsText" text=" ">
      <formula>NOT(ISERROR(SEARCH(" ",B43)))</formula>
    </cfRule>
    <cfRule type="containsText" dxfId="1638" priority="18" operator="containsText" text=" ">
      <formula>NOT(ISERROR(SEARCH(" ",B43)))</formula>
    </cfRule>
    <cfRule type="containsText" dxfId="1637" priority="44" operator="containsText" text=" ">
      <formula>NOT(ISERROR(SEARCH(" ",B43)))</formula>
    </cfRule>
    <cfRule type="containsText" dxfId="1636" priority="45" operator="containsText" text=" ">
      <formula>NOT(ISERROR(SEARCH(" ",B43)))</formula>
    </cfRule>
  </conditionalFormatting>
  <conditionalFormatting sqref="B44">
    <cfRule type="containsText" dxfId="1635" priority="50" operator="containsText" text=" ">
      <formula>NOT(ISERROR(SEARCH(" ",B44)))</formula>
    </cfRule>
    <cfRule type="containsText" dxfId="1634" priority="51" operator="containsText" text=" ">
      <formula>NOT(ISERROR(SEARCH(" ",B44)))</formula>
    </cfRule>
  </conditionalFormatting>
  <conditionalFormatting sqref="AU44">
    <cfRule type="containsText" dxfId="1633" priority="142" operator="containsText" text=" ">
      <formula>NOT(ISERROR(SEARCH(" ",AU44)))</formula>
    </cfRule>
    <cfRule type="containsText" dxfId="1632" priority="143" operator="containsText" text=" ">
      <formula>NOT(ISERROR(SEARCH(" ",AU44)))</formula>
    </cfRule>
  </conditionalFormatting>
  <conditionalFormatting sqref="AV44">
    <cfRule type="containsText" dxfId="1631" priority="1042" operator="containsText" text=" ">
      <formula>NOT(ISERROR(SEARCH(" ",AV44)))</formula>
    </cfRule>
    <cfRule type="containsText" dxfId="1630" priority="1043" operator="containsText" text=" ">
      <formula>NOT(ISERROR(SEARCH(" ",AV44)))</formula>
    </cfRule>
  </conditionalFormatting>
  <conditionalFormatting sqref="B45">
    <cfRule type="containsText" dxfId="1629" priority="46" operator="containsText" text=" ">
      <formula>NOT(ISERROR(SEARCH(" ",B45)))</formula>
    </cfRule>
    <cfRule type="containsText" dxfId="1628" priority="47" operator="containsText" text=" ">
      <formula>NOT(ISERROR(SEARCH(" ",B45)))</formula>
    </cfRule>
  </conditionalFormatting>
  <conditionalFormatting sqref="AC45">
    <cfRule type="containsText" dxfId="1627" priority="92" operator="containsText" text=" ">
      <formula>NOT(ISERROR(SEARCH(" ",AC45)))</formula>
    </cfRule>
    <cfRule type="containsText" dxfId="1626" priority="93" operator="containsText" text=" ">
      <formula>NOT(ISERROR(SEARCH(" ",AC45)))</formula>
    </cfRule>
  </conditionalFormatting>
  <conditionalFormatting sqref="AD45:AF45">
    <cfRule type="containsText" dxfId="1625" priority="90" operator="containsText" text=" ">
      <formula>NOT(ISERROR(SEARCH(" ",AD45)))</formula>
    </cfRule>
    <cfRule type="containsText" dxfId="1624" priority="91" operator="containsText" text=" ">
      <formula>NOT(ISERROR(SEARCH(" ",AD45)))</formula>
    </cfRule>
  </conditionalFormatting>
  <conditionalFormatting sqref="AG45">
    <cfRule type="containsText" dxfId="1623" priority="104" operator="containsText" text=" ">
      <formula>NOT(ISERROR(SEARCH(" ",AG45)))</formula>
    </cfRule>
    <cfRule type="containsText" dxfId="1622" priority="105" operator="containsText" text=" ">
      <formula>NOT(ISERROR(SEARCH(" ",AG45)))</formula>
    </cfRule>
  </conditionalFormatting>
  <conditionalFormatting sqref="AH45">
    <cfRule type="containsText" dxfId="1621" priority="100" operator="containsText" text=" ">
      <formula>NOT(ISERROR(SEARCH(" ",AH45)))</formula>
    </cfRule>
    <cfRule type="containsText" dxfId="1620" priority="101" operator="containsText" text=" ">
      <formula>NOT(ISERROR(SEARCH(" ",AH45)))</formula>
    </cfRule>
  </conditionalFormatting>
  <conditionalFormatting sqref="AI45">
    <cfRule type="containsText" dxfId="1619" priority="82" operator="containsText" text=" ">
      <formula>NOT(ISERROR(SEARCH(" ",AI45)))</formula>
    </cfRule>
    <cfRule type="containsText" dxfId="1618" priority="83" operator="containsText" text=" ">
      <formula>NOT(ISERROR(SEARCH(" ",AI45)))</formula>
    </cfRule>
  </conditionalFormatting>
  <conditionalFormatting sqref="AJ45">
    <cfRule type="containsText" dxfId="1617" priority="86" operator="containsText" text=" ">
      <formula>NOT(ISERROR(SEARCH(" ",AJ45)))</formula>
    </cfRule>
    <cfRule type="containsText" dxfId="1616" priority="87" operator="containsText" text=" ">
      <formula>NOT(ISERROR(SEARCH(" ",AJ45)))</formula>
    </cfRule>
  </conditionalFormatting>
  <conditionalFormatting sqref="AK45">
    <cfRule type="containsText" dxfId="1615" priority="84" operator="containsText" text=" ">
      <formula>NOT(ISERROR(SEARCH(" ",AK45)))</formula>
    </cfRule>
    <cfRule type="containsText" dxfId="1614" priority="85" operator="containsText" text=" ">
      <formula>NOT(ISERROR(SEARCH(" ",AK45)))</formula>
    </cfRule>
  </conditionalFormatting>
  <conditionalFormatting sqref="AL45">
    <cfRule type="containsText" dxfId="1613" priority="96" operator="containsText" text=" ">
      <formula>NOT(ISERROR(SEARCH(" ",AL45)))</formula>
    </cfRule>
    <cfRule type="containsText" dxfId="1612" priority="97" operator="containsText" text=" ">
      <formula>NOT(ISERROR(SEARCH(" ",AL45)))</formula>
    </cfRule>
  </conditionalFormatting>
  <conditionalFormatting sqref="AM45:AO45">
    <cfRule type="containsText" dxfId="1611" priority="98" operator="containsText" text=" ">
      <formula>NOT(ISERROR(SEARCH(" ",AM45)))</formula>
    </cfRule>
    <cfRule type="containsText" dxfId="1610" priority="99" operator="containsText" text=" ">
      <formula>NOT(ISERROR(SEARCH(" ",AM45)))</formula>
    </cfRule>
  </conditionalFormatting>
  <conditionalFormatting sqref="AP45">
    <cfRule type="containsText" dxfId="1609" priority="88" operator="containsText" text=" ">
      <formula>NOT(ISERROR(SEARCH(" ",AP45)))</formula>
    </cfRule>
    <cfRule type="containsText" dxfId="1608" priority="89" operator="containsText" text=" ">
      <formula>NOT(ISERROR(SEARCH(" ",AP45)))</formula>
    </cfRule>
  </conditionalFormatting>
  <conditionalFormatting sqref="AQ45:AR45">
    <cfRule type="containsText" dxfId="1607" priority="102" operator="containsText" text=" ">
      <formula>NOT(ISERROR(SEARCH(" ",AQ45)))</formula>
    </cfRule>
    <cfRule type="containsText" dxfId="1606" priority="103" operator="containsText" text=" ">
      <formula>NOT(ISERROR(SEARCH(" ",AQ45)))</formula>
    </cfRule>
  </conditionalFormatting>
  <conditionalFormatting sqref="AS45:AT45">
    <cfRule type="containsText" dxfId="1605" priority="106" operator="containsText" text=" ">
      <formula>NOT(ISERROR(SEARCH(" ",AS45)))</formula>
    </cfRule>
    <cfRule type="containsText" dxfId="1604" priority="107" operator="containsText" text=" ">
      <formula>NOT(ISERROR(SEARCH(" ",AS45)))</formula>
    </cfRule>
  </conditionalFormatting>
  <conditionalFormatting sqref="AU45">
    <cfRule type="containsText" dxfId="1603" priority="78" operator="containsText" text=" ">
      <formula>NOT(ISERROR(SEARCH(" ",AU45)))</formula>
    </cfRule>
    <cfRule type="containsText" dxfId="1602" priority="79" operator="containsText" text=" ">
      <formula>NOT(ISERROR(SEARCH(" ",AU45)))</formula>
    </cfRule>
  </conditionalFormatting>
  <conditionalFormatting sqref="AW45">
    <cfRule type="containsText" dxfId="1601" priority="94" operator="containsText" text=" ">
      <formula>NOT(ISERROR(SEARCH(" ",AW45)))</formula>
    </cfRule>
    <cfRule type="containsText" dxfId="1600" priority="95" operator="containsText" text=" ">
      <formula>NOT(ISERROR(SEARCH(" ",AW45)))</formula>
    </cfRule>
  </conditionalFormatting>
  <conditionalFormatting sqref="AY45">
    <cfRule type="containsText" dxfId="1599" priority="108" operator="containsText" text=" ">
      <formula>NOT(ISERROR(SEARCH(" ",AY45)))</formula>
    </cfRule>
    <cfRule type="containsText" dxfId="1598" priority="109" operator="containsText" text=" ">
      <formula>NOT(ISERROR(SEARCH(" ",AY45)))</formula>
    </cfRule>
  </conditionalFormatting>
  <conditionalFormatting sqref="DC45">
    <cfRule type="colorScale" priority="737">
      <colorScale>
        <cfvo type="min"/>
        <cfvo type="max"/>
        <color rgb="FFFCFCFF"/>
        <color rgb="FF63BE7B"/>
      </colorScale>
    </cfRule>
    <cfRule type="colorScale" priority="7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6">
    <cfRule type="containsText" dxfId="1597" priority="48" operator="containsText" text=" ">
      <formula>NOT(ISERROR(SEARCH(" ",B46)))</formula>
    </cfRule>
    <cfRule type="containsText" dxfId="1596" priority="49" operator="containsText" text=" ">
      <formula>NOT(ISERROR(SEARCH(" ",B46)))</formula>
    </cfRule>
  </conditionalFormatting>
  <conditionalFormatting sqref="AU46">
    <cfRule type="containsText" dxfId="1595" priority="144" operator="containsText" text=" ">
      <formula>NOT(ISERROR(SEARCH(" ",AU46)))</formula>
    </cfRule>
    <cfRule type="containsText" dxfId="1594" priority="145" operator="containsText" text=" ">
      <formula>NOT(ISERROR(SEARCH(" ",AU46)))</formula>
    </cfRule>
  </conditionalFormatting>
  <conditionalFormatting sqref="AV46">
    <cfRule type="containsText" dxfId="1593" priority="1044" operator="containsText" text=" ">
      <formula>NOT(ISERROR(SEARCH(" ",AV46)))</formula>
    </cfRule>
    <cfRule type="containsText" dxfId="1592" priority="1045" operator="containsText" text=" ">
      <formula>NOT(ISERROR(SEARCH(" ",AV46)))</formula>
    </cfRule>
  </conditionalFormatting>
  <conditionalFormatting sqref="D47">
    <cfRule type="containsText" dxfId="1591" priority="66" operator="containsText" text=" ">
      <formula>NOT(ISERROR(SEARCH(" ",D47)))</formula>
    </cfRule>
    <cfRule type="containsText" dxfId="1590" priority="67" operator="containsText" text=" ">
      <formula>NOT(ISERROR(SEARCH(" ",D47)))</formula>
    </cfRule>
  </conditionalFormatting>
  <conditionalFormatting sqref="L47">
    <cfRule type="containsText" dxfId="1589" priority="998" operator="containsText" text=" ">
      <formula>NOT(ISERROR(SEARCH(" ",L47)))</formula>
    </cfRule>
    <cfRule type="containsText" dxfId="1588" priority="999" operator="containsText" text=" ">
      <formula>NOT(ISERROR(SEARCH(" ",L47)))</formula>
    </cfRule>
  </conditionalFormatting>
  <conditionalFormatting sqref="AB47">
    <cfRule type="cellIs" dxfId="1587" priority="991" operator="greaterThan">
      <formula>1</formula>
    </cfRule>
    <cfRule type="containsText" dxfId="1586" priority="992" operator="containsText" text=" ">
      <formula>NOT(ISERROR(SEARCH(" ",AB47)))</formula>
    </cfRule>
    <cfRule type="containsText" dxfId="1585" priority="993" operator="containsText" text=" ">
      <formula>NOT(ISERROR(SEARCH(" ",AB47)))</formula>
    </cfRule>
  </conditionalFormatting>
  <conditionalFormatting sqref="AD47:AF47">
    <cfRule type="containsText" dxfId="1584" priority="1010" operator="containsText" text=" ">
      <formula>NOT(ISERROR(SEARCH(" ",AD47)))</formula>
    </cfRule>
    <cfRule type="containsText" dxfId="1583" priority="1011" operator="containsText" text=" ">
      <formula>NOT(ISERROR(SEARCH(" ",AD47)))</formula>
    </cfRule>
  </conditionalFormatting>
  <conditionalFormatting sqref="AI47">
    <cfRule type="containsText" dxfId="1582" priority="984" operator="containsText" text=" ">
      <formula>NOT(ISERROR(SEARCH(" ",AI47)))</formula>
    </cfRule>
    <cfRule type="containsText" dxfId="1581" priority="985" operator="containsText" text=" ">
      <formula>NOT(ISERROR(SEARCH(" ",AI47)))</formula>
    </cfRule>
  </conditionalFormatting>
  <conditionalFormatting sqref="AJ47">
    <cfRule type="containsText" dxfId="1580" priority="994" operator="containsText" text=" ">
      <formula>NOT(ISERROR(SEARCH(" ",AJ47)))</formula>
    </cfRule>
    <cfRule type="containsText" dxfId="1579" priority="995" operator="containsText" text=" ">
      <formula>NOT(ISERROR(SEARCH(" ",AJ47)))</formula>
    </cfRule>
  </conditionalFormatting>
  <conditionalFormatting sqref="AK47">
    <cfRule type="containsText" dxfId="1578" priority="986" operator="containsText" text=" ">
      <formula>NOT(ISERROR(SEARCH(" ",AK47)))</formula>
    </cfRule>
    <cfRule type="containsText" dxfId="1577" priority="987" operator="containsText" text=" ">
      <formula>NOT(ISERROR(SEARCH(" ",AK47)))</formula>
    </cfRule>
  </conditionalFormatting>
  <conditionalFormatting sqref="AP47">
    <cfRule type="containsText" dxfId="1576" priority="996" operator="containsText" text=" ">
      <formula>NOT(ISERROR(SEARCH(" ",AP47)))</formula>
    </cfRule>
    <cfRule type="containsText" dxfId="1575" priority="997" operator="containsText" text=" ">
      <formula>NOT(ISERROR(SEARCH(" ",AP47)))</formula>
    </cfRule>
  </conditionalFormatting>
  <conditionalFormatting sqref="AU47">
    <cfRule type="containsText" dxfId="1574" priority="130" operator="containsText" text=" ">
      <formula>NOT(ISERROR(SEARCH(" ",AU47)))</formula>
    </cfRule>
    <cfRule type="containsText" dxfId="1573" priority="131" operator="containsText" text=" ">
      <formula>NOT(ISERROR(SEARCH(" ",AU47)))</formula>
    </cfRule>
  </conditionalFormatting>
  <conditionalFormatting sqref="BA47">
    <cfRule type="cellIs" dxfId="1572" priority="1008" operator="equal">
      <formula>"是"</formula>
    </cfRule>
    <cfRule type="cellIs" dxfId="1571" priority="1009" operator="equal">
      <formula>"否"</formula>
    </cfRule>
  </conditionalFormatting>
  <conditionalFormatting sqref="B48">
    <cfRule type="containsText" dxfId="1570" priority="38" operator="containsText" text=" ">
      <formula>NOT(ISERROR(SEARCH(" ",B48)))</formula>
    </cfRule>
    <cfRule type="containsText" dxfId="1569" priority="39" operator="containsText" text=" ">
      <formula>NOT(ISERROR(SEARCH(" ",B48)))</formula>
    </cfRule>
  </conditionalFormatting>
  <conditionalFormatting sqref="E48">
    <cfRule type="containsText" dxfId="1568" priority="874" operator="containsText" text=" ">
      <formula>NOT(ISERROR(SEARCH(" ",E48)))</formula>
    </cfRule>
    <cfRule type="containsText" dxfId="1567" priority="875" operator="containsText" text=" ">
      <formula>NOT(ISERROR(SEARCH(" ",E48)))</formula>
    </cfRule>
  </conditionalFormatting>
  <conditionalFormatting sqref="B49">
    <cfRule type="containsText" dxfId="1566" priority="32" operator="containsText" text=" ">
      <formula>NOT(ISERROR(SEARCH(" ",B49)))</formula>
    </cfRule>
    <cfRule type="containsText" dxfId="1565" priority="33" operator="containsText" text=" ">
      <formula>NOT(ISERROR(SEARCH(" ",B49)))</formula>
    </cfRule>
  </conditionalFormatting>
  <conditionalFormatting sqref="D49">
    <cfRule type="containsText" dxfId="1564" priority="70" operator="containsText" text=" ">
      <formula>NOT(ISERROR(SEARCH(" ",D49)))</formula>
    </cfRule>
    <cfRule type="containsText" dxfId="1563" priority="71" operator="containsText" text=" ">
      <formula>NOT(ISERROR(SEARCH(" ",D49)))</formula>
    </cfRule>
  </conditionalFormatting>
  <conditionalFormatting sqref="E49">
    <cfRule type="containsText" dxfId="1562" priority="870" operator="containsText" text=" ">
      <formula>NOT(ISERROR(SEARCH(" ",E49)))</formula>
    </cfRule>
    <cfRule type="containsText" dxfId="1561" priority="871" operator="containsText" text=" ">
      <formula>NOT(ISERROR(SEARCH(" ",E49)))</formula>
    </cfRule>
  </conditionalFormatting>
  <conditionalFormatting sqref="AU49">
    <cfRule type="containsText" dxfId="1560" priority="158" operator="containsText" text=" ">
      <formula>NOT(ISERROR(SEARCH(" ",AU49)))</formula>
    </cfRule>
    <cfRule type="containsText" dxfId="1559" priority="159" operator="containsText" text=" ">
      <formula>NOT(ISERROR(SEARCH(" ",AU49)))</formula>
    </cfRule>
  </conditionalFormatting>
  <conditionalFormatting sqref="AV49:AX49">
    <cfRule type="containsText" dxfId="1558" priority="1058" operator="containsText" text=" ">
      <formula>NOT(ISERROR(SEARCH(" ",AV49)))</formula>
    </cfRule>
    <cfRule type="containsText" dxfId="1557" priority="1059" operator="containsText" text=" ">
      <formula>NOT(ISERROR(SEARCH(" ",AV49)))</formula>
    </cfRule>
  </conditionalFormatting>
  <conditionalFormatting sqref="B50">
    <cfRule type="containsText" dxfId="1556" priority="21" operator="containsText" text=" ">
      <formula>NOT(ISERROR(SEARCH(" ",B50)))</formula>
    </cfRule>
    <cfRule type="containsText" dxfId="1555" priority="22" operator="containsText" text=" ">
      <formula>NOT(ISERROR(SEARCH(" ",B50)))</formula>
    </cfRule>
    <cfRule type="containsText" dxfId="1554" priority="36" operator="containsText" text=" ">
      <formula>NOT(ISERROR(SEARCH(" ",B50)))</formula>
    </cfRule>
    <cfRule type="containsText" dxfId="1553" priority="37" operator="containsText" text=" ">
      <formula>NOT(ISERROR(SEARCH(" ",B50)))</formula>
    </cfRule>
  </conditionalFormatting>
  <conditionalFormatting sqref="D50">
    <cfRule type="containsText" dxfId="1552" priority="72" operator="containsText" text=" ">
      <formula>NOT(ISERROR(SEARCH(" ",D50)))</formula>
    </cfRule>
    <cfRule type="containsText" dxfId="1551" priority="73" operator="containsText" text=" ">
      <formula>NOT(ISERROR(SEARCH(" ",D50)))</formula>
    </cfRule>
  </conditionalFormatting>
  <conditionalFormatting sqref="E50">
    <cfRule type="containsText" dxfId="1550" priority="872" operator="containsText" text=" ">
      <formula>NOT(ISERROR(SEARCH(" ",E50)))</formula>
    </cfRule>
    <cfRule type="containsText" dxfId="1549" priority="873" operator="containsText" text=" ">
      <formula>NOT(ISERROR(SEARCH(" ",E50)))</formula>
    </cfRule>
  </conditionalFormatting>
  <conditionalFormatting sqref="AU50">
    <cfRule type="containsText" dxfId="1548" priority="162" operator="containsText" text=" ">
      <formula>NOT(ISERROR(SEARCH(" ",AU50)))</formula>
    </cfRule>
    <cfRule type="containsText" dxfId="1547" priority="163" operator="containsText" text=" ">
      <formula>NOT(ISERROR(SEARCH(" ",AU50)))</formula>
    </cfRule>
  </conditionalFormatting>
  <conditionalFormatting sqref="AV50:AX50">
    <cfRule type="containsText" dxfId="1546" priority="1066" operator="containsText" text=" ">
      <formula>NOT(ISERROR(SEARCH(" ",AV50)))</formula>
    </cfRule>
    <cfRule type="containsText" dxfId="1545" priority="1067" operator="containsText" text=" ">
      <formula>NOT(ISERROR(SEARCH(" ",AV50)))</formula>
    </cfRule>
  </conditionalFormatting>
  <conditionalFormatting sqref="B51">
    <cfRule type="containsText" dxfId="1544" priority="19" operator="containsText" text=" ">
      <formula>NOT(ISERROR(SEARCH(" ",B51)))</formula>
    </cfRule>
    <cfRule type="containsText" dxfId="1543" priority="20" operator="containsText" text=" ">
      <formula>NOT(ISERROR(SEARCH(" ",B51)))</formula>
    </cfRule>
    <cfRule type="containsText" dxfId="1542" priority="34" operator="containsText" text=" ">
      <formula>NOT(ISERROR(SEARCH(" ",B51)))</formula>
    </cfRule>
    <cfRule type="containsText" dxfId="1541" priority="35" operator="containsText" text=" ">
      <formula>NOT(ISERROR(SEARCH(" ",B51)))</formula>
    </cfRule>
  </conditionalFormatting>
  <conditionalFormatting sqref="C51">
    <cfRule type="containsText" dxfId="1540" priority="1373" operator="containsText" text=" ">
      <formula>NOT(ISERROR(SEARCH(" ",C51)))</formula>
    </cfRule>
    <cfRule type="containsText" dxfId="1539" priority="1374" operator="containsText" text=" ">
      <formula>NOT(ISERROR(SEARCH(" ",C51)))</formula>
    </cfRule>
  </conditionalFormatting>
  <conditionalFormatting sqref="D51">
    <cfRule type="containsText" dxfId="1538" priority="68" operator="containsText" text=" ">
      <formula>NOT(ISERROR(SEARCH(" ",D51)))</formula>
    </cfRule>
    <cfRule type="containsText" dxfId="1537" priority="69" operator="containsText" text=" ">
      <formula>NOT(ISERROR(SEARCH(" ",D51)))</formula>
    </cfRule>
  </conditionalFormatting>
  <conditionalFormatting sqref="E51">
    <cfRule type="containsText" dxfId="1536" priority="947" operator="containsText" text=" ">
      <formula>NOT(ISERROR(SEARCH(" ",E51)))</formula>
    </cfRule>
    <cfRule type="containsText" dxfId="1535" priority="948" operator="containsText" text=" ">
      <formula>NOT(ISERROR(SEARCH(" ",E51)))</formula>
    </cfRule>
  </conditionalFormatting>
  <conditionalFormatting sqref="AU51">
    <cfRule type="containsText" dxfId="1534" priority="150" operator="containsText" text=" ">
      <formula>NOT(ISERROR(SEARCH(" ",AU51)))</formula>
    </cfRule>
    <cfRule type="containsText" dxfId="1533" priority="151" operator="containsText" text=" ">
      <formula>NOT(ISERROR(SEARCH(" ",AU51)))</formula>
    </cfRule>
  </conditionalFormatting>
  <conditionalFormatting sqref="AV51:AX51">
    <cfRule type="containsText" dxfId="1532" priority="1050" operator="containsText" text=" ">
      <formula>NOT(ISERROR(SEARCH(" ",AV51)))</formula>
    </cfRule>
    <cfRule type="containsText" dxfId="1531" priority="1051" operator="containsText" text=" ">
      <formula>NOT(ISERROR(SEARCH(" ",AV51)))</formula>
    </cfRule>
  </conditionalFormatting>
  <conditionalFormatting sqref="D52">
    <cfRule type="containsText" dxfId="1530" priority="1385" operator="containsText" text=" ">
      <formula>NOT(ISERROR(SEARCH(" ",D52)))</formula>
    </cfRule>
    <cfRule type="containsText" dxfId="1529" priority="1386" operator="containsText" text=" ">
      <formula>NOT(ISERROR(SEARCH(" ",D52)))</formula>
    </cfRule>
  </conditionalFormatting>
  <conditionalFormatting sqref="E52">
    <cfRule type="containsText" dxfId="1528" priority="1289" operator="containsText" text=" ">
      <formula>NOT(ISERROR(SEARCH(" ",E52)))</formula>
    </cfRule>
    <cfRule type="containsText" dxfId="1527" priority="1290" operator="containsText" text=" ">
      <formula>NOT(ISERROR(SEARCH(" ",E52)))</formula>
    </cfRule>
  </conditionalFormatting>
  <conditionalFormatting sqref="AU52">
    <cfRule type="containsText" dxfId="1526" priority="156" operator="containsText" text=" ">
      <formula>NOT(ISERROR(SEARCH(" ",AU52)))</formula>
    </cfRule>
    <cfRule type="containsText" dxfId="1525" priority="157" operator="containsText" text=" ">
      <formula>NOT(ISERROR(SEARCH(" ",AU52)))</formula>
    </cfRule>
  </conditionalFormatting>
  <conditionalFormatting sqref="AV52:AX52">
    <cfRule type="containsText" dxfId="1524" priority="1056" operator="containsText" text=" ">
      <formula>NOT(ISERROR(SEARCH(" ",AV52)))</formula>
    </cfRule>
    <cfRule type="containsText" dxfId="1523" priority="1057" operator="containsText" text=" ">
      <formula>NOT(ISERROR(SEARCH(" ",AV52)))</formula>
    </cfRule>
  </conditionalFormatting>
  <conditionalFormatting sqref="D53">
    <cfRule type="containsText" dxfId="1522" priority="1383" operator="containsText" text=" ">
      <formula>NOT(ISERROR(SEARCH(" ",D53)))</formula>
    </cfRule>
    <cfRule type="containsText" dxfId="1521" priority="1384" operator="containsText" text=" ">
      <formula>NOT(ISERROR(SEARCH(" ",D53)))</formula>
    </cfRule>
  </conditionalFormatting>
  <conditionalFormatting sqref="E53">
    <cfRule type="containsText" dxfId="1520" priority="1287" operator="containsText" text=" ">
      <formula>NOT(ISERROR(SEARCH(" ",E53)))</formula>
    </cfRule>
    <cfRule type="containsText" dxfId="1519" priority="1288" operator="containsText" text=" ">
      <formula>NOT(ISERROR(SEARCH(" ",E53)))</formula>
    </cfRule>
  </conditionalFormatting>
  <conditionalFormatting sqref="D54">
    <cfRule type="containsText" dxfId="1518" priority="1381" operator="containsText" text=" ">
      <formula>NOT(ISERROR(SEARCH(" ",D54)))</formula>
    </cfRule>
    <cfRule type="containsText" dxfId="1517" priority="1382" operator="containsText" text=" ">
      <formula>NOT(ISERROR(SEARCH(" ",D54)))</formula>
    </cfRule>
  </conditionalFormatting>
  <conditionalFormatting sqref="E54">
    <cfRule type="containsText" dxfId="1516" priority="1285" operator="containsText" text=" ">
      <formula>NOT(ISERROR(SEARCH(" ",E54)))</formula>
    </cfRule>
    <cfRule type="containsText" dxfId="1515" priority="1286" operator="containsText" text=" ">
      <formula>NOT(ISERROR(SEARCH(" ",E54)))</formula>
    </cfRule>
  </conditionalFormatting>
  <conditionalFormatting sqref="AU54">
    <cfRule type="containsText" dxfId="1514" priority="154" operator="containsText" text=" ">
      <formula>NOT(ISERROR(SEARCH(" ",AU54)))</formula>
    </cfRule>
    <cfRule type="containsText" dxfId="1513" priority="155" operator="containsText" text=" ">
      <formula>NOT(ISERROR(SEARCH(" ",AU54)))</formula>
    </cfRule>
  </conditionalFormatting>
  <conditionalFormatting sqref="AV54:AX54">
    <cfRule type="containsText" dxfId="1512" priority="1054" operator="containsText" text=" ">
      <formula>NOT(ISERROR(SEARCH(" ",AV54)))</formula>
    </cfRule>
    <cfRule type="containsText" dxfId="1511" priority="1055" operator="containsText" text=" ">
      <formula>NOT(ISERROR(SEARCH(" ",AV54)))</formula>
    </cfRule>
  </conditionalFormatting>
  <conditionalFormatting sqref="B55">
    <cfRule type="containsText" dxfId="1510" priority="56" operator="containsText" text=" ">
      <formula>NOT(ISERROR(SEARCH(" ",B55)))</formula>
    </cfRule>
    <cfRule type="containsText" dxfId="1509" priority="57" operator="containsText" text=" ">
      <formula>NOT(ISERROR(SEARCH(" ",B55)))</formula>
    </cfRule>
  </conditionalFormatting>
  <conditionalFormatting sqref="C55">
    <cfRule type="containsText" dxfId="1508" priority="1365" operator="containsText" text=" ">
      <formula>NOT(ISERROR(SEARCH(" ",C55)))</formula>
    </cfRule>
    <cfRule type="containsText" dxfId="1507" priority="1366" operator="containsText" text=" ">
      <formula>NOT(ISERROR(SEARCH(" ",C55)))</formula>
    </cfRule>
  </conditionalFormatting>
  <conditionalFormatting sqref="D55">
    <cfRule type="containsText" dxfId="1506" priority="1363" operator="containsText" text=" ">
      <formula>NOT(ISERROR(SEARCH(" ",D55)))</formula>
    </cfRule>
    <cfRule type="containsText" dxfId="1505" priority="1364" operator="containsText" text=" ">
      <formula>NOT(ISERROR(SEARCH(" ",D55)))</formula>
    </cfRule>
  </conditionalFormatting>
  <conditionalFormatting sqref="E55">
    <cfRule type="containsText" dxfId="1504" priority="1279" operator="containsText" text=" ">
      <formula>NOT(ISERROR(SEARCH(" ",E55)))</formula>
    </cfRule>
    <cfRule type="containsText" dxfId="1503" priority="1280" operator="containsText" text=" ">
      <formula>NOT(ISERROR(SEARCH(" ",E55)))</formula>
    </cfRule>
  </conditionalFormatting>
  <conditionalFormatting sqref="AU55">
    <cfRule type="containsText" dxfId="1502" priority="146" operator="containsText" text=" ">
      <formula>NOT(ISERROR(SEARCH(" ",AU55)))</formula>
    </cfRule>
    <cfRule type="containsText" dxfId="1501" priority="147" operator="containsText" text=" ">
      <formula>NOT(ISERROR(SEARCH(" ",AU55)))</formula>
    </cfRule>
  </conditionalFormatting>
  <conditionalFormatting sqref="AV55:AX55">
    <cfRule type="containsText" dxfId="1500" priority="1046" operator="containsText" text=" ">
      <formula>NOT(ISERROR(SEARCH(" ",AV55)))</formula>
    </cfRule>
    <cfRule type="containsText" dxfId="1499" priority="1047" operator="containsText" text=" ">
      <formula>NOT(ISERROR(SEARCH(" ",AV55)))</formula>
    </cfRule>
  </conditionalFormatting>
  <conditionalFormatting sqref="AF56">
    <cfRule type="containsText" dxfId="1498" priority="1144" operator="containsText" text=" ">
      <formula>NOT(ISERROR(SEARCH(" ",AF56)))</formula>
    </cfRule>
    <cfRule type="containsText" dxfId="1497" priority="1145" operator="containsText" text=" ">
      <formula>NOT(ISERROR(SEARCH(" ",AF56)))</formula>
    </cfRule>
  </conditionalFormatting>
  <conditionalFormatting sqref="AV56:AX56">
    <cfRule type="containsText" dxfId="1496" priority="1032" operator="containsText" text=" ">
      <formula>NOT(ISERROR(SEARCH(" ",AV56)))</formula>
    </cfRule>
    <cfRule type="containsText" dxfId="1495" priority="1033" operator="containsText" text=" ">
      <formula>NOT(ISERROR(SEARCH(" ",AV56)))</formula>
    </cfRule>
  </conditionalFormatting>
  <conditionalFormatting sqref="AF57">
    <cfRule type="containsText" dxfId="1494" priority="1150" operator="containsText" text=" ">
      <formula>NOT(ISERROR(SEARCH(" ",AF57)))</formula>
    </cfRule>
    <cfRule type="containsText" dxfId="1493" priority="1151" operator="containsText" text=" ">
      <formula>NOT(ISERROR(SEARCH(" ",AF57)))</formula>
    </cfRule>
  </conditionalFormatting>
  <conditionalFormatting sqref="AV57:AX57">
    <cfRule type="containsText" dxfId="1492" priority="1030" operator="containsText" text=" ">
      <formula>NOT(ISERROR(SEARCH(" ",AV57)))</formula>
    </cfRule>
    <cfRule type="containsText" dxfId="1491" priority="1031" operator="containsText" text=" ">
      <formula>NOT(ISERROR(SEARCH(" ",AV57)))</formula>
    </cfRule>
  </conditionalFormatting>
  <conditionalFormatting sqref="AF58">
    <cfRule type="containsText" dxfId="1490" priority="1148" operator="containsText" text=" ">
      <formula>NOT(ISERROR(SEARCH(" ",AF58)))</formula>
    </cfRule>
    <cfRule type="containsText" dxfId="1489" priority="1149" operator="containsText" text=" ">
      <formula>NOT(ISERROR(SEARCH(" ",AF58)))</formula>
    </cfRule>
  </conditionalFormatting>
  <conditionalFormatting sqref="AT58">
    <cfRule type="containsText" dxfId="1488" priority="120" operator="containsText" text=" ">
      <formula>NOT(ISERROR(SEARCH(" ",AT58)))</formula>
    </cfRule>
    <cfRule type="containsText" dxfId="1487" priority="121" operator="containsText" text=" ">
      <formula>NOT(ISERROR(SEARCH(" ",AT58)))</formula>
    </cfRule>
  </conditionalFormatting>
  <conditionalFormatting sqref="AV58:AX58">
    <cfRule type="containsText" dxfId="1486" priority="1028" operator="containsText" text=" ">
      <formula>NOT(ISERROR(SEARCH(" ",AV58)))</formula>
    </cfRule>
    <cfRule type="containsText" dxfId="1485" priority="1029" operator="containsText" text=" ">
      <formula>NOT(ISERROR(SEARCH(" ",AV58)))</formula>
    </cfRule>
  </conditionalFormatting>
  <conditionalFormatting sqref="AF59">
    <cfRule type="containsText" dxfId="1484" priority="1146" operator="containsText" text=" ">
      <formula>NOT(ISERROR(SEARCH(" ",AF59)))</formula>
    </cfRule>
    <cfRule type="containsText" dxfId="1483" priority="1147" operator="containsText" text=" ">
      <formula>NOT(ISERROR(SEARCH(" ",AF59)))</formula>
    </cfRule>
  </conditionalFormatting>
  <conditionalFormatting sqref="AT59">
    <cfRule type="containsText" dxfId="1482" priority="126" operator="containsText" text=" ">
      <formula>NOT(ISERROR(SEARCH(" ",AT59)))</formula>
    </cfRule>
    <cfRule type="containsText" dxfId="1481" priority="127" operator="containsText" text=" ">
      <formula>NOT(ISERROR(SEARCH(" ",AT59)))</formula>
    </cfRule>
  </conditionalFormatting>
  <conditionalFormatting sqref="AV59:AX59">
    <cfRule type="containsText" dxfId="1480" priority="1026" operator="containsText" text=" ">
      <formula>NOT(ISERROR(SEARCH(" ",AV59)))</formula>
    </cfRule>
    <cfRule type="containsText" dxfId="1479" priority="1027" operator="containsText" text=" ">
      <formula>NOT(ISERROR(SEARCH(" ",AV59)))</formula>
    </cfRule>
  </conditionalFormatting>
  <conditionalFormatting sqref="AF60">
    <cfRule type="containsText" dxfId="1478" priority="427" operator="containsText" text=" ">
      <formula>NOT(ISERROR(SEARCH(" ",AF60)))</formula>
    </cfRule>
    <cfRule type="containsText" dxfId="1477" priority="428" operator="containsText" text=" ">
      <formula>NOT(ISERROR(SEARCH(" ",AF60)))</formula>
    </cfRule>
  </conditionalFormatting>
  <conditionalFormatting sqref="AT60">
    <cfRule type="containsText" dxfId="1476" priority="122" operator="containsText" text=" ">
      <formula>NOT(ISERROR(SEARCH(" ",AT60)))</formula>
    </cfRule>
    <cfRule type="containsText" dxfId="1475" priority="123" operator="containsText" text=" ">
      <formula>NOT(ISERROR(SEARCH(" ",AT60)))</formula>
    </cfRule>
  </conditionalFormatting>
  <conditionalFormatting sqref="AV60:AX60">
    <cfRule type="containsText" dxfId="1474" priority="403" operator="containsText" text=" ">
      <formula>NOT(ISERROR(SEARCH(" ",AV60)))</formula>
    </cfRule>
    <cfRule type="containsText" dxfId="1473" priority="404" operator="containsText" text=" ">
      <formula>NOT(ISERROR(SEARCH(" ",AV60)))</formula>
    </cfRule>
  </conditionalFormatting>
  <conditionalFormatting sqref="AF61">
    <cfRule type="containsText" dxfId="1472" priority="425" operator="containsText" text=" ">
      <formula>NOT(ISERROR(SEARCH(" ",AF61)))</formula>
    </cfRule>
    <cfRule type="containsText" dxfId="1471" priority="426" operator="containsText" text=" ">
      <formula>NOT(ISERROR(SEARCH(" ",AF61)))</formula>
    </cfRule>
  </conditionalFormatting>
  <conditionalFormatting sqref="AT61">
    <cfRule type="containsText" dxfId="1470" priority="124" operator="containsText" text=" ">
      <formula>NOT(ISERROR(SEARCH(" ",AT61)))</formula>
    </cfRule>
    <cfRule type="containsText" dxfId="1469" priority="125" operator="containsText" text=" ">
      <formula>NOT(ISERROR(SEARCH(" ",AT61)))</formula>
    </cfRule>
  </conditionalFormatting>
  <conditionalFormatting sqref="AV61:AX61">
    <cfRule type="containsText" dxfId="1468" priority="401" operator="containsText" text=" ">
      <formula>NOT(ISERROR(SEARCH(" ",AV61)))</formula>
    </cfRule>
    <cfRule type="containsText" dxfId="1467" priority="402" operator="containsText" text=" ">
      <formula>NOT(ISERROR(SEARCH(" ",AV61)))</formula>
    </cfRule>
  </conditionalFormatting>
  <conditionalFormatting sqref="AF62">
    <cfRule type="containsText" dxfId="1466" priority="423" operator="containsText" text=" ">
      <formula>NOT(ISERROR(SEARCH(" ",AF62)))</formula>
    </cfRule>
    <cfRule type="containsText" dxfId="1465" priority="424" operator="containsText" text=" ">
      <formula>NOT(ISERROR(SEARCH(" ",AF62)))</formula>
    </cfRule>
  </conditionalFormatting>
  <conditionalFormatting sqref="AT62">
    <cfRule type="containsText" dxfId="1464" priority="218" operator="containsText" text=" ">
      <formula>NOT(ISERROR(SEARCH(" ",AT62)))</formula>
    </cfRule>
    <cfRule type="containsText" dxfId="1463" priority="219" operator="containsText" text=" ">
      <formula>NOT(ISERROR(SEARCH(" ",AT62)))</formula>
    </cfRule>
  </conditionalFormatting>
  <conditionalFormatting sqref="AV62:AX62">
    <cfRule type="containsText" dxfId="1462" priority="399" operator="containsText" text=" ">
      <formula>NOT(ISERROR(SEARCH(" ",AV62)))</formula>
    </cfRule>
    <cfRule type="containsText" dxfId="1461" priority="400" operator="containsText" text=" ">
      <formula>NOT(ISERROR(SEARCH(" ",AV62)))</formula>
    </cfRule>
  </conditionalFormatting>
  <conditionalFormatting sqref="B13:B14">
    <cfRule type="containsText" dxfId="1460" priority="60" operator="containsText" text=" ">
      <formula>NOT(ISERROR(SEARCH(" ",B13)))</formula>
    </cfRule>
    <cfRule type="containsText" dxfId="1459" priority="61" operator="containsText" text=" ">
      <formula>NOT(ISERROR(SEARCH(" ",B13)))</formula>
    </cfRule>
  </conditionalFormatting>
  <conditionalFormatting sqref="B56:B59">
    <cfRule type="containsText" dxfId="1458" priority="52" operator="containsText" text=" ">
      <formula>NOT(ISERROR(SEARCH(" ",B56)))</formula>
    </cfRule>
    <cfRule type="containsText" dxfId="1457" priority="53" operator="containsText" text=" ">
      <formula>NOT(ISERROR(SEARCH(" ",B56)))</formula>
    </cfRule>
  </conditionalFormatting>
  <conditionalFormatting sqref="B60:B62">
    <cfRule type="cellIs" dxfId="1456" priority="23" operator="equal">
      <formula>" "</formula>
    </cfRule>
    <cfRule type="containsText" dxfId="1455" priority="24" operator="containsText" text=" ">
      <formula>NOT(ISERROR(SEARCH(" ",B60)))</formula>
    </cfRule>
    <cfRule type="containsText" dxfId="1454" priority="25" operator="containsText" text=" ">
      <formula>NOT(ISERROR(SEARCH(" ",B60)))</formula>
    </cfRule>
  </conditionalFormatting>
  <conditionalFormatting sqref="E56:E59">
    <cfRule type="containsText" dxfId="1453" priority="1196" operator="containsText" text=" ">
      <formula>NOT(ISERROR(SEARCH(" ",E56)))</formula>
    </cfRule>
    <cfRule type="containsText" dxfId="1452" priority="1197" operator="containsText" text=" ">
      <formula>NOT(ISERROR(SEARCH(" ",E56)))</formula>
    </cfRule>
  </conditionalFormatting>
  <conditionalFormatting sqref="E60:E62">
    <cfRule type="containsText" dxfId="1451" priority="437" operator="containsText" text=" ">
      <formula>NOT(ISERROR(SEARCH(" ",E60)))</formula>
    </cfRule>
    <cfRule type="containsText" dxfId="1450" priority="438" operator="containsText" text=" ">
      <formula>NOT(ISERROR(SEARCH(" ",E60)))</formula>
    </cfRule>
  </conditionalFormatting>
  <conditionalFormatting sqref="F60:F62">
    <cfRule type="containsText" dxfId="1449" priority="409" operator="containsText" text=" ">
      <formula>NOT(ISERROR(SEARCH(" ",F60)))</formula>
    </cfRule>
    <cfRule type="containsText" dxfId="1448" priority="410" operator="containsText" text=" ">
      <formula>NOT(ISERROR(SEARCH(" ",F60)))</formula>
    </cfRule>
  </conditionalFormatting>
  <conditionalFormatting sqref="L60:L62">
    <cfRule type="containsText" dxfId="1447" priority="449" operator="containsText" text=" ">
      <formula>NOT(ISERROR(SEARCH(" ",L60)))</formula>
    </cfRule>
    <cfRule type="containsText" dxfId="1446" priority="450" operator="containsText" text=" ">
      <formula>NOT(ISERROR(SEARCH(" ",L60)))</formula>
    </cfRule>
  </conditionalFormatting>
  <conditionalFormatting sqref="P60:P62">
    <cfRule type="colorScale" priority="373">
      <colorScale>
        <cfvo type="min"/>
        <cfvo type="max"/>
        <color rgb="FFFCFCFF"/>
        <color rgb="FF63BE7B"/>
      </colorScale>
    </cfRule>
    <cfRule type="colorScale" priority="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1:R2">
    <cfRule type="containsText" dxfId="1445" priority="464" operator="containsText" text=" ">
      <formula>NOT(ISERROR(SEARCH(" ",R1)))</formula>
    </cfRule>
    <cfRule type="containsText" dxfId="1444" priority="465" operator="containsText" text=" ">
      <formula>NOT(ISERROR(SEARCH(" ",R1)))</formula>
    </cfRule>
  </conditionalFormatting>
  <conditionalFormatting sqref="X1:X2">
    <cfRule type="containsText" dxfId="1443" priority="954" operator="containsText" text=" ">
      <formula>NOT(ISERROR(SEARCH(" ",X1)))</formula>
    </cfRule>
    <cfRule type="containsText" dxfId="1442" priority="955" operator="containsText" text=" ">
      <formula>NOT(ISERROR(SEARCH(" ",X1)))</formula>
    </cfRule>
  </conditionalFormatting>
  <conditionalFormatting sqref="AB1:AB3">
    <cfRule type="containsText" dxfId="1441" priority="1105" operator="containsText" text=" ">
      <formula>NOT(ISERROR(SEARCH(" ",AB1)))</formula>
    </cfRule>
    <cfRule type="containsText" dxfId="1440" priority="1106" operator="containsText" text=" ">
      <formula>NOT(ISERROR(SEARCH(" ",AB1)))</formula>
    </cfRule>
  </conditionalFormatting>
  <conditionalFormatting sqref="AB60:AB62">
    <cfRule type="cellIs" dxfId="1439" priority="418" operator="greaterThan">
      <formula>1</formula>
    </cfRule>
    <cfRule type="containsText" dxfId="1438" priority="419" operator="containsText" text=" ">
      <formula>NOT(ISERROR(SEARCH(" ",AB60)))</formula>
    </cfRule>
    <cfRule type="containsText" dxfId="1437" priority="420" operator="containsText" text=" ">
      <formula>NOT(ISERROR(SEARCH(" ",AB60)))</formula>
    </cfRule>
  </conditionalFormatting>
  <conditionalFormatting sqref="AG60:AG62">
    <cfRule type="containsText" dxfId="1436" priority="455" operator="containsText" text=" ">
      <formula>NOT(ISERROR(SEARCH(" ",AG60)))</formula>
    </cfRule>
    <cfRule type="containsText" dxfId="1435" priority="456" operator="containsText" text=" ">
      <formula>NOT(ISERROR(SEARCH(" ",AG60)))</formula>
    </cfRule>
  </conditionalFormatting>
  <conditionalFormatting sqref="AH59:AH60">
    <cfRule type="containsText" dxfId="1434" priority="226" operator="containsText" text=" ">
      <formula>NOT(ISERROR(SEARCH(" ",AH59)))</formula>
    </cfRule>
    <cfRule type="containsText" dxfId="1433" priority="227" operator="containsText" text=" ">
      <formula>NOT(ISERROR(SEARCH(" ",AH59)))</formula>
    </cfRule>
  </conditionalFormatting>
  <conditionalFormatting sqref="AH61:AH62">
    <cfRule type="containsText" dxfId="1432" priority="224" operator="containsText" text=" ">
      <formula>NOT(ISERROR(SEARCH(" ",AH61)))</formula>
    </cfRule>
    <cfRule type="containsText" dxfId="1431" priority="225" operator="containsText" text=" ">
      <formula>NOT(ISERROR(SEARCH(" ",AH61)))</formula>
    </cfRule>
  </conditionalFormatting>
  <conditionalFormatting sqref="AI60:AI62">
    <cfRule type="containsText" dxfId="1430" priority="407" operator="containsText" text=" ">
      <formula>NOT(ISERROR(SEARCH(" ",AI60)))</formula>
    </cfRule>
    <cfRule type="containsText" dxfId="1429" priority="408" operator="containsText" text=" ">
      <formula>NOT(ISERROR(SEARCH(" ",AI60)))</formula>
    </cfRule>
  </conditionalFormatting>
  <conditionalFormatting sqref="AI63:AI1048576">
    <cfRule type="containsText" dxfId="1428" priority="1074" operator="containsText" text=" ">
      <formula>NOT(ISERROR(SEARCH(" ",AI63)))</formula>
    </cfRule>
    <cfRule type="containsText" dxfId="1427" priority="1075" operator="containsText" text=" ">
      <formula>NOT(ISERROR(SEARCH(" ",AI63)))</formula>
    </cfRule>
  </conditionalFormatting>
  <conditionalFormatting sqref="AJ60:AJ62">
    <cfRule type="containsText" dxfId="1426" priority="421" operator="containsText" text=" ">
      <formula>NOT(ISERROR(SEARCH(" ",AJ60)))</formula>
    </cfRule>
    <cfRule type="containsText" dxfId="1425" priority="422" operator="containsText" text=" ">
      <formula>NOT(ISERROR(SEARCH(" ",AJ60)))</formula>
    </cfRule>
  </conditionalFormatting>
  <conditionalFormatting sqref="AN5:AN39">
    <cfRule type="containsText" dxfId="1424" priority="110" operator="containsText" text=" ">
      <formula>NOT(ISERROR(SEARCH(" ",AN5)))</formula>
    </cfRule>
    <cfRule type="containsText" dxfId="1423" priority="111" operator="containsText" text=" ">
      <formula>NOT(ISERROR(SEARCH(" ",AN5)))</formula>
    </cfRule>
  </conditionalFormatting>
  <conditionalFormatting sqref="AO60:AO62">
    <cfRule type="containsText" dxfId="1422" priority="453" operator="containsText" text=" ">
      <formula>NOT(ISERROR(SEARCH(" ",AO60)))</formula>
    </cfRule>
    <cfRule type="containsText" dxfId="1421" priority="454" operator="containsText" text=" ">
      <formula>NOT(ISERROR(SEARCH(" ",AO60)))</formula>
    </cfRule>
  </conditionalFormatting>
  <conditionalFormatting sqref="AP60:AP62">
    <cfRule type="containsText" dxfId="1420" priority="433" operator="containsText" text=" ">
      <formula>NOT(ISERROR(SEARCH(" ",AP60)))</formula>
    </cfRule>
    <cfRule type="containsText" dxfId="1419" priority="434" operator="containsText" text=" ">
      <formula>NOT(ISERROR(SEARCH(" ",AP60)))</formula>
    </cfRule>
  </conditionalFormatting>
  <conditionalFormatting sqref="AU56:AU62">
    <cfRule type="containsText" dxfId="1418" priority="132" operator="containsText" text=" ">
      <formula>NOT(ISERROR(SEARCH(" ",AU56)))</formula>
    </cfRule>
    <cfRule type="containsText" dxfId="1417" priority="133" operator="containsText" text=" ">
      <formula>NOT(ISERROR(SEARCH(" ",AU56)))</formula>
    </cfRule>
  </conditionalFormatting>
  <conditionalFormatting sqref="BA56:BA59">
    <cfRule type="cellIs" dxfId="1416" priority="1202" operator="equal">
      <formula>"是"</formula>
    </cfRule>
    <cfRule type="cellIs" dxfId="1415" priority="1203" operator="equal">
      <formula>"否"</formula>
    </cfRule>
  </conditionalFormatting>
  <conditionalFormatting sqref="BA60:BA62">
    <cfRule type="cellIs" dxfId="1414" priority="443" operator="equal">
      <formula>"是"</formula>
    </cfRule>
    <cfRule type="cellIs" dxfId="1413" priority="444" operator="equal">
      <formula>"否"</formula>
    </cfRule>
  </conditionalFormatting>
  <conditionalFormatting sqref="BH30:BH38">
    <cfRule type="cellIs" dxfId="1412" priority="845" operator="greaterThan">
      <formula>1</formula>
    </cfRule>
    <cfRule type="containsText" dxfId="1411" priority="846" operator="containsText" text=" ">
      <formula>NOT(ISERROR(SEARCH(" ",BH30)))</formula>
    </cfRule>
    <cfRule type="containsText" dxfId="1410" priority="847" operator="containsText" text=" ">
      <formula>NOT(ISERROR(SEARCH(" ",BH30)))</formula>
    </cfRule>
  </conditionalFormatting>
  <conditionalFormatting sqref="BP30:BP38">
    <cfRule type="containsText" dxfId="1409" priority="848" operator="containsText" text=" ">
      <formula>NOT(ISERROR(SEARCH(" ",BP30)))</formula>
    </cfRule>
    <cfRule type="containsText" dxfId="1408" priority="849" operator="containsText" text=" ">
      <formula>NOT(ISERROR(SEARCH(" ",BP30)))</formula>
    </cfRule>
  </conditionalFormatting>
  <conditionalFormatting sqref="BS60:BS62">
    <cfRule type="cellIs" dxfId="1407" priority="370" operator="equal">
      <formula>0</formula>
    </cfRule>
  </conditionalFormatting>
  <conditionalFormatting sqref="CD60:CD62">
    <cfRule type="containsText" dxfId="1406" priority="392" operator="containsText" text=" ">
      <formula>NOT(ISERROR(SEARCH(" ",CD60)))</formula>
    </cfRule>
    <cfRule type="containsText" dxfId="1405" priority="393" operator="containsText" text=" ">
      <formula>NOT(ISERROR(SEARCH(" ",CD60)))</formula>
    </cfRule>
  </conditionalFormatting>
  <conditionalFormatting sqref="CF5:CF59">
    <cfRule type="containsText" dxfId="1404" priority="958" operator="containsText" text=" ">
      <formula>NOT(ISERROR(SEARCH(" ",CF5)))</formula>
    </cfRule>
    <cfRule type="containsText" dxfId="1403" priority="959" operator="containsText" text=" ">
      <formula>NOT(ISERROR(SEARCH(" ",CF5)))</formula>
    </cfRule>
  </conditionalFormatting>
  <conditionalFormatting sqref="CF60:CF62">
    <cfRule type="containsText" dxfId="1402" priority="390" operator="containsText" text=" ">
      <formula>NOT(ISERROR(SEARCH(" ",CF60)))</formula>
    </cfRule>
    <cfRule type="containsText" dxfId="1401" priority="391" operator="containsText" text=" ">
      <formula>NOT(ISERROR(SEARCH(" ",CF60)))</formula>
    </cfRule>
  </conditionalFormatting>
  <conditionalFormatting sqref="CI6:CI59">
    <cfRule type="colorScale" priority="9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60:CI62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5:CK59">
    <cfRule type="cellIs" dxfId="1400" priority="930" operator="greaterThan">
      <formula>1</formula>
    </cfRule>
    <cfRule type="containsText" dxfId="1399" priority="931" operator="containsText" text=" ">
      <formula>NOT(ISERROR(SEARCH(" ",CK5)))</formula>
    </cfRule>
    <cfRule type="containsText" dxfId="1398" priority="932" operator="containsText" text=" ">
      <formula>NOT(ISERROR(SEARCH(" ",CK5)))</formula>
    </cfRule>
  </conditionalFormatting>
  <conditionalFormatting sqref="CK60:CK62">
    <cfRule type="cellIs" dxfId="1397" priority="386" operator="greaterThan">
      <formula>1</formula>
    </cfRule>
    <cfRule type="containsText" dxfId="1396" priority="387" operator="containsText" text=" ">
      <formula>NOT(ISERROR(SEARCH(" ",CK60)))</formula>
    </cfRule>
    <cfRule type="containsText" dxfId="1395" priority="388" operator="containsText" text=" ">
      <formula>NOT(ISERROR(SEARCH(" ",CK60)))</formula>
    </cfRule>
  </conditionalFormatting>
  <conditionalFormatting sqref="CL5:CL59">
    <cfRule type="cellIs" dxfId="1394" priority="923" operator="greaterThan">
      <formula>$CM$3</formula>
    </cfRule>
    <cfRule type="cellIs" dxfId="1393" priority="924" operator="greaterThan">
      <formula>"&gt;$Z$3"</formula>
    </cfRule>
  </conditionalFormatting>
  <conditionalFormatting sqref="CL60:CL62">
    <cfRule type="cellIs" dxfId="1392" priority="379" operator="greaterThan">
      <formula>$CM$3</formula>
    </cfRule>
    <cfRule type="cellIs" dxfId="1391" priority="380" operator="greaterThan">
      <formula>"&gt;$Z$3"</formula>
    </cfRule>
  </conditionalFormatting>
  <conditionalFormatting sqref="CN5:CN59">
    <cfRule type="cellIs" dxfId="1390" priority="925" operator="greaterThan">
      <formula>1</formula>
    </cfRule>
    <cfRule type="containsText" dxfId="1389" priority="926" operator="containsText" text=" ">
      <formula>NOT(ISERROR(SEARCH(" ",CN5)))</formula>
    </cfRule>
    <cfRule type="containsText" dxfId="1388" priority="927" operator="containsText" text=" ">
      <formula>NOT(ISERROR(SEARCH(" ",CN5)))</formula>
    </cfRule>
  </conditionalFormatting>
  <conditionalFormatting sqref="CN60:CN62">
    <cfRule type="cellIs" dxfId="1387" priority="381" operator="greaterThan">
      <formula>1</formula>
    </cfRule>
    <cfRule type="containsText" dxfId="1386" priority="382" operator="containsText" text=" ">
      <formula>NOT(ISERROR(SEARCH(" ",CN60)))</formula>
    </cfRule>
    <cfRule type="containsText" dxfId="1385" priority="383" operator="containsText" text=" ">
      <formula>NOT(ISERROR(SEARCH(" ",CN60)))</formula>
    </cfRule>
  </conditionalFormatting>
  <conditionalFormatting sqref="CQ5:CQ59">
    <cfRule type="colorScale" priority="921">
      <colorScale>
        <cfvo type="min"/>
        <cfvo type="max"/>
        <color rgb="FFFCFCFF"/>
        <color rgb="FF63BE7B"/>
      </colorScale>
    </cfRule>
    <cfRule type="colorScale" priority="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Q60:CQ62">
    <cfRule type="colorScale" priority="377">
      <colorScale>
        <cfvo type="min"/>
        <cfvo type="max"/>
        <color rgb="FFFCFCFF"/>
        <color rgb="FF63BE7B"/>
      </colorScale>
    </cfRule>
    <cfRule type="colorScale" priority="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5:CT59">
    <cfRule type="colorScale" priority="919">
      <colorScale>
        <cfvo type="min"/>
        <cfvo type="max"/>
        <color rgb="FFFCFCFF"/>
        <color rgb="FF63BE7B"/>
      </colorScale>
    </cfRule>
    <cfRule type="colorScale" priority="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60:CT62">
    <cfRule type="colorScale" priority="375">
      <colorScale>
        <cfvo type="min"/>
        <cfvo type="max"/>
        <color rgb="FFFCFCFF"/>
        <color rgb="FF63BE7B"/>
      </colorScale>
    </cfRule>
    <cfRule type="colorScale" priority="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B5:DB59">
    <cfRule type="cellIs" dxfId="1384" priority="461" operator="greaterThan">
      <formula>1</formula>
    </cfRule>
    <cfRule type="colorScale" priority="462">
      <colorScale>
        <cfvo type="min"/>
        <cfvo type="max"/>
        <color rgb="FFFCFCFF"/>
        <color rgb="FF63BE7B"/>
      </colorScale>
    </cfRule>
    <cfRule type="colorScale" priority="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B60:DB62">
    <cfRule type="cellIs" dxfId="1383" priority="228" operator="greaterThan">
      <formula>1</formula>
    </cfRule>
    <cfRule type="colorScale" priority="229">
      <colorScale>
        <cfvo type="min"/>
        <cfvo type="max"/>
        <color rgb="FFFCFCFF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47:DC59">
    <cfRule type="colorScale" priority="739">
      <colorScale>
        <cfvo type="min"/>
        <cfvo type="max"/>
        <color rgb="FFFCFCFF"/>
        <color rgb="FF63BE7B"/>
      </colorScale>
    </cfRule>
    <cfRule type="colorScale" priority="7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60:DC62">
    <cfRule type="colorScale" priority="357">
      <colorScale>
        <cfvo type="min"/>
        <cfvo type="max"/>
        <color rgb="FFFCFCFF"/>
        <color rgb="FF63BE7B"/>
      </colorScale>
    </cfRule>
    <cfRule type="colorScale" priority="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E60:DE62">
    <cfRule type="cellIs" dxfId="1382" priority="362" operator="greaterThan">
      <formula>1</formula>
    </cfRule>
  </conditionalFormatting>
  <conditionalFormatting sqref="DF5:DF59">
    <cfRule type="colorScale" priority="838">
      <colorScale>
        <cfvo type="min"/>
        <cfvo type="max"/>
        <color rgb="FFFCFCFF"/>
        <color rgb="FF63BE7B"/>
      </colorScale>
    </cfRule>
    <cfRule type="colorScale" priority="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F60:DF62">
    <cfRule type="colorScale" priority="365">
      <colorScale>
        <cfvo type="min"/>
        <cfvo type="max"/>
        <color rgb="FFFCFCFF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2:DG3">
    <cfRule type="containsText" dxfId="1381" priority="697" operator="containsText" text=" ">
      <formula>NOT(ISERROR(SEARCH(" ",DG2)))</formula>
    </cfRule>
    <cfRule type="containsText" dxfId="1380" priority="698" operator="containsText" text=" ">
      <formula>NOT(ISERROR(SEARCH(" ",DG2)))</formula>
    </cfRule>
  </conditionalFormatting>
  <conditionalFormatting sqref="DG7:DG59">
    <cfRule type="colorScale" priority="692">
      <colorScale>
        <cfvo type="min"/>
        <cfvo type="max"/>
        <color rgb="FFFCFCFF"/>
        <color rgb="FF63BE7B"/>
      </colorScale>
    </cfRule>
    <cfRule type="colorScale" priority="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60:DG62">
    <cfRule type="colorScale" priority="337">
      <colorScale>
        <cfvo type="min"/>
        <cfvo type="max"/>
        <color rgb="FFFCFCFF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63:DG1048576">
    <cfRule type="containsText" dxfId="1379" priority="695" operator="containsText" text=" ">
      <formula>NOT(ISERROR(SEARCH(" ",DG63)))</formula>
    </cfRule>
    <cfRule type="containsText" dxfId="1378" priority="696" operator="containsText" text=" ">
      <formula>NOT(ISERROR(SEARCH(" ",DG63)))</formula>
    </cfRule>
  </conditionalFormatting>
  <conditionalFormatting sqref="DH60:DH62">
    <cfRule type="cellIs" dxfId="1377" priority="314" operator="greaterThan">
      <formula>1</formula>
    </cfRule>
    <cfRule type="colorScale" priority="315">
      <colorScale>
        <cfvo type="min"/>
        <cfvo type="max"/>
        <color rgb="FFFCFCFF"/>
        <color rgb="FF63BE7B"/>
      </colorScale>
    </cfRule>
    <cfRule type="colorScale" priority="3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5:DI59">
    <cfRule type="colorScale" priority="510">
      <colorScale>
        <cfvo type="min"/>
        <cfvo type="max"/>
        <color rgb="FFFCFCFF"/>
        <color rgb="FF63BE7B"/>
      </colorScale>
    </cfRule>
    <cfRule type="colorScale" priority="5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0:DI62">
    <cfRule type="colorScale" priority="261">
      <colorScale>
        <cfvo type="min"/>
        <cfvo type="max"/>
        <color rgb="FFFCFCFF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2:DJ3">
    <cfRule type="containsText" dxfId="1376" priority="690" operator="containsText" text=" ">
      <formula>NOT(ISERROR(SEARCH(" ",DJ2)))</formula>
    </cfRule>
    <cfRule type="containsText" dxfId="1375" priority="691" operator="containsText" text=" ">
      <formula>NOT(ISERROR(SEARCH(" ",DJ2)))</formula>
    </cfRule>
  </conditionalFormatting>
  <conditionalFormatting sqref="DJ6:DJ59">
    <cfRule type="colorScale" priority="508">
      <colorScale>
        <cfvo type="min"/>
        <cfvo type="max"/>
        <color rgb="FFFCFCFF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60:DJ62">
    <cfRule type="colorScale" priority="259">
      <colorScale>
        <cfvo type="min"/>
        <cfvo type="max"/>
        <color rgb="FFFCFCFF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63:DJ1048576">
    <cfRule type="containsText" dxfId="1374" priority="688" operator="containsText" text=" ">
      <formula>NOT(ISERROR(SEARCH(" ",DJ63)))</formula>
    </cfRule>
    <cfRule type="containsText" dxfId="1373" priority="689" operator="containsText" text=" ">
      <formula>NOT(ISERROR(SEARCH(" ",DJ63)))</formula>
    </cfRule>
  </conditionalFormatting>
  <conditionalFormatting sqref="DK60:DK62">
    <cfRule type="cellIs" dxfId="1372" priority="311" operator="greaterThan">
      <formula>1</formula>
    </cfRule>
    <cfRule type="colorScale" priority="312">
      <colorScale>
        <cfvo type="min"/>
        <cfvo type="max"/>
        <color rgb="FFFCFCFF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5:DL59">
    <cfRule type="colorScale" priority="506">
      <colorScale>
        <cfvo type="min"/>
        <cfvo type="max"/>
        <color rgb="FFFCFCFF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60:DL62">
    <cfRule type="colorScale" priority="257">
      <colorScale>
        <cfvo type="min"/>
        <cfvo type="max"/>
        <color rgb="FFFCFCFF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2:DM3">
    <cfRule type="containsText" dxfId="1371" priority="683" operator="containsText" text=" ">
      <formula>NOT(ISERROR(SEARCH(" ",DM2)))</formula>
    </cfRule>
    <cfRule type="containsText" dxfId="1370" priority="684" operator="containsText" text=" ">
      <formula>NOT(ISERROR(SEARCH(" ",DM2)))</formula>
    </cfRule>
  </conditionalFormatting>
  <conditionalFormatting sqref="DM5:DM59">
    <cfRule type="colorScale" priority="504">
      <colorScale>
        <cfvo type="min"/>
        <cfvo type="max"/>
        <color rgb="FFFCFCFF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60:DM62">
    <cfRule type="colorScale" priority="255">
      <colorScale>
        <cfvo type="min"/>
        <cfvo type="max"/>
        <color rgb="FFFCFCFF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63:DM1048576">
    <cfRule type="containsText" dxfId="1369" priority="681" operator="containsText" text=" ">
      <formula>NOT(ISERROR(SEARCH(" ",DM63)))</formula>
    </cfRule>
    <cfRule type="containsText" dxfId="1368" priority="682" operator="containsText" text=" ">
      <formula>NOT(ISERROR(SEARCH(" ",DM63)))</formula>
    </cfRule>
  </conditionalFormatting>
  <conditionalFormatting sqref="DN60:DN62">
    <cfRule type="cellIs" dxfId="1367" priority="308" operator="greaterThan">
      <formula>1</formula>
    </cfRule>
    <cfRule type="colorScale" priority="309">
      <colorScale>
        <cfvo type="min"/>
        <cfvo type="max"/>
        <color rgb="FFFCFCFF"/>
        <color rgb="FF63BE7B"/>
      </colorScale>
    </cfRule>
    <cfRule type="colorScale" priority="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5:DO59">
    <cfRule type="colorScale" priority="502">
      <colorScale>
        <cfvo type="min"/>
        <cfvo type="max"/>
        <color rgb="FFFCFCFF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60:DO62">
    <cfRule type="colorScale" priority="253">
      <colorScale>
        <cfvo type="min"/>
        <cfvo type="max"/>
        <color rgb="FFFCFCFF"/>
        <color rgb="FF63BE7B"/>
      </colorScale>
    </cfRule>
    <cfRule type="colorScale" priority="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2:DP3">
    <cfRule type="containsText" dxfId="1366" priority="676" operator="containsText" text=" ">
      <formula>NOT(ISERROR(SEARCH(" ",DP2)))</formula>
    </cfRule>
    <cfRule type="containsText" dxfId="1365" priority="677" operator="containsText" text=" ">
      <formula>NOT(ISERROR(SEARCH(" ",DP2)))</formula>
    </cfRule>
  </conditionalFormatting>
  <conditionalFormatting sqref="DP5:DP59">
    <cfRule type="colorScale" priority="500">
      <colorScale>
        <cfvo type="min"/>
        <cfvo type="max"/>
        <color rgb="FFFCFCFF"/>
        <color rgb="FF63BE7B"/>
      </colorScale>
    </cfRule>
    <cfRule type="colorScale" priority="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60:DP62">
    <cfRule type="colorScale" priority="251">
      <colorScale>
        <cfvo type="min"/>
        <cfvo type="max"/>
        <color rgb="FFFCFCFF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63:DP1048576">
    <cfRule type="containsText" dxfId="1364" priority="674" operator="containsText" text=" ">
      <formula>NOT(ISERROR(SEARCH(" ",DP63)))</formula>
    </cfRule>
    <cfRule type="containsText" dxfId="1363" priority="675" operator="containsText" text=" ">
      <formula>NOT(ISERROR(SEARCH(" ",DP63)))</formula>
    </cfRule>
  </conditionalFormatting>
  <conditionalFormatting sqref="DQ60:DQ62">
    <cfRule type="cellIs" dxfId="1362" priority="305" operator="greaterThan">
      <formula>1</formula>
    </cfRule>
    <cfRule type="colorScale" priority="306">
      <colorScale>
        <cfvo type="min"/>
        <cfvo type="max"/>
        <color rgb="FFFCFCFF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5:DR59">
    <cfRule type="colorScale" priority="498">
      <colorScale>
        <cfvo type="min"/>
        <cfvo type="max"/>
        <color rgb="FFFCFCFF"/>
        <color rgb="FF63BE7B"/>
      </colorScale>
    </cfRule>
    <cfRule type="colorScale" priority="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0:DR62">
    <cfRule type="colorScale" priority="249">
      <colorScale>
        <cfvo type="min"/>
        <cfvo type="max"/>
        <color rgb="FFFCFCFF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2:DS3">
    <cfRule type="containsText" dxfId="1361" priority="669" operator="containsText" text=" ">
      <formula>NOT(ISERROR(SEARCH(" ",DS2)))</formula>
    </cfRule>
    <cfRule type="containsText" dxfId="1360" priority="670" operator="containsText" text=" ">
      <formula>NOT(ISERROR(SEARCH(" ",DS2)))</formula>
    </cfRule>
  </conditionalFormatting>
  <conditionalFormatting sqref="DS5:DS59">
    <cfRule type="colorScale" priority="496">
      <colorScale>
        <cfvo type="min"/>
        <cfvo type="max"/>
        <color rgb="FFFCFCFF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60:DS62">
    <cfRule type="colorScale" priority="247">
      <colorScale>
        <cfvo type="min"/>
        <cfvo type="max"/>
        <color rgb="FFFCFCFF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63:DS1048576">
    <cfRule type="containsText" dxfId="1359" priority="667" operator="containsText" text=" ">
      <formula>NOT(ISERROR(SEARCH(" ",DS63)))</formula>
    </cfRule>
    <cfRule type="containsText" dxfId="1358" priority="668" operator="containsText" text=" ">
      <formula>NOT(ISERROR(SEARCH(" ",DS63)))</formula>
    </cfRule>
  </conditionalFormatting>
  <conditionalFormatting sqref="DT60:DT62">
    <cfRule type="cellIs" dxfId="1357" priority="302" operator="greaterThan">
      <formula>1</formula>
    </cfRule>
    <cfRule type="colorScale" priority="303">
      <colorScale>
        <cfvo type="min"/>
        <cfvo type="max"/>
        <color rgb="FFFCFCFF"/>
        <color rgb="FF63BE7B"/>
      </colorScale>
    </cfRule>
    <cfRule type="colorScale" priority="3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5:DU59">
    <cfRule type="colorScale" priority="494">
      <colorScale>
        <cfvo type="min"/>
        <cfvo type="max"/>
        <color rgb="FFFCFCFF"/>
        <color rgb="FF63BE7B"/>
      </colorScale>
    </cfRule>
    <cfRule type="colorScale" priority="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60:DU62">
    <cfRule type="colorScale" priority="245">
      <colorScale>
        <cfvo type="min"/>
        <cfvo type="max"/>
        <color rgb="FFFCFCFF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2:DV3">
    <cfRule type="containsText" dxfId="1356" priority="662" operator="containsText" text=" ">
      <formula>NOT(ISERROR(SEARCH(" ",DV2)))</formula>
    </cfRule>
    <cfRule type="containsText" dxfId="1355" priority="663" operator="containsText" text=" ">
      <formula>NOT(ISERROR(SEARCH(" ",DV2)))</formula>
    </cfRule>
  </conditionalFormatting>
  <conditionalFormatting sqref="DV5:DV59">
    <cfRule type="colorScale" priority="492">
      <colorScale>
        <cfvo type="min"/>
        <cfvo type="max"/>
        <color rgb="FFFCFCFF"/>
        <color rgb="FF63BE7B"/>
      </colorScale>
    </cfRule>
    <cfRule type="colorScale" priority="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60:DV62">
    <cfRule type="colorScale" priority="243">
      <colorScale>
        <cfvo type="min"/>
        <cfvo type="max"/>
        <color rgb="FFFCFCFF"/>
        <color rgb="FF63BE7B"/>
      </colorScale>
    </cfRule>
    <cfRule type="colorScale" priority="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63:DV1048576">
    <cfRule type="containsText" dxfId="1354" priority="660" operator="containsText" text=" ">
      <formula>NOT(ISERROR(SEARCH(" ",DV63)))</formula>
    </cfRule>
    <cfRule type="containsText" dxfId="1353" priority="661" operator="containsText" text=" ">
      <formula>NOT(ISERROR(SEARCH(" ",DV63)))</formula>
    </cfRule>
  </conditionalFormatting>
  <conditionalFormatting sqref="DW60:DW62">
    <cfRule type="cellIs" dxfId="1352" priority="299" operator="greaterThan">
      <formula>1</formula>
    </cfRule>
    <cfRule type="colorScale" priority="300">
      <colorScale>
        <cfvo type="min"/>
        <cfvo type="max"/>
        <color rgb="FFFCFCFF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5:DX59">
    <cfRule type="colorScale" priority="490">
      <colorScale>
        <cfvo type="min"/>
        <cfvo type="max"/>
        <color rgb="FFFCFCFF"/>
        <color rgb="FF63BE7B"/>
      </colorScale>
    </cfRule>
    <cfRule type="colorScale" priority="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60:DX62">
    <cfRule type="colorScale" priority="241">
      <colorScale>
        <cfvo type="min"/>
        <cfvo type="max"/>
        <color rgb="FFFCFCFF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:DY3">
    <cfRule type="containsText" dxfId="1351" priority="655" operator="containsText" text=" ">
      <formula>NOT(ISERROR(SEARCH(" ",DY2)))</formula>
    </cfRule>
    <cfRule type="containsText" dxfId="1350" priority="656" operator="containsText" text=" ">
      <formula>NOT(ISERROR(SEARCH(" ",DY2)))</formula>
    </cfRule>
  </conditionalFormatting>
  <conditionalFormatting sqref="DY5:DY59">
    <cfRule type="colorScale" priority="488">
      <colorScale>
        <cfvo type="min"/>
        <cfvo type="max"/>
        <color rgb="FFFCFCFF"/>
        <color rgb="FF63BE7B"/>
      </colorScale>
    </cfRule>
    <cfRule type="colorScale" priority="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0:DY62">
    <cfRule type="colorScale" priority="239">
      <colorScale>
        <cfvo type="min"/>
        <cfvo type="max"/>
        <color rgb="FFFCFCFF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3:DY1048576">
    <cfRule type="containsText" dxfId="1349" priority="653" operator="containsText" text=" ">
      <formula>NOT(ISERROR(SEARCH(" ",DY63)))</formula>
    </cfRule>
    <cfRule type="containsText" dxfId="1348" priority="654" operator="containsText" text=" ">
      <formula>NOT(ISERROR(SEARCH(" ",DY63)))</formula>
    </cfRule>
  </conditionalFormatting>
  <conditionalFormatting sqref="DZ60:DZ62">
    <cfRule type="cellIs" dxfId="1347" priority="296" operator="greaterThan">
      <formula>1</formula>
    </cfRule>
    <cfRule type="colorScale" priority="297">
      <colorScale>
        <cfvo type="min"/>
        <cfvo type="max"/>
        <color rgb="FFFCFCFF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5:EA59">
    <cfRule type="colorScale" priority="486">
      <colorScale>
        <cfvo type="min"/>
        <cfvo type="max"/>
        <color rgb="FFFCFCFF"/>
        <color rgb="FF63BE7B"/>
      </colorScale>
    </cfRule>
    <cfRule type="colorScale" priority="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60:EA62">
    <cfRule type="colorScale" priority="237">
      <colorScale>
        <cfvo type="min"/>
        <cfvo type="max"/>
        <color rgb="FFFCFCFF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2:EB3">
    <cfRule type="containsText" dxfId="1346" priority="648" operator="containsText" text=" ">
      <formula>NOT(ISERROR(SEARCH(" ",EB2)))</formula>
    </cfRule>
    <cfRule type="containsText" dxfId="1345" priority="649" operator="containsText" text=" ">
      <formula>NOT(ISERROR(SEARCH(" ",EB2)))</formula>
    </cfRule>
  </conditionalFormatting>
  <conditionalFormatting sqref="EB5:EB59">
    <cfRule type="colorScale" priority="484">
      <colorScale>
        <cfvo type="min"/>
        <cfvo type="max"/>
        <color rgb="FFFCFCFF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60:EB62">
    <cfRule type="colorScale" priority="235">
      <colorScale>
        <cfvo type="min"/>
        <cfvo type="max"/>
        <color rgb="FFFCFCFF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63:EB1048576">
    <cfRule type="containsText" dxfId="1344" priority="646" operator="containsText" text=" ">
      <formula>NOT(ISERROR(SEARCH(" ",EB63)))</formula>
    </cfRule>
    <cfRule type="containsText" dxfId="1343" priority="647" operator="containsText" text=" ">
      <formula>NOT(ISERROR(SEARCH(" ",EB63)))</formula>
    </cfRule>
  </conditionalFormatting>
  <conditionalFormatting sqref="EC60:EC62">
    <cfRule type="cellIs" dxfId="1342" priority="293" operator="greaterThan">
      <formula>1</formula>
    </cfRule>
    <cfRule type="colorScale" priority="294">
      <colorScale>
        <cfvo type="min"/>
        <cfvo type="max"/>
        <color rgb="FFFCFCFF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5:ED59">
    <cfRule type="colorScale" priority="482">
      <colorScale>
        <cfvo type="min"/>
        <cfvo type="max"/>
        <color rgb="FFFCFCFF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0:ED62">
    <cfRule type="colorScale" priority="233">
      <colorScale>
        <cfvo type="min"/>
        <cfvo type="max"/>
        <color rgb="FFFCFCFF"/>
        <color rgb="FF63BE7B"/>
      </colorScale>
    </cfRule>
    <cfRule type="colorScale" priority="2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2:EE3">
    <cfRule type="containsText" dxfId="1341" priority="641" operator="containsText" text=" ">
      <formula>NOT(ISERROR(SEARCH(" ",EE2)))</formula>
    </cfRule>
    <cfRule type="containsText" dxfId="1340" priority="642" operator="containsText" text=" ">
      <formula>NOT(ISERROR(SEARCH(" ",EE2)))</formula>
    </cfRule>
  </conditionalFormatting>
  <conditionalFormatting sqref="EE5:EE59">
    <cfRule type="colorScale" priority="480">
      <colorScale>
        <cfvo type="min"/>
        <cfvo type="max"/>
        <color rgb="FFFCFCFF"/>
        <color rgb="FF63BE7B"/>
      </colorScale>
    </cfRule>
    <cfRule type="colorScale" priority="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60:EE62">
    <cfRule type="colorScale" priority="231">
      <colorScale>
        <cfvo type="min"/>
        <cfvo type="max"/>
        <color rgb="FFFCFCFF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63:EE1048576">
    <cfRule type="containsText" dxfId="1339" priority="639" operator="containsText" text=" ">
      <formula>NOT(ISERROR(SEARCH(" ",EE63)))</formula>
    </cfRule>
    <cfRule type="containsText" dxfId="1338" priority="640" operator="containsText" text=" ">
      <formula>NOT(ISERROR(SEARCH(" ",EE63)))</formula>
    </cfRule>
  </conditionalFormatting>
  <conditionalFormatting sqref="EF60:EF62">
    <cfRule type="cellIs" dxfId="1337" priority="290" operator="greaterThan">
      <formula>1</formula>
    </cfRule>
    <cfRule type="colorScale" priority="291">
      <colorScale>
        <cfvo type="min"/>
        <cfvo type="max"/>
        <color rgb="FFFCFCFF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5:EG59">
    <cfRule type="colorScale" priority="822">
      <colorScale>
        <cfvo type="min"/>
        <cfvo type="max"/>
        <color rgb="FFFCFCFF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0:EG62">
    <cfRule type="colorScale" priority="363">
      <colorScale>
        <cfvo type="min"/>
        <cfvo type="max"/>
        <color rgb="FFFCFCFF"/>
        <color rgb="FF63BE7B"/>
      </colorScale>
    </cfRule>
    <cfRule type="colorScale" priority="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:EH3">
    <cfRule type="containsText" dxfId="1336" priority="634" operator="containsText" text=" ">
      <formula>NOT(ISERROR(SEARCH(" ",EH2)))</formula>
    </cfRule>
    <cfRule type="containsText" dxfId="1335" priority="635" operator="containsText" text=" ">
      <formula>NOT(ISERROR(SEARCH(" ",EH2)))</formula>
    </cfRule>
  </conditionalFormatting>
  <conditionalFormatting sqref="EH5:EH59">
    <cfRule type="colorScale" priority="629">
      <colorScale>
        <cfvo type="min"/>
        <cfvo type="max"/>
        <color rgb="FFFCFCFF"/>
        <color rgb="FF63BE7B"/>
      </colorScale>
    </cfRule>
    <cfRule type="colorScale" priority="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60:EH62">
    <cfRule type="colorScale" priority="335">
      <colorScale>
        <cfvo type="min"/>
        <cfvo type="max"/>
        <color rgb="FFFCFCFF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63:EH1048576">
    <cfRule type="containsText" dxfId="1334" priority="632" operator="containsText" text=" ">
      <formula>NOT(ISERROR(SEARCH(" ",EH63)))</formula>
    </cfRule>
    <cfRule type="containsText" dxfId="1333" priority="633" operator="containsText" text=" ">
      <formula>NOT(ISERROR(SEARCH(" ",EH63)))</formula>
    </cfRule>
  </conditionalFormatting>
  <conditionalFormatting sqref="EI60:EI62">
    <cfRule type="cellIs" dxfId="1332" priority="359" operator="greaterThan">
      <formula>1</formula>
    </cfRule>
    <cfRule type="colorScale" priority="360">
      <colorScale>
        <cfvo type="min"/>
        <cfvo type="max"/>
        <color rgb="FFFCFCFF"/>
        <color rgb="FF63BE7B"/>
      </colorScale>
    </cfRule>
    <cfRule type="colorScale" priority="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5:EJ59">
    <cfRule type="colorScale" priority="715">
      <colorScale>
        <cfvo type="min"/>
        <cfvo type="max"/>
        <color rgb="FFFCFCFF"/>
        <color rgb="FF63BE7B"/>
      </colorScale>
    </cfRule>
    <cfRule type="colorScale" priority="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0:EJ62">
    <cfRule type="colorScale" priority="355">
      <colorScale>
        <cfvo type="min"/>
        <cfvo type="max"/>
        <color rgb="FFFCFCFF"/>
        <color rgb="FF63BE7B"/>
      </colorScale>
    </cfRule>
    <cfRule type="colorScale" priority="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2:EK3">
    <cfRule type="containsText" dxfId="1331" priority="627" operator="containsText" text=" ">
      <formula>NOT(ISERROR(SEARCH(" ",EK2)))</formula>
    </cfRule>
    <cfRule type="containsText" dxfId="1330" priority="628" operator="containsText" text=" ">
      <formula>NOT(ISERROR(SEARCH(" ",EK2)))</formula>
    </cfRule>
  </conditionalFormatting>
  <conditionalFormatting sqref="EK5:EK59">
    <cfRule type="colorScale" priority="622">
      <colorScale>
        <cfvo type="min"/>
        <cfvo type="max"/>
        <color rgb="FFFCFCFF"/>
        <color rgb="FF63BE7B"/>
      </colorScale>
    </cfRule>
    <cfRule type="colorScale" priority="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60:EK62">
    <cfRule type="colorScale" priority="333">
      <colorScale>
        <cfvo type="min"/>
        <cfvo type="max"/>
        <color rgb="FFFCFCFF"/>
        <color rgb="FF63BE7B"/>
      </colorScale>
    </cfRule>
    <cfRule type="colorScale" priority="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63:EK1048576">
    <cfRule type="containsText" dxfId="1329" priority="625" operator="containsText" text=" ">
      <formula>NOT(ISERROR(SEARCH(" ",EK63)))</formula>
    </cfRule>
    <cfRule type="containsText" dxfId="1328" priority="626" operator="containsText" text=" ">
      <formula>NOT(ISERROR(SEARCH(" ",EK63)))</formula>
    </cfRule>
  </conditionalFormatting>
  <conditionalFormatting sqref="EL60:EL62">
    <cfRule type="cellIs" dxfId="1327" priority="287" operator="greaterThan">
      <formula>1</formula>
    </cfRule>
    <cfRule type="colorScale" priority="288">
      <colorScale>
        <cfvo type="min"/>
        <cfvo type="max"/>
        <color rgb="FFFCFCFF"/>
        <color rgb="FF63BE7B"/>
      </colorScale>
    </cfRule>
    <cfRule type="colorScale" priority="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5:EM59">
    <cfRule type="colorScale" priority="713">
      <colorScale>
        <cfvo type="min"/>
        <cfvo type="max"/>
        <color rgb="FFFCFCFF"/>
        <color rgb="FF63BE7B"/>
      </colorScale>
    </cfRule>
    <cfRule type="colorScale" priority="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0:EM62">
    <cfRule type="colorScale" priority="353">
      <colorScale>
        <cfvo type="min"/>
        <cfvo type="max"/>
        <color rgb="FFFCFCFF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2:EN3">
    <cfRule type="containsText" dxfId="1326" priority="620" operator="containsText" text=" ">
      <formula>NOT(ISERROR(SEARCH(" ",EN2)))</formula>
    </cfRule>
    <cfRule type="containsText" dxfId="1325" priority="621" operator="containsText" text=" ">
      <formula>NOT(ISERROR(SEARCH(" ",EN2)))</formula>
    </cfRule>
  </conditionalFormatting>
  <conditionalFormatting sqref="EN5:EN59">
    <cfRule type="colorScale" priority="615">
      <colorScale>
        <cfvo type="min"/>
        <cfvo type="max"/>
        <color rgb="FFFCFCFF"/>
        <color rgb="FF63BE7B"/>
      </colorScale>
    </cfRule>
    <cfRule type="colorScale" priority="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60:EN62">
    <cfRule type="colorScale" priority="331">
      <colorScale>
        <cfvo type="min"/>
        <cfvo type="max"/>
        <color rgb="FFFCFCFF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63:EN1048576">
    <cfRule type="containsText" dxfId="1324" priority="618" operator="containsText" text=" ">
      <formula>NOT(ISERROR(SEARCH(" ",EN63)))</formula>
    </cfRule>
    <cfRule type="containsText" dxfId="1323" priority="619" operator="containsText" text=" ">
      <formula>NOT(ISERROR(SEARCH(" ",EN63)))</formula>
    </cfRule>
  </conditionalFormatting>
  <conditionalFormatting sqref="EO60:EO62">
    <cfRule type="cellIs" dxfId="1322" priority="284" operator="greaterThan">
      <formula>1</formula>
    </cfRule>
    <cfRule type="colorScale" priority="285">
      <colorScale>
        <cfvo type="min"/>
        <cfvo type="max"/>
        <color rgb="FFFCFCFF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5:EP59">
    <cfRule type="colorScale" priority="711">
      <colorScale>
        <cfvo type="min"/>
        <cfvo type="max"/>
        <color rgb="FFFCFCFF"/>
        <color rgb="FF63BE7B"/>
      </colorScale>
    </cfRule>
    <cfRule type="colorScale" priority="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60:EP62">
    <cfRule type="colorScale" priority="351">
      <colorScale>
        <cfvo type="min"/>
        <cfvo type="max"/>
        <color rgb="FFFCFCFF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:EQ3">
    <cfRule type="containsText" dxfId="1321" priority="613" operator="containsText" text=" ">
      <formula>NOT(ISERROR(SEARCH(" ",EQ2)))</formula>
    </cfRule>
    <cfRule type="containsText" dxfId="1320" priority="614" operator="containsText" text=" ">
      <formula>NOT(ISERROR(SEARCH(" ",EQ2)))</formula>
    </cfRule>
  </conditionalFormatting>
  <conditionalFormatting sqref="EQ5:EQ59">
    <cfRule type="colorScale" priority="608">
      <colorScale>
        <cfvo type="min"/>
        <cfvo type="max"/>
        <color rgb="FFFCFCFF"/>
        <color rgb="FF63BE7B"/>
      </colorScale>
    </cfRule>
    <cfRule type="colorScale" priority="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0:EQ62">
    <cfRule type="colorScale" priority="329">
      <colorScale>
        <cfvo type="min"/>
        <cfvo type="max"/>
        <color rgb="FFFCFCFF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3:EQ1048576">
    <cfRule type="containsText" dxfId="1319" priority="611" operator="containsText" text=" ">
      <formula>NOT(ISERROR(SEARCH(" ",EQ63)))</formula>
    </cfRule>
    <cfRule type="containsText" dxfId="1318" priority="612" operator="containsText" text=" ">
      <formula>NOT(ISERROR(SEARCH(" ",EQ63)))</formula>
    </cfRule>
  </conditionalFormatting>
  <conditionalFormatting sqref="ER60:ER62">
    <cfRule type="cellIs" dxfId="1317" priority="281" operator="greaterThan">
      <formula>1</formula>
    </cfRule>
    <cfRule type="colorScale" priority="282">
      <colorScale>
        <cfvo type="min"/>
        <cfvo type="max"/>
        <color rgb="FFFCFCFF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5:ES59">
    <cfRule type="colorScale" priority="709">
      <colorScale>
        <cfvo type="min"/>
        <cfvo type="max"/>
        <color rgb="FFFCFCFF"/>
        <color rgb="FF63BE7B"/>
      </colorScale>
    </cfRule>
    <cfRule type="colorScale" priority="7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60:ES62">
    <cfRule type="colorScale" priority="349">
      <colorScale>
        <cfvo type="min"/>
        <cfvo type="max"/>
        <color rgb="FFFCFCFF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:ET3">
    <cfRule type="containsText" dxfId="1316" priority="606" operator="containsText" text=" ">
      <formula>NOT(ISERROR(SEARCH(" ",ET2)))</formula>
    </cfRule>
    <cfRule type="containsText" dxfId="1315" priority="607" operator="containsText" text=" ">
      <formula>NOT(ISERROR(SEARCH(" ",ET2)))</formula>
    </cfRule>
  </conditionalFormatting>
  <conditionalFormatting sqref="ET5:ET59">
    <cfRule type="colorScale" priority="601">
      <colorScale>
        <cfvo type="min"/>
        <cfvo type="max"/>
        <color rgb="FFFCFCFF"/>
        <color rgb="FF63BE7B"/>
      </colorScale>
    </cfRule>
    <cfRule type="colorScale" priority="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0:ET62">
    <cfRule type="colorScale" priority="327">
      <colorScale>
        <cfvo type="min"/>
        <cfvo type="max"/>
        <color rgb="FFFCFCFF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3:ET1048576">
    <cfRule type="containsText" dxfId="1314" priority="604" operator="containsText" text=" ">
      <formula>NOT(ISERROR(SEARCH(" ",ET63)))</formula>
    </cfRule>
    <cfRule type="containsText" dxfId="1313" priority="605" operator="containsText" text=" ">
      <formula>NOT(ISERROR(SEARCH(" ",ET63)))</formula>
    </cfRule>
  </conditionalFormatting>
  <conditionalFormatting sqref="EU60:EU62">
    <cfRule type="cellIs" dxfId="1312" priority="278" operator="greaterThan">
      <formula>1</formula>
    </cfRule>
    <cfRule type="colorScale" priority="279">
      <colorScale>
        <cfvo type="min"/>
        <cfvo type="max"/>
        <color rgb="FFFCFCFF"/>
        <color rgb="FF63BE7B"/>
      </colorScale>
    </cfRule>
    <cfRule type="colorScale" priority="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5:EV59">
    <cfRule type="colorScale" priority="707">
      <colorScale>
        <cfvo type="min"/>
        <cfvo type="max"/>
        <color rgb="FFFCFCFF"/>
        <color rgb="FF63BE7B"/>
      </colorScale>
    </cfRule>
    <cfRule type="colorScale" priority="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0:EV62">
    <cfRule type="colorScale" priority="347">
      <colorScale>
        <cfvo type="min"/>
        <cfvo type="max"/>
        <color rgb="FFFCFCFF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2:EW3">
    <cfRule type="containsText" dxfId="1311" priority="599" operator="containsText" text=" ">
      <formula>NOT(ISERROR(SEARCH(" ",EW2)))</formula>
    </cfRule>
    <cfRule type="containsText" dxfId="1310" priority="600" operator="containsText" text=" ">
      <formula>NOT(ISERROR(SEARCH(" ",EW2)))</formula>
    </cfRule>
  </conditionalFormatting>
  <conditionalFormatting sqref="EW5:EW59">
    <cfRule type="colorScale" priority="594">
      <colorScale>
        <cfvo type="min"/>
        <cfvo type="max"/>
        <color rgb="FFFCFCFF"/>
        <color rgb="FF63BE7B"/>
      </colorScale>
    </cfRule>
    <cfRule type="colorScale" priority="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0:EW62">
    <cfRule type="colorScale" priority="325">
      <colorScale>
        <cfvo type="min"/>
        <cfvo type="max"/>
        <color rgb="FFFCFCFF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3:EW1048576">
    <cfRule type="containsText" dxfId="1309" priority="597" operator="containsText" text=" ">
      <formula>NOT(ISERROR(SEARCH(" ",EW63)))</formula>
    </cfRule>
    <cfRule type="containsText" dxfId="1308" priority="598" operator="containsText" text=" ">
      <formula>NOT(ISERROR(SEARCH(" ",EW63)))</formula>
    </cfRule>
  </conditionalFormatting>
  <conditionalFormatting sqref="EX60:EX62">
    <cfRule type="cellIs" dxfId="1307" priority="275" operator="greaterThan">
      <formula>1</formula>
    </cfRule>
    <cfRule type="colorScale" priority="276">
      <colorScale>
        <cfvo type="min"/>
        <cfvo type="max"/>
        <color rgb="FFFCFCFF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5:EY59">
    <cfRule type="colorScale" priority="705">
      <colorScale>
        <cfvo type="min"/>
        <cfvo type="max"/>
        <color rgb="FFFCFCFF"/>
        <color rgb="FF63BE7B"/>
      </colorScale>
    </cfRule>
    <cfRule type="colorScale" priority="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0:EY62">
    <cfRule type="colorScale" priority="345">
      <colorScale>
        <cfvo type="min"/>
        <cfvo type="max"/>
        <color rgb="FFFCFCFF"/>
        <color rgb="FF63BE7B"/>
      </colorScale>
    </cfRule>
    <cfRule type="colorScale" priority="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2:EZ3">
    <cfRule type="containsText" dxfId="1306" priority="592" operator="containsText" text=" ">
      <formula>NOT(ISERROR(SEARCH(" ",EZ2)))</formula>
    </cfRule>
    <cfRule type="containsText" dxfId="1305" priority="593" operator="containsText" text=" ">
      <formula>NOT(ISERROR(SEARCH(" ",EZ2)))</formula>
    </cfRule>
  </conditionalFormatting>
  <conditionalFormatting sqref="EZ5:EZ59">
    <cfRule type="colorScale" priority="587">
      <colorScale>
        <cfvo type="min"/>
        <cfvo type="max"/>
        <color rgb="FFFCFCFF"/>
        <color rgb="FF63BE7B"/>
      </colorScale>
    </cfRule>
    <cfRule type="colorScale" priority="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60:EZ62">
    <cfRule type="colorScale" priority="323">
      <colorScale>
        <cfvo type="min"/>
        <cfvo type="max"/>
        <color rgb="FFFCFCFF"/>
        <color rgb="FF63BE7B"/>
      </colorScale>
    </cfRule>
    <cfRule type="colorScale" priority="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63:EZ1048576">
    <cfRule type="containsText" dxfId="1304" priority="590" operator="containsText" text=" ">
      <formula>NOT(ISERROR(SEARCH(" ",EZ63)))</formula>
    </cfRule>
    <cfRule type="containsText" dxfId="1303" priority="591" operator="containsText" text=" ">
      <formula>NOT(ISERROR(SEARCH(" ",EZ63)))</formula>
    </cfRule>
  </conditionalFormatting>
  <conditionalFormatting sqref="FA60:FA62">
    <cfRule type="cellIs" dxfId="1302" priority="272" operator="greaterThan">
      <formula>1</formula>
    </cfRule>
    <cfRule type="colorScale" priority="273">
      <colorScale>
        <cfvo type="min"/>
        <cfvo type="max"/>
        <color rgb="FFFCFCFF"/>
        <color rgb="FF63BE7B"/>
      </colorScale>
    </cfRule>
    <cfRule type="colorScale" priority="2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5:FB59">
    <cfRule type="colorScale" priority="703">
      <colorScale>
        <cfvo type="min"/>
        <cfvo type="max"/>
        <color rgb="FFFCFCFF"/>
        <color rgb="FF63BE7B"/>
      </colorScale>
    </cfRule>
    <cfRule type="colorScale" priority="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0:FB62">
    <cfRule type="colorScale" priority="343">
      <colorScale>
        <cfvo type="min"/>
        <cfvo type="max"/>
        <color rgb="FFFCFCFF"/>
        <color rgb="FF63BE7B"/>
      </colorScale>
    </cfRule>
    <cfRule type="colorScale" priority="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2:FC3">
    <cfRule type="containsText" dxfId="1301" priority="585" operator="containsText" text=" ">
      <formula>NOT(ISERROR(SEARCH(" ",FC2)))</formula>
    </cfRule>
    <cfRule type="containsText" dxfId="1300" priority="586" operator="containsText" text=" ">
      <formula>NOT(ISERROR(SEARCH(" ",FC2)))</formula>
    </cfRule>
  </conditionalFormatting>
  <conditionalFormatting sqref="FC5:FC59">
    <cfRule type="colorScale" priority="580">
      <colorScale>
        <cfvo type="min"/>
        <cfvo type="max"/>
        <color rgb="FFFCFCFF"/>
        <color rgb="FF63BE7B"/>
      </colorScale>
    </cfRule>
    <cfRule type="colorScale" priority="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60:FC62">
    <cfRule type="colorScale" priority="321">
      <colorScale>
        <cfvo type="min"/>
        <cfvo type="max"/>
        <color rgb="FFFCFCFF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63:FC1048576">
    <cfRule type="containsText" dxfId="1299" priority="583" operator="containsText" text=" ">
      <formula>NOT(ISERROR(SEARCH(" ",FC63)))</formula>
    </cfRule>
    <cfRule type="containsText" dxfId="1298" priority="584" operator="containsText" text=" ">
      <formula>NOT(ISERROR(SEARCH(" ",FC63)))</formula>
    </cfRule>
  </conditionalFormatting>
  <conditionalFormatting sqref="FD60:FD62">
    <cfRule type="cellIs" dxfId="1297" priority="269" operator="greaterThan">
      <formula>1</formula>
    </cfRule>
    <cfRule type="colorScale" priority="270">
      <colorScale>
        <cfvo type="min"/>
        <cfvo type="max"/>
        <color rgb="FFFCFCFF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5:FE59">
    <cfRule type="colorScale" priority="701">
      <colorScale>
        <cfvo type="min"/>
        <cfvo type="max"/>
        <color rgb="FFFCFCFF"/>
        <color rgb="FF63BE7B"/>
      </colorScale>
    </cfRule>
    <cfRule type="colorScale" priority="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60:FE62">
    <cfRule type="colorScale" priority="341">
      <colorScale>
        <cfvo type="min"/>
        <cfvo type="max"/>
        <color rgb="FFFCFCFF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2:FF3">
    <cfRule type="containsText" dxfId="1296" priority="578" operator="containsText" text=" ">
      <formula>NOT(ISERROR(SEARCH(" ",FF2)))</formula>
    </cfRule>
    <cfRule type="containsText" dxfId="1295" priority="579" operator="containsText" text=" ">
      <formula>NOT(ISERROR(SEARCH(" ",FF2)))</formula>
    </cfRule>
  </conditionalFormatting>
  <conditionalFormatting sqref="FF5:FF59">
    <cfRule type="colorScale" priority="573">
      <colorScale>
        <cfvo type="min"/>
        <cfvo type="max"/>
        <color rgb="FFFCFCFF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60:FF62">
    <cfRule type="colorScale" priority="319">
      <colorScale>
        <cfvo type="min"/>
        <cfvo type="max"/>
        <color rgb="FFFCFCFF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63:FF1048576">
    <cfRule type="containsText" dxfId="1294" priority="576" operator="containsText" text=" ">
      <formula>NOT(ISERROR(SEARCH(" ",FF63)))</formula>
    </cfRule>
    <cfRule type="containsText" dxfId="1293" priority="577" operator="containsText" text=" ">
      <formula>NOT(ISERROR(SEARCH(" ",FF63)))</formula>
    </cfRule>
  </conditionalFormatting>
  <conditionalFormatting sqref="FG60:FG62">
    <cfRule type="cellIs" dxfId="1292" priority="266" operator="greaterThan">
      <formula>1</formula>
    </cfRule>
    <cfRule type="colorScale" priority="267">
      <colorScale>
        <cfvo type="min"/>
        <cfvo type="max"/>
        <color rgb="FFFCFCFF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:FH59">
    <cfRule type="colorScale" priority="699">
      <colorScale>
        <cfvo type="min"/>
        <cfvo type="max"/>
        <color rgb="FFFCFCFF"/>
        <color rgb="FF63BE7B"/>
      </colorScale>
    </cfRule>
    <cfRule type="colorScale" priority="7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0:FH62">
    <cfRule type="colorScale" priority="339">
      <colorScale>
        <cfvo type="min"/>
        <cfvo type="max"/>
        <color rgb="FFFCFCFF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:FI3">
    <cfRule type="containsText" dxfId="1291" priority="571" operator="containsText" text=" ">
      <formula>NOT(ISERROR(SEARCH(" ",FI2)))</formula>
    </cfRule>
    <cfRule type="containsText" dxfId="1290" priority="572" operator="containsText" text=" ">
      <formula>NOT(ISERROR(SEARCH(" ",FI2)))</formula>
    </cfRule>
  </conditionalFormatting>
  <conditionalFormatting sqref="FI5:FI59">
    <cfRule type="colorScale" priority="566">
      <colorScale>
        <cfvo type="min"/>
        <cfvo type="max"/>
        <color rgb="FFFCFCFF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0:FI62">
    <cfRule type="colorScale" priority="317">
      <colorScale>
        <cfvo type="min"/>
        <cfvo type="max"/>
        <color rgb="FFFCFCFF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3:FI1048576">
    <cfRule type="containsText" dxfId="1289" priority="569" operator="containsText" text=" ">
      <formula>NOT(ISERROR(SEARCH(" ",FI63)))</formula>
    </cfRule>
    <cfRule type="containsText" dxfId="1288" priority="570" operator="containsText" text=" ">
      <formula>NOT(ISERROR(SEARCH(" ",FI63)))</formula>
    </cfRule>
  </conditionalFormatting>
  <conditionalFormatting sqref="FJ60:FJ62">
    <cfRule type="cellIs" dxfId="1287" priority="263" operator="greaterThan">
      <formula>1</formula>
    </cfRule>
    <cfRule type="colorScale" priority="264">
      <colorScale>
        <cfvo type="min"/>
        <cfvo type="max"/>
        <color rgb="FFFCFCFF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1:AL1 X3 A63:F1048576 BD63:BE1048576 A1:E1 BD1:BE4 H2:I3 H4:J4 H1:J1 H63:J1048576 A4:C4 A2 C2:E2 A3:E3 X63:AA1048576 E4:F4 X4:AA4 Y58:Y59 Z5:AA62 X5:Y6 Y10:Y11 Y15:Y16 Y20:Y21 Y25:Y26 Y30:Y31 Y35:Y36 Y40:Y41 Y45:Y46 Y50:Y51 Y55:Y56 X7:X62">
    <cfRule type="containsText" dxfId="1286" priority="1094" operator="containsText" text=" ">
      <formula>NOT(ISERROR(SEARCH(" ",A1)))</formula>
    </cfRule>
    <cfRule type="containsText" dxfId="1285" priority="1095" operator="containsText" text=" ">
      <formula>NOT(ISERROR(SEARCH(" ",A1)))</formula>
    </cfRule>
  </conditionalFormatting>
  <conditionalFormatting sqref="BF51:BF54 D6:D25 C39:C48 C52 BF6:BF11 BF21:BF29 BF13:BF19 BF31:BF49 AF1 BG6:BG55 A5:A54 BJ1:BN1 BI6:BM6 BH15:BL15 C6:C29 BC6:BC59 AC1:AC3 BH7:BN9 S5:S25 AC63:AC1048576 AC48:AC54 S48:S54 BA48:BB55 AZ48:AZ54 CC6:CC59 CE6:CE59 AY6:BB25 BX6:CA59 BT6:BV59 D27:D40 S27:S46 AC27:AC44 AY27:AY44 AZ27:BB46 AC5:AC25 D26:J26 AY46:AY59 AC46 T29 T32 T35 T38 T41 T44 T47 T50 T53 T56 T59 T62 C5:D5 AB26:AL26 S26:T26 L26:Q26">
    <cfRule type="containsText" dxfId="1284" priority="1405" operator="containsText" text=" ">
      <formula>NOT(ISERROR(SEARCH(" ",A1)))</formula>
    </cfRule>
    <cfRule type="containsText" dxfId="1283" priority="1406" operator="containsText" text=" ">
      <formula>NOT(ISERROR(SEARCH(" ",A1)))</formula>
    </cfRule>
  </conditionalFormatting>
  <conditionalFormatting sqref="F1 F3">
    <cfRule type="containsText" dxfId="1282" priority="856" operator="containsText" text=" ">
      <formula>NOT(ISERROR(SEARCH(" ",F1)))</formula>
    </cfRule>
    <cfRule type="containsText" dxfId="1281" priority="857" operator="containsText" text=" ">
      <formula>NOT(ISERROR(SEARCH(" ",F1)))</formula>
    </cfRule>
  </conditionalFormatting>
  <conditionalFormatting sqref="AJ1 BN15 BO1:BQ2 BO4:BZ4 BO3:BS3 BO5:CA5 AY63:BC1048576 BH10:BN14 BH16:BN22 BO6:BQ22 L63:W1048576 L2:N2 P2:Q2 L1:Q1 BF63:CA1048576 BO39:BQ59 BH39:BN55 BH23:BH29 BP23:BQ29 BQ30:BQ38 DH63:DI1048576 DK63:DL1048576 DN63:DO1048576 DQ63:DR1048576 DT63:DU1048576 DW63:DX1048576 DZ63:EA1048576 EC63:ED1048576 EF63:EG1048576 EI63:EJ1048576 EL63:EM1048576 EO63:EP1048576 ER63:ES1048576 EU63:EV1048576 EX63:EY1048576 FA63:FB1048576 FD63:FE1048576 FG63:FH1048576 FJ63:XFD1048576 S1:S2 L3:S4">
    <cfRule type="containsText" dxfId="1280" priority="1022" operator="containsText" text=" ">
      <formula>NOT(ISERROR(SEARCH(" ",L1)))</formula>
    </cfRule>
    <cfRule type="containsText" dxfId="1279" priority="1023" operator="containsText" text=" ">
      <formula>NOT(ISERROR(SEARCH(" ",L1)))</formula>
    </cfRule>
  </conditionalFormatting>
  <conditionalFormatting sqref="Y1:AA2">
    <cfRule type="containsText" dxfId="1278" priority="950" operator="containsText" text=" ">
      <formula>NOT(ISERROR(SEARCH(" ",Y1)))</formula>
    </cfRule>
    <cfRule type="containsText" dxfId="1277" priority="951" operator="containsText" text=" ">
      <formula>NOT(ISERROR(SEARCH(" ",Y1)))</formula>
    </cfRule>
  </conditionalFormatting>
  <conditionalFormatting sqref="AF3 AD1:AD2 AD3:AE25 AF6:AF25 AD48:AF55 AD27:AF44 AS4:AT25 AS27:AT44 AT46:AT57 AS46:AS62 AD46:AF46">
    <cfRule type="containsText" dxfId="1276" priority="1403" operator="containsText" text=" ">
      <formula>NOT(ISERROR(SEARCH(" ",AD1)))</formula>
    </cfRule>
    <cfRule type="containsText" dxfId="1275" priority="1404" operator="containsText" text=" ">
      <formula>NOT(ISERROR(SEARCH(" ",AD1)))</formula>
    </cfRule>
  </conditionalFormatting>
  <conditionalFormatting sqref="AG1 AJ4:AJ25 AJ48:AJ59 AJ27:AJ44 AH63:AH1048576 AJ63:AJ1048576 AH27:AH44 AH46:AH58 AJ46 AH1:AH25">
    <cfRule type="containsText" dxfId="1274" priority="1126" operator="containsText" text=" ">
      <formula>NOT(ISERROR(SEARCH(" ",AG1)))</formula>
    </cfRule>
    <cfRule type="containsText" dxfId="1273" priority="1127" operator="containsText" text=" ">
      <formula>NOT(ISERROR(SEARCH(" ",AG1)))</formula>
    </cfRule>
  </conditionalFormatting>
  <conditionalFormatting sqref="AI1 BR1:BS1 BU3:CA3 BU1:BX1 BV2:BW2 CC5 CC1:CC3 CE1:CE3 CE63:CE1048576 CE5 BW6:BW59 AY1:BC5 CB3:CB59 CG1:CH59 CV8:DA59 BR6:BS59 BF1:BH1 BF2:BN5 CV1:CV7 DA4:DB4 FK4:XFD59 DA1:DB1 DE1:DF1 DH1:DI3 DK1:DL3 DN1:DO3 DQ1:DR3 DT1:DU3 DW1:DX3 DZ1:EA3 EC1:ED3 EF1:EG3 EI1:EJ3 EL1:EM3 EO1:EP3 ER1:ES3 EU1:EV3 EX1:EY3 FA1:FB3 FD1:FE3 FG1:FH3 FJ1:XFD3 DA5:DA7 CB63:CC1048576">
    <cfRule type="containsText" dxfId="1272" priority="1078" operator="containsText" text=" ">
      <formula>NOT(ISERROR(SEARCH(" ",AI1)))</formula>
    </cfRule>
    <cfRule type="containsText" dxfId="1271" priority="1079" operator="containsText" text=" ">
      <formula>NOT(ISERROR(SEARCH(" ",AI1)))</formula>
    </cfRule>
  </conditionalFormatting>
  <conditionalFormatting sqref="AO1 AO26:BB26 AO63:AT1048576 AO4:AO25 AO27:AO44 AM4:AN4 AM41:AN44 AM5:AM39 AM46:AN1048576 AO46:AO47">
    <cfRule type="containsText" dxfId="1270" priority="1112" operator="containsText" text=" ">
      <formula>NOT(ISERROR(SEARCH(" ",AM1)))</formula>
    </cfRule>
    <cfRule type="containsText" dxfId="1269" priority="1113" operator="containsText" text=" ">
      <formula>NOT(ISERROR(SEARCH(" ",AM1)))</formula>
    </cfRule>
  </conditionalFormatting>
  <conditionalFormatting sqref="AN1 CG63:DF1048576 DA2:DF3">
    <cfRule type="containsText" dxfId="1268" priority="1317" operator="containsText" text=" ">
      <formula>NOT(ISERROR(SEARCH(" ",AN1)))</formula>
    </cfRule>
    <cfRule type="containsText" dxfId="1267" priority="1318" operator="containsText" text=" ">
      <formula>NOT(ISERROR(SEARCH(" ",AN1)))</formula>
    </cfRule>
  </conditionalFormatting>
  <conditionalFormatting sqref="BA1:BA25 BA63:BA1048576 BA48:BA55 BA27:BA46">
    <cfRule type="cellIs" dxfId="1266" priority="1377" operator="equal">
      <formula>"是"</formula>
    </cfRule>
    <cfRule type="cellIs" dxfId="1265" priority="1378" operator="equal">
      <formula>"否"</formula>
    </cfRule>
  </conditionalFormatting>
  <conditionalFormatting sqref="BS1:BS59 BS63:BS1048576">
    <cfRule type="cellIs" dxfId="1264" priority="914" operator="equal">
      <formula>0</formula>
    </cfRule>
  </conditionalFormatting>
  <conditionalFormatting sqref="CD1:CD59 CD63:CD1048576">
    <cfRule type="containsText" dxfId="1263" priority="962" operator="containsText" text=" ">
      <formula>NOT(ISERROR(SEARCH(" ",CD1)))</formula>
    </cfRule>
    <cfRule type="containsText" dxfId="1262" priority="963" operator="containsText" text=" ">
      <formula>NOT(ISERROR(SEARCH(" ",CD1)))</formula>
    </cfRule>
  </conditionalFormatting>
  <conditionalFormatting sqref="CF1:CF4 CF63:CF1048576">
    <cfRule type="containsText" dxfId="1261" priority="960" operator="containsText" text=" ">
      <formula>NOT(ISERROR(SEARCH(" ",CF1)))</formula>
    </cfRule>
    <cfRule type="containsText" dxfId="1260" priority="961" operator="containsText" text=" ">
      <formula>NOT(ISERROR(SEARCH(" ",CF1)))</formula>
    </cfRule>
  </conditionalFormatting>
  <conditionalFormatting sqref="AQ2 AQ3:AR3">
    <cfRule type="containsText" dxfId="1259" priority="1136" operator="containsText" text=" ">
      <formula>NOT(ISERROR(SEARCH(" ",AQ2)))</formula>
    </cfRule>
    <cfRule type="containsText" dxfId="1258" priority="1137" operator="containsText" text=" ">
      <formula>NOT(ISERROR(SEARCH(" ",AQ2)))</formula>
    </cfRule>
  </conditionalFormatting>
  <conditionalFormatting sqref="AU63:AU1048576 AU15:AU19 AU31:AU32 AU2:AU11 AU42:AU43 AU34:AU38 AU40 AU21:AU25 AU27:AU29">
    <cfRule type="containsText" dxfId="1257" priority="168" operator="containsText" text=" ">
      <formula>NOT(ISERROR(SEARCH(" ",AU2)))</formula>
    </cfRule>
    <cfRule type="containsText" dxfId="1256" priority="169" operator="containsText" text=" ">
      <formula>NOT(ISERROR(SEARCH(" ",AU2)))</formula>
    </cfRule>
  </conditionalFormatting>
  <conditionalFormatting sqref="AV63:AX1048576 AV21:AV25 AV15:AV19 AV31:AV32 AV42:AV43 AV34:AV38 AV40:AX40 AV6:AV11 AW42 AW44 AW46 AV2 AV3:AX5 AW6:AX25 AW29 AX29:AX38 AW27:AX28 AV27:AV29">
    <cfRule type="containsText" dxfId="1255" priority="1072" operator="containsText" text=" ">
      <formula>NOT(ISERROR(SEARCH(" ",AV2)))</formula>
    </cfRule>
    <cfRule type="containsText" dxfId="1254" priority="1073" operator="containsText" text=" ">
      <formula>NOT(ISERROR(SEARCH(" ",AV2)))</formula>
    </cfRule>
  </conditionalFormatting>
  <conditionalFormatting sqref="AF4:AF5 AD63:AG1048576 AG3:AG25 AG27:AG44 AG46:AG59">
    <cfRule type="containsText" dxfId="1253" priority="1341" operator="containsText" text=" ">
      <formula>NOT(ISERROR(SEARCH(" ",AD3)))</formula>
    </cfRule>
    <cfRule type="containsText" dxfId="1252" priority="1342" operator="containsText" text=" ">
      <formula>NOT(ISERROR(SEARCH(" ",AD3)))</formula>
    </cfRule>
  </conditionalFormatting>
  <conditionalFormatting sqref="AI3:AI25 AI48:AI59 AI27:AI44 AI46">
    <cfRule type="containsText" dxfId="1251" priority="1080" operator="containsText" text=" ">
      <formula>NOT(ISERROR(SEARCH(" ",AI3)))</formula>
    </cfRule>
    <cfRule type="containsText" dxfId="1250" priority="1081" operator="containsText" text=" ">
      <formula>NOT(ISERROR(SEARCH(" ",AI3)))</formula>
    </cfRule>
  </conditionalFormatting>
  <conditionalFormatting sqref="AK3:AL4">
    <cfRule type="containsText" dxfId="1249" priority="1100" operator="containsText" text=" ">
      <formula>NOT(ISERROR(SEARCH(" ",AK3)))</formula>
    </cfRule>
    <cfRule type="containsText" dxfId="1248" priority="1101" operator="containsText" text=" ">
      <formula>NOT(ISERROR(SEARCH(" ",AK3)))</formula>
    </cfRule>
  </conditionalFormatting>
  <conditionalFormatting sqref="AO48:AO59 AN3:AO3">
    <cfRule type="containsText" dxfId="1247" priority="1319" operator="containsText" text=" ">
      <formula>NOT(ISERROR(SEARCH(" ",AN3)))</formula>
    </cfRule>
    <cfRule type="containsText" dxfId="1246" priority="1320" operator="containsText" text=" ">
      <formula>NOT(ISERROR(SEARCH(" ",AN3)))</formula>
    </cfRule>
  </conditionalFormatting>
  <conditionalFormatting sqref="CA4 CC4 CE4">
    <cfRule type="containsText" dxfId="1245" priority="964" operator="containsText" text=" ">
      <formula>NOT(ISERROR(SEARCH(" ",CA4)))</formula>
    </cfRule>
    <cfRule type="containsText" dxfId="1244" priority="965" operator="containsText" text=" ">
      <formula>NOT(ISERROR(SEARCH(" ",CA4)))</formula>
    </cfRule>
  </conditionalFormatting>
  <conditionalFormatting sqref="DC4:DF4 DI4 DL4 DO4 DR4 DU4 DX4 EA4 ED4 EG4 EJ4 EM4 EP4 ES4 EV4 EY4 FB4 FE4 FH4">
    <cfRule type="containsText" dxfId="1243" priority="842" operator="containsText" text=" ">
      <formula>NOT(ISERROR(SEARCH(" ",DC4)))</formula>
    </cfRule>
  </conditionalFormatting>
  <conditionalFormatting sqref="DE4:DE52 DE54:DE59">
    <cfRule type="cellIs" dxfId="1242" priority="819" operator="greaterThan">
      <formula>1</formula>
    </cfRule>
  </conditionalFormatting>
  <conditionalFormatting sqref="DH4 DK4 DN4 DQ4 DT4 DW4 DZ4 EC4 EF4 EI4 EL4 EO4 ER4 EU4 EX4 FA4 FD4 FG4">
    <cfRule type="cellIs" dxfId="1241" priority="817" operator="greaterThan">
      <formula>1</formula>
    </cfRule>
  </conditionalFormatting>
  <conditionalFormatting sqref="B39:B59 B5:B33">
    <cfRule type="cellIs" dxfId="1240" priority="31" operator="equal">
      <formula>" "</formula>
    </cfRule>
  </conditionalFormatting>
  <conditionalFormatting sqref="E21:E25 E14:E19 E5:F5 E6:E11 F6:F25 F27:F59 E27:E29">
    <cfRule type="containsText" dxfId="1239" priority="1090" operator="containsText" text=" ">
      <formula>NOT(ISERROR(SEARCH(" ",E5)))</formula>
    </cfRule>
    <cfRule type="containsText" dxfId="1238" priority="1091" operator="containsText" text=" ">
      <formula>NOT(ISERROR(SEARCH(" ",E5)))</formula>
    </cfRule>
  </conditionalFormatting>
  <conditionalFormatting sqref="J48:J59 H48:I55 BD5:BE45 BD46 BD48:BE55 M5:N25 H5:J25 H27:J46 M27:N59">
    <cfRule type="containsText" dxfId="1237" priority="1295" operator="containsText" text=" ">
      <formula>NOT(ISERROR(SEARCH(" ",H5)))</formula>
    </cfRule>
    <cfRule type="containsText" dxfId="1236" priority="1296" operator="containsText" text=" ">
      <formula>NOT(ISERROR(SEARCH(" ",H5)))</formula>
    </cfRule>
  </conditionalFormatting>
  <conditionalFormatting sqref="L5:L25 L48:L59 L27:L46">
    <cfRule type="containsText" dxfId="1235" priority="1259" operator="containsText" text=" ">
      <formula>NOT(ISERROR(SEARCH(" ",L5)))</formula>
    </cfRule>
    <cfRule type="containsText" dxfId="1234" priority="1260" operator="containsText" text=" ">
      <formula>NOT(ISERROR(SEARCH(" ",L5)))</formula>
    </cfRule>
  </conditionalFormatting>
  <conditionalFormatting sqref="P5:P25 P27:P59">
    <cfRule type="colorScale" priority="917">
      <colorScale>
        <cfvo type="min"/>
        <cfvo type="max"/>
        <color rgb="FFFCFCFF"/>
        <color rgb="FF63BE7B"/>
      </colorScale>
    </cfRule>
    <cfRule type="colorScale" priority="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:W5 U6:W62 U5:U62 W5:W62">
    <cfRule type="cellIs" dxfId="1233" priority="988" operator="greaterThan">
      <formula>1</formula>
    </cfRule>
    <cfRule type="containsText" dxfId="1232" priority="989" operator="containsText" text=" ">
      <formula>NOT(ISERROR(SEARCH(" ",T5)))</formula>
    </cfRule>
    <cfRule type="containsText" dxfId="1231" priority="990" operator="containsText" text=" ">
      <formula>NOT(ISERROR(SEARCH(" ",T5)))</formula>
    </cfRule>
  </conditionalFormatting>
  <conditionalFormatting sqref="U5:W62">
    <cfRule type="cellIs" dxfId="1230" priority="949" operator="equal">
      <formula>0</formula>
    </cfRule>
  </conditionalFormatting>
  <conditionalFormatting sqref="W5:W62 Y58:Y59 Z5:AA62 U5:Y6 Y10:Y11 Y15:Y16 Y20:Y21 Y25:Y26 Y30:Y31 Y35:Y36 Y40:Y41 Y45:Y46 Y50:Y51 Y55:Y56 U7:X62">
    <cfRule type="cellIs" dxfId="1229" priority="916" operator="equal">
      <formula>0</formula>
    </cfRule>
  </conditionalFormatting>
  <conditionalFormatting sqref="AB5:AB25 AB48:AB59 AB27:AB46 AB63:AB1048576">
    <cfRule type="cellIs" dxfId="1228" priority="1107" operator="greaterThan">
      <formula>1</formula>
    </cfRule>
    <cfRule type="containsText" dxfId="1227" priority="1108" operator="containsText" text=" ">
      <formula>NOT(ISERROR(SEARCH(" ",AB5)))</formula>
    </cfRule>
    <cfRule type="containsText" dxfId="1226" priority="1109" operator="containsText" text=" ">
      <formula>NOT(ISERROR(SEARCH(" ",AB5)))</formula>
    </cfRule>
  </conditionalFormatting>
  <conditionalFormatting sqref="AK53:AL59 AK48:AK52 AK5:AL25 AK27:AL44 AL46:AL52 AK46">
    <cfRule type="containsText" dxfId="1225" priority="1098" operator="containsText" text=" ">
      <formula>NOT(ISERROR(SEARCH(" ",AK5)))</formula>
    </cfRule>
    <cfRule type="containsText" dxfId="1224" priority="1099" operator="containsText" text=" ">
      <formula>NOT(ISERROR(SEARCH(" ",AK5)))</formula>
    </cfRule>
  </conditionalFormatting>
  <conditionalFormatting sqref="AP48:AP59 AP5:AR25 AP27:AR44 AQ46:AR62 AP46">
    <cfRule type="containsText" dxfId="1223" priority="1158" operator="containsText" text=" ">
      <formula>NOT(ISERROR(SEARCH(" ",AP5)))</formula>
    </cfRule>
    <cfRule type="containsText" dxfId="1222" priority="1159" operator="containsText" text=" ">
      <formula>NOT(ISERROR(SEARCH(" ",AP5)))</formula>
    </cfRule>
  </conditionalFormatting>
  <conditionalFormatting sqref="CO5:CO59 CL5:CM59">
    <cfRule type="cellIs" dxfId="1221" priority="928" operator="greaterThan">
      <formula>1</formula>
    </cfRule>
  </conditionalFormatting>
  <conditionalFormatting sqref="DC6:DC44 DC46 DD6:DE52 DD54:DE59 DD53 DC5:DE5">
    <cfRule type="colorScale" priority="840">
      <colorScale>
        <cfvo type="min"/>
        <cfvo type="max"/>
        <color rgb="FFFCFCFF"/>
        <color rgb="FF63BE7B"/>
      </colorScale>
    </cfRule>
    <cfRule type="colorScale" priority="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H5:DH52 DH54:DH59">
    <cfRule type="cellIs" dxfId="1220" priority="563" operator="greaterThan">
      <formula>1</formula>
    </cfRule>
    <cfRule type="colorScale" priority="564">
      <colorScale>
        <cfvo type="min"/>
        <cfvo type="max"/>
        <color rgb="FFFCFCFF"/>
        <color rgb="FF63BE7B"/>
      </colorScale>
    </cfRule>
    <cfRule type="colorScale" priority="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5:DK52 DK54:DK59">
    <cfRule type="cellIs" dxfId="1219" priority="560" operator="greaterThan">
      <formula>1</formula>
    </cfRule>
    <cfRule type="colorScale" priority="561">
      <colorScale>
        <cfvo type="min"/>
        <cfvo type="max"/>
        <color rgb="FFFCFCFF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5:DN52 DN54:DN59">
    <cfRule type="cellIs" dxfId="1218" priority="557" operator="greaterThan">
      <formula>1</formula>
    </cfRule>
    <cfRule type="colorScale" priority="558">
      <colorScale>
        <cfvo type="min"/>
        <cfvo type="max"/>
        <color rgb="FFFCFCFF"/>
        <color rgb="FF63BE7B"/>
      </colorScale>
    </cfRule>
    <cfRule type="colorScale" priority="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52 DQ54:DQ59">
    <cfRule type="cellIs" dxfId="1217" priority="554" operator="greaterThan">
      <formula>1</formula>
    </cfRule>
    <cfRule type="colorScale" priority="555">
      <colorScale>
        <cfvo type="min"/>
        <cfvo type="max"/>
        <color rgb="FFFCFCFF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5:DT52 DT54:DT59">
    <cfRule type="cellIs" dxfId="1216" priority="551" operator="greaterThan">
      <formula>1</formula>
    </cfRule>
    <cfRule type="colorScale" priority="552">
      <colorScale>
        <cfvo type="min"/>
        <cfvo type="max"/>
        <color rgb="FFFCFCFF"/>
        <color rgb="FF63BE7B"/>
      </colorScale>
    </cfRule>
    <cfRule type="colorScale" priority="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5:DW52 DW54:DW59">
    <cfRule type="cellIs" dxfId="1215" priority="548" operator="greaterThan">
      <formula>1</formula>
    </cfRule>
    <cfRule type="colorScale" priority="549">
      <colorScale>
        <cfvo type="min"/>
        <cfvo type="max"/>
        <color rgb="FFFCFCFF"/>
        <color rgb="FF63BE7B"/>
      </colorScale>
    </cfRule>
    <cfRule type="colorScale" priority="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5:DZ52 DZ54:DZ59">
    <cfRule type="cellIs" dxfId="1214" priority="545" operator="greaterThan">
      <formula>1</formula>
    </cfRule>
    <cfRule type="colorScale" priority="546">
      <colorScale>
        <cfvo type="min"/>
        <cfvo type="max"/>
        <color rgb="FFFCFCFF"/>
        <color rgb="FF63BE7B"/>
      </colorScale>
    </cfRule>
    <cfRule type="colorScale" priority="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5:EC52 EC54:EC59">
    <cfRule type="cellIs" dxfId="1213" priority="542" operator="greaterThan">
      <formula>1</formula>
    </cfRule>
    <cfRule type="colorScale" priority="543">
      <colorScale>
        <cfvo type="min"/>
        <cfvo type="max"/>
        <color rgb="FFFCFCFF"/>
        <color rgb="FF63BE7B"/>
      </colorScale>
    </cfRule>
    <cfRule type="colorScale" priority="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5:EF52 EF54:EF59">
    <cfRule type="cellIs" dxfId="1212" priority="539" operator="greaterThan">
      <formula>1</formula>
    </cfRule>
    <cfRule type="colorScale" priority="540">
      <colorScale>
        <cfvo type="min"/>
        <cfvo type="max"/>
        <color rgb="FFFCFCFF"/>
        <color rgb="FF63BE7B"/>
      </colorScale>
    </cfRule>
    <cfRule type="colorScale" priority="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5:EI52 EI54:EI59">
    <cfRule type="cellIs" dxfId="1211" priority="768" operator="greaterThan">
      <formula>1</formula>
    </cfRule>
    <cfRule type="colorScale" priority="769">
      <colorScale>
        <cfvo type="min"/>
        <cfvo type="max"/>
        <color rgb="FFFCFCFF"/>
        <color rgb="FF63BE7B"/>
      </colorScale>
    </cfRule>
    <cfRule type="colorScale" priority="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52 EL54:EL59">
    <cfRule type="cellIs" dxfId="1210" priority="536" operator="greaterThan">
      <formula>1</formula>
    </cfRule>
    <cfRule type="colorScale" priority="537">
      <colorScale>
        <cfvo type="min"/>
        <cfvo type="max"/>
        <color rgb="FFFCFCFF"/>
        <color rgb="FF63BE7B"/>
      </colorScale>
    </cfRule>
    <cfRule type="colorScale" priority="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52 EO54:EO59">
    <cfRule type="cellIs" dxfId="1209" priority="533" operator="greaterThan">
      <formula>1</formula>
    </cfRule>
    <cfRule type="colorScale" priority="534">
      <colorScale>
        <cfvo type="min"/>
        <cfvo type="max"/>
        <color rgb="FFFCFCFF"/>
        <color rgb="FF63BE7B"/>
      </colorScale>
    </cfRule>
    <cfRule type="colorScale" priority="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5:ER52 ER54:ER59">
    <cfRule type="cellIs" dxfId="1208" priority="530" operator="greaterThan">
      <formula>1</formula>
    </cfRule>
    <cfRule type="colorScale" priority="531">
      <colorScale>
        <cfvo type="min"/>
        <cfvo type="max"/>
        <color rgb="FFFCFCFF"/>
        <color rgb="FF63BE7B"/>
      </colorScale>
    </cfRule>
    <cfRule type="colorScale" priority="5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5:EU52 EU54:EU59">
    <cfRule type="cellIs" dxfId="1207" priority="527" operator="greaterThan">
      <formula>1</formula>
    </cfRule>
    <cfRule type="colorScale" priority="528">
      <colorScale>
        <cfvo type="min"/>
        <cfvo type="max"/>
        <color rgb="FFFCFCFF"/>
        <color rgb="FF63BE7B"/>
      </colorScale>
    </cfRule>
    <cfRule type="colorScale" priority="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5:EX52 EX54:EX59">
    <cfRule type="cellIs" dxfId="1206" priority="524" operator="greaterThan">
      <formula>1</formula>
    </cfRule>
    <cfRule type="colorScale" priority="525">
      <colorScale>
        <cfvo type="min"/>
        <cfvo type="max"/>
        <color rgb="FFFCFCFF"/>
        <color rgb="FF63BE7B"/>
      </colorScale>
    </cfRule>
    <cfRule type="colorScale" priority="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5:FA52 FA54:FA59">
    <cfRule type="cellIs" dxfId="1205" priority="521" operator="greaterThan">
      <formula>1</formula>
    </cfRule>
    <cfRule type="colorScale" priority="522">
      <colorScale>
        <cfvo type="min"/>
        <cfvo type="max"/>
        <color rgb="FFFCFCFF"/>
        <color rgb="FF63BE7B"/>
      </colorScale>
    </cfRule>
    <cfRule type="colorScale" priority="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52 FD54:FD59">
    <cfRule type="cellIs" dxfId="1204" priority="518" operator="greaterThan">
      <formula>1</formula>
    </cfRule>
    <cfRule type="colorScale" priority="519">
      <colorScale>
        <cfvo type="min"/>
        <cfvo type="max"/>
        <color rgb="FFFCFCFF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5:FG52 FG54:FG59">
    <cfRule type="cellIs" dxfId="1203" priority="515" operator="greaterThan">
      <formula>1</formula>
    </cfRule>
    <cfRule type="colorScale" priority="516">
      <colorScale>
        <cfvo type="min"/>
        <cfvo type="max"/>
        <color rgb="FFFCFCFF"/>
        <color rgb="FF63BE7B"/>
      </colorScale>
    </cfRule>
    <cfRule type="colorScale" priority="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5:FJ52 FJ54:FJ59">
    <cfRule type="cellIs" dxfId="1202" priority="512" operator="greaterThan">
      <formula>1</formula>
    </cfRule>
    <cfRule type="colorScale" priority="513">
      <colorScale>
        <cfvo type="min"/>
        <cfvo type="max"/>
        <color rgb="FFFCFCFF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:B19 B6:B12 B52:B54 B21:B25 B27:B33">
    <cfRule type="containsText" dxfId="1201" priority="64" operator="containsText" text=" ">
      <formula>NOT(ISERROR(SEARCH(" ",B6)))</formula>
    </cfRule>
    <cfRule type="containsText" dxfId="1200" priority="65" operator="containsText" text=" ">
      <formula>NOT(ISERROR(SEARCH(" ",B6)))</formula>
    </cfRule>
  </conditionalFormatting>
  <conditionalFormatting sqref="O6:O25 O27:O62">
    <cfRule type="colorScale" priority="9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:T25 T27:T28 T30:T31 T33:T34 T36:T37 T39:T40 T42:T43 T45:T46 T48:T49 T51:T52 T54:T55 T57:T58 T60:T61">
    <cfRule type="cellIs" dxfId="1199" priority="1102" operator="greaterThan">
      <formula>1</formula>
    </cfRule>
    <cfRule type="containsText" dxfId="1198" priority="1103" operator="containsText" text=" ">
      <formula>NOT(ISERROR(SEARCH(" ",T6)))</formula>
    </cfRule>
    <cfRule type="containsText" dxfId="1197" priority="1104" operator="containsText" text=" ">
      <formula>NOT(ISERROR(SEARCH(" ",T6)))</formula>
    </cfRule>
  </conditionalFormatting>
  <conditionalFormatting sqref="Y60:Y62 Y7:Y9 Y12:Y14 Y17:Y19 Y22:Y24 Y27:Y29 Y32:Y34 Y37:Y39 Y42:Y44 Y47:Y49 Y52:Y54 Y57">
    <cfRule type="cellIs" dxfId="1196" priority="372" operator="equal">
      <formula>0</formula>
    </cfRule>
    <cfRule type="containsText" dxfId="1195" priority="411" operator="containsText" text=" ">
      <formula>NOT(ISERROR(SEARCH(" ",Y7)))</formula>
    </cfRule>
    <cfRule type="containsText" dxfId="1194" priority="412" operator="containsText" text=" ">
      <formula>NOT(ISERROR(SEARCH(" ",Y7)))</formula>
    </cfRule>
  </conditionalFormatting>
  <conditionalFormatting sqref="BJ29 BN29:BO29 BI27:BO27 BL29 BI28 BK28 BM28 BO28 BO30:BO38">
    <cfRule type="containsText" dxfId="1193" priority="864" operator="containsText" text=" ">
      <formula>NOT(ISERROR(SEARCH(" ",BI27)))</formula>
    </cfRule>
    <cfRule type="containsText" dxfId="1192" priority="865" operator="containsText" text=" ">
      <formula>NOT(ISERROR(SEARCH(" ",BI27)))</formula>
    </cfRule>
  </conditionalFormatting>
  <conditionalFormatting sqref="C30:C38 BF30">
    <cfRule type="containsText" dxfId="1191" priority="1399" operator="containsText" text=" ">
      <formula>NOT(ISERROR(SEARCH(" ",C30)))</formula>
    </cfRule>
    <cfRule type="containsText" dxfId="1190" priority="1400" operator="containsText" text=" ">
      <formula>NOT(ISERROR(SEARCH(" ",C30)))</formula>
    </cfRule>
  </conditionalFormatting>
  <conditionalFormatting sqref="AV30:AW30 AW31:AW38">
    <cfRule type="containsText" dxfId="1189" priority="1068" operator="containsText" text=" ">
      <formula>NOT(ISERROR(SEARCH(" ",AV30)))</formula>
    </cfRule>
    <cfRule type="containsText" dxfId="1188" priority="1069" operator="containsText" text=" ">
      <formula>NOT(ISERROR(SEARCH(" ",AV30)))</formula>
    </cfRule>
  </conditionalFormatting>
  <conditionalFormatting sqref="BI30:BL30 BN30 BN32:BN38 BI32:BL38">
    <cfRule type="containsText" dxfId="1187" priority="7" operator="containsText" text=" ">
      <formula>NOT(ISERROR(SEARCH(" ",BI30)))</formula>
    </cfRule>
    <cfRule type="containsText" dxfId="1186" priority="8" operator="containsText" text=" ">
      <formula>NOT(ISERROR(SEARCH(" ",BI30)))</formula>
    </cfRule>
  </conditionalFormatting>
  <conditionalFormatting sqref="BM30 BM32:BM38">
    <cfRule type="containsText" dxfId="1185" priority="5" operator="containsText" text=" ">
      <formula>NOT(ISERROR(SEARCH(" ",BM30)))</formula>
    </cfRule>
    <cfRule type="containsText" dxfId="1184" priority="6" operator="containsText" text=" ">
      <formula>NOT(ISERROR(SEARCH(" ",BM30)))</formula>
    </cfRule>
  </conditionalFormatting>
  <conditionalFormatting sqref="BN31 BI31:BL31">
    <cfRule type="containsText" dxfId="1183" priority="3" operator="containsText" text=" ">
      <formula>NOT(ISERROR(SEARCH(" ",BI31)))</formula>
    </cfRule>
    <cfRule type="containsText" dxfId="1182" priority="4" operator="containsText" text=" ">
      <formula>NOT(ISERROR(SEARCH(" ",BI31)))</formula>
    </cfRule>
  </conditionalFormatting>
  <conditionalFormatting sqref="B34 B36:B37">
    <cfRule type="cellIs" dxfId="1181" priority="28" operator="equal">
      <formula>" "</formula>
    </cfRule>
    <cfRule type="containsText" dxfId="1180" priority="29" operator="containsText" text=" ">
      <formula>NOT(ISERROR(SEARCH(" ",B34)))</formula>
    </cfRule>
    <cfRule type="containsText" dxfId="1179" priority="30" operator="containsText" text=" ">
      <formula>NOT(ISERROR(SEARCH(" ",B34)))</formula>
    </cfRule>
  </conditionalFormatting>
  <conditionalFormatting sqref="D48 D41:D46">
    <cfRule type="containsText" dxfId="1178" priority="74" operator="containsText" text=" ">
      <formula>NOT(ISERROR(SEARCH(" ",D41)))</formula>
    </cfRule>
    <cfRule type="containsText" dxfId="1177" priority="75" operator="containsText" text=" ">
      <formula>NOT(ISERROR(SEARCH(" ",D41)))</formula>
    </cfRule>
  </conditionalFormatting>
  <conditionalFormatting sqref="AV41:AX41 AW43 AW47 AX42:AX44 AX46">
    <cfRule type="containsText" dxfId="1176" priority="1036" operator="containsText" text=" ">
      <formula>NOT(ISERROR(SEARCH(" ",AV41)))</formula>
    </cfRule>
    <cfRule type="containsText" dxfId="1175" priority="1037" operator="containsText" text=" ">
      <formula>NOT(ISERROR(SEARCH(" ",AV41)))</formula>
    </cfRule>
  </conditionalFormatting>
  <conditionalFormatting sqref="AV45 AX45">
    <cfRule type="containsText" dxfId="1174" priority="80" operator="containsText" text=" ">
      <formula>NOT(ISERROR(SEARCH(" ",AV45)))</formula>
    </cfRule>
    <cfRule type="containsText" dxfId="1173" priority="81" operator="containsText" text=" ">
      <formula>NOT(ISERROR(SEARCH(" ",AV45)))</formula>
    </cfRule>
  </conditionalFormatting>
  <conditionalFormatting sqref="BD47:BE47 H47:J47 BE46">
    <cfRule type="containsText" dxfId="1172" priority="1000" operator="containsText" text=" ">
      <formula>NOT(ISERROR(SEARCH(" ",H46)))</formula>
    </cfRule>
    <cfRule type="containsText" dxfId="1171" priority="1001" operator="containsText" text=" ">
      <formula>NOT(ISERROR(SEARCH(" ",H46)))</formula>
    </cfRule>
  </conditionalFormatting>
  <conditionalFormatting sqref="AZ47:BB47 S47 AC47">
    <cfRule type="containsText" dxfId="1170" priority="1012" operator="containsText" text=" ">
      <formula>NOT(ISERROR(SEARCH(" ",S47)))</formula>
    </cfRule>
    <cfRule type="containsText" dxfId="1169" priority="1013" operator="containsText" text=" ">
      <formula>NOT(ISERROR(SEARCH(" ",S47)))</formula>
    </cfRule>
  </conditionalFormatting>
  <conditionalFormatting sqref="AV47 AX47">
    <cfRule type="containsText" dxfId="1168" priority="978" operator="containsText" text=" ">
      <formula>NOT(ISERROR(SEARCH(" ",AV47)))</formula>
    </cfRule>
    <cfRule type="containsText" dxfId="1167" priority="979" operator="containsText" text=" ">
      <formula>NOT(ISERROR(SEARCH(" ",AV47)))</formula>
    </cfRule>
  </conditionalFormatting>
  <conditionalFormatting sqref="C49 C53">
    <cfRule type="containsText" dxfId="1166" priority="1387" operator="containsText" text=" ">
      <formula>NOT(ISERROR(SEARCH(" ",C49)))</formula>
    </cfRule>
    <cfRule type="containsText" dxfId="1165" priority="1388" operator="containsText" text=" ">
      <formula>NOT(ISERROR(SEARCH(" ",C49)))</formula>
    </cfRule>
  </conditionalFormatting>
  <conditionalFormatting sqref="C50 C54 BF50">
    <cfRule type="containsText" dxfId="1164" priority="1397" operator="containsText" text=" ">
      <formula>NOT(ISERROR(SEARCH(" ",C50)))</formula>
    </cfRule>
    <cfRule type="containsText" dxfId="1163" priority="1398" operator="containsText" text=" ">
      <formula>NOT(ISERROR(SEARCH(" ",C50)))</formula>
    </cfRule>
  </conditionalFormatting>
  <conditionalFormatting sqref="A55 AZ55 BF55 S55 AC55">
    <cfRule type="containsText" dxfId="1162" priority="1367" operator="containsText" text=" ">
      <formula>NOT(ISERROR(SEARCH(" ",A55)))</formula>
    </cfRule>
    <cfRule type="containsText" dxfId="1161" priority="1368" operator="containsText" text=" ">
      <formula>NOT(ISERROR(SEARCH(" ",A55)))</formula>
    </cfRule>
  </conditionalFormatting>
  <conditionalFormatting sqref="S56:S59 AZ56:BB59 BF58:BN59 BF57:BM57 BF56:BN56 AC56:AC59 A56:A62 C56:D59">
    <cfRule type="containsText" dxfId="1160" priority="1206" operator="containsText" text=" ">
      <formula>NOT(ISERROR(SEARCH(" ",A56)))</formula>
    </cfRule>
    <cfRule type="containsText" dxfId="1159" priority="1207" operator="containsText" text=" ">
      <formula>NOT(ISERROR(SEARCH(" ",A56)))</formula>
    </cfRule>
  </conditionalFormatting>
  <conditionalFormatting sqref="H56:I59 BD56:BE59">
    <cfRule type="containsText" dxfId="1158" priority="1198" operator="containsText" text=" ">
      <formula>NOT(ISERROR(SEARCH(" ",H56)))</formula>
    </cfRule>
    <cfRule type="containsText" dxfId="1157" priority="1199" operator="containsText" text=" ">
      <formula>NOT(ISERROR(SEARCH(" ",H56)))</formula>
    </cfRule>
  </conditionalFormatting>
  <conditionalFormatting sqref="AD56:AE59">
    <cfRule type="containsText" dxfId="1156" priority="1204" operator="containsText" text=" ">
      <formula>NOT(ISERROR(SEARCH(" ",AD56)))</formula>
    </cfRule>
    <cfRule type="containsText" dxfId="1155" priority="1205" operator="containsText" text=" ">
      <formula>NOT(ISERROR(SEARCH(" ",AD56)))</formula>
    </cfRule>
  </conditionalFormatting>
  <conditionalFormatting sqref="S60:S62 AZ60:BB62 BF61:BN62 BF60:BM60 AC60:AC62 C60:D62">
    <cfRule type="containsText" dxfId="1154" priority="447" operator="containsText" text=" ">
      <formula>NOT(ISERROR(SEARCH(" ",C60)))</formula>
    </cfRule>
    <cfRule type="containsText" dxfId="1153" priority="448" operator="containsText" text=" ">
      <formula>NOT(ISERROR(SEARCH(" ",C60)))</formula>
    </cfRule>
  </conditionalFormatting>
  <conditionalFormatting sqref="H60:I62 BD60:BE62">
    <cfRule type="containsText" dxfId="1152" priority="439" operator="containsText" text=" ">
      <formula>NOT(ISERROR(SEARCH(" ",H60)))</formula>
    </cfRule>
    <cfRule type="containsText" dxfId="1151" priority="440" operator="containsText" text=" ">
      <formula>NOT(ISERROR(SEARCH(" ",H60)))</formula>
    </cfRule>
  </conditionalFormatting>
  <conditionalFormatting sqref="J60:J62 M60:N62">
    <cfRule type="containsText" dxfId="1150" priority="451" operator="containsText" text=" ">
      <formula>NOT(ISERROR(SEARCH(" ",J60)))</formula>
    </cfRule>
    <cfRule type="containsText" dxfId="1149" priority="452" operator="containsText" text=" ">
      <formula>NOT(ISERROR(SEARCH(" ",J60)))</formula>
    </cfRule>
  </conditionalFormatting>
  <conditionalFormatting sqref="AD60:AE62">
    <cfRule type="containsText" dxfId="1148" priority="445" operator="containsText" text=" ">
      <formula>NOT(ISERROR(SEARCH(" ",AD60)))</formula>
    </cfRule>
    <cfRule type="containsText" dxfId="1147" priority="446" operator="containsText" text=" ">
      <formula>NOT(ISERROR(SEARCH(" ",AD60)))</formula>
    </cfRule>
  </conditionalFormatting>
  <conditionalFormatting sqref="AK60:AL62">
    <cfRule type="containsText" dxfId="1146" priority="413" operator="containsText" text=" ">
      <formula>NOT(ISERROR(SEARCH(" ",AK60)))</formula>
    </cfRule>
    <cfRule type="containsText" dxfId="1145" priority="414" operator="containsText" text=" ">
      <formula>NOT(ISERROR(SEARCH(" ",AK60)))</formula>
    </cfRule>
  </conditionalFormatting>
  <conditionalFormatting sqref="BC60:BC62 CC60:CC62 CE60:CE62 BX60:CA62 BT60:BV62 AY60:AY62">
    <cfRule type="containsText" dxfId="1144" priority="459" operator="containsText" text=" ">
      <formula>NOT(ISERROR(SEARCH(" ",AY60)))</formula>
    </cfRule>
    <cfRule type="containsText" dxfId="1143" priority="460" operator="containsText" text=" ">
      <formula>NOT(ISERROR(SEARCH(" ",AY60)))</formula>
    </cfRule>
  </conditionalFormatting>
  <conditionalFormatting sqref="BO60:BQ62">
    <cfRule type="containsText" dxfId="1142" priority="397" operator="containsText" text=" ">
      <formula>NOT(ISERROR(SEARCH(" ",BO60)))</formula>
    </cfRule>
    <cfRule type="containsText" dxfId="1141" priority="398" operator="containsText" text=" ">
      <formula>NOT(ISERROR(SEARCH(" ",BO60)))</formula>
    </cfRule>
  </conditionalFormatting>
  <conditionalFormatting sqref="BW60:BW62 CB60:CB62 CG60:CH62 CV60:DA62 BR60:BS62 FK60:XFD62">
    <cfRule type="containsText" dxfId="1140" priority="405" operator="containsText" text=" ">
      <formula>NOT(ISERROR(SEARCH(" ",BR60)))</formula>
    </cfRule>
    <cfRule type="containsText" dxfId="1139" priority="406" operator="containsText" text=" ">
      <formula>NOT(ISERROR(SEARCH(" ",BR60)))</formula>
    </cfRule>
  </conditionalFormatting>
  <conditionalFormatting sqref="CO60:CO62 CL60:CM62">
    <cfRule type="cellIs" dxfId="1138" priority="384" operator="greaterThan">
      <formula>1</formula>
    </cfRule>
  </conditionalFormatting>
  <conditionalFormatting sqref="DD60:DE62">
    <cfRule type="colorScale" priority="367">
      <colorScale>
        <cfvo type="min"/>
        <cfvo type="max"/>
        <color rgb="FFFCFCFF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63:AL1048576">
    <cfRule type="containsText" dxfId="1137" priority="1116" operator="containsText" text=" ">
      <formula>NOT(ISERROR(SEARCH(" ",AK63)))</formula>
    </cfRule>
    <cfRule type="containsText" dxfId="1136" priority="1117" operator="containsText" text=" ">
      <formula>NOT(ISERROR(SEARCH(" ",AK63)))</formula>
    </cfRule>
  </conditionalFormatting>
  <dataValidations count="2">
    <dataValidation type="custom" allowBlank="1" showInputMessage="1" showErrorMessage="1" sqref="BK23:BK25" xr:uid="{00000000-0002-0000-0400-000000000000}">
      <formula1>"MOD(BF23,1)=0"</formula1>
    </dataValidation>
    <dataValidation type="list" allowBlank="1" showInputMessage="1" showErrorMessage="1" sqref="BA5:BA25 BA27:BA62" xr:uid="{00000000-0002-0000-0400-000001000000}">
      <formula1>"是,否"</formula1>
    </dataValidation>
  </dataValidations>
  <pageMargins left="0.69930555555555596" right="0.69930555555555596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workbookViewId="0">
      <selection activeCell="F5" sqref="F5:F19"/>
    </sheetView>
  </sheetViews>
  <sheetFormatPr defaultColWidth="9" defaultRowHeight="16.5" x14ac:dyDescent="0.45"/>
  <cols>
    <col min="1" max="1" width="9" style="2"/>
    <col min="2" max="2" width="11.36328125" style="2" customWidth="1"/>
    <col min="3" max="3" width="15.36328125" style="2" customWidth="1"/>
    <col min="4" max="5" width="9" style="2"/>
    <col min="6" max="6" width="14.6328125" style="1" customWidth="1"/>
    <col min="7" max="7" width="16" style="2" customWidth="1"/>
    <col min="8" max="16384" width="9" style="2"/>
  </cols>
  <sheetData>
    <row r="1" spans="1:7" x14ac:dyDescent="0.45">
      <c r="A1" s="3" t="s">
        <v>1</v>
      </c>
      <c r="B1" s="3" t="s">
        <v>1</v>
      </c>
      <c r="C1" s="3" t="s">
        <v>1</v>
      </c>
      <c r="E1" s="2" t="s">
        <v>1311</v>
      </c>
    </row>
    <row r="2" spans="1:7" x14ac:dyDescent="0.45">
      <c r="A2" s="3" t="s">
        <v>2</v>
      </c>
      <c r="B2" s="3" t="s">
        <v>2</v>
      </c>
      <c r="C2" s="3" t="s">
        <v>3</v>
      </c>
      <c r="E2" s="2" t="s">
        <v>1312</v>
      </c>
      <c r="F2" s="297">
        <v>20</v>
      </c>
    </row>
    <row r="3" spans="1:7" x14ac:dyDescent="0.45">
      <c r="A3" s="3" t="s">
        <v>68</v>
      </c>
      <c r="B3" s="3" t="s">
        <v>1313</v>
      </c>
      <c r="C3" s="3" t="s">
        <v>1314</v>
      </c>
      <c r="G3" s="2" t="s">
        <v>1315</v>
      </c>
    </row>
    <row r="4" spans="1:7" x14ac:dyDescent="0.4">
      <c r="A4" s="3" t="s">
        <v>1316</v>
      </c>
      <c r="B4" s="3" t="s">
        <v>1317</v>
      </c>
      <c r="C4" s="3" t="s">
        <v>1318</v>
      </c>
      <c r="E4" s="2" t="s">
        <v>1319</v>
      </c>
      <c r="F4" s="2" t="s">
        <v>1320</v>
      </c>
      <c r="G4" s="2">
        <f>SUM(G5:G19)</f>
        <v>149.99999999999997</v>
      </c>
    </row>
    <row r="5" spans="1:7" x14ac:dyDescent="0.45">
      <c r="A5" s="2">
        <v>1</v>
      </c>
      <c r="B5" s="2">
        <f>$F$2*E5</f>
        <v>20</v>
      </c>
      <c r="C5" s="2">
        <f>F5/SUM($F$5:$F$19)</f>
        <v>0</v>
      </c>
      <c r="E5" s="2">
        <v>1</v>
      </c>
      <c r="F5" s="297">
        <v>0</v>
      </c>
      <c r="G5" s="2">
        <f t="shared" ref="G5:G16" si="0">C5*B5</f>
        <v>0</v>
      </c>
    </row>
    <row r="6" spans="1:7" x14ac:dyDescent="0.45">
      <c r="A6" s="2">
        <v>2</v>
      </c>
      <c r="B6" s="2">
        <f t="shared" ref="B6:B19" si="1">$F$2*E6</f>
        <v>40</v>
      </c>
      <c r="C6" s="2">
        <f t="shared" ref="C6:C19" si="2">F6/SUM($F$5:$F$19)</f>
        <v>0</v>
      </c>
      <c r="E6" s="2">
        <v>2</v>
      </c>
      <c r="F6" s="297">
        <v>0</v>
      </c>
      <c r="G6" s="2">
        <f t="shared" si="0"/>
        <v>0</v>
      </c>
    </row>
    <row r="7" spans="1:7" x14ac:dyDescent="0.45">
      <c r="A7" s="2">
        <v>3</v>
      </c>
      <c r="B7" s="2">
        <f t="shared" si="1"/>
        <v>60</v>
      </c>
      <c r="C7" s="2">
        <f t="shared" si="2"/>
        <v>5.0632911392405063E-2</v>
      </c>
      <c r="E7" s="2">
        <v>3</v>
      </c>
      <c r="F7" s="297">
        <v>4</v>
      </c>
      <c r="G7" s="2">
        <f t="shared" si="0"/>
        <v>3.0379746835443036</v>
      </c>
    </row>
    <row r="8" spans="1:7" x14ac:dyDescent="0.45">
      <c r="A8" s="2">
        <v>4</v>
      </c>
      <c r="B8" s="2">
        <f t="shared" si="1"/>
        <v>80</v>
      </c>
      <c r="C8" s="2">
        <f t="shared" si="2"/>
        <v>6.3291139240506333E-2</v>
      </c>
      <c r="E8" s="2">
        <v>4</v>
      </c>
      <c r="F8" s="297">
        <v>5</v>
      </c>
      <c r="G8" s="2">
        <f t="shared" si="0"/>
        <v>5.0632911392405067</v>
      </c>
    </row>
    <row r="9" spans="1:7" x14ac:dyDescent="0.45">
      <c r="A9" s="2">
        <v>5</v>
      </c>
      <c r="B9" s="2">
        <f t="shared" si="1"/>
        <v>100</v>
      </c>
      <c r="C9" s="2">
        <f t="shared" si="2"/>
        <v>0.11392405063291139</v>
      </c>
      <c r="E9" s="2">
        <v>5</v>
      </c>
      <c r="F9" s="297">
        <v>9</v>
      </c>
      <c r="G9" s="2">
        <f t="shared" si="0"/>
        <v>11.39240506329114</v>
      </c>
    </row>
    <row r="10" spans="1:7" x14ac:dyDescent="0.45">
      <c r="A10" s="2">
        <v>6</v>
      </c>
      <c r="B10" s="2">
        <f t="shared" si="1"/>
        <v>120</v>
      </c>
      <c r="C10" s="2">
        <f t="shared" si="2"/>
        <v>0.15189873417721519</v>
      </c>
      <c r="E10" s="2">
        <v>6</v>
      </c>
      <c r="F10" s="297">
        <v>12</v>
      </c>
      <c r="G10" s="2">
        <f t="shared" si="0"/>
        <v>18.227848101265824</v>
      </c>
    </row>
    <row r="11" spans="1:7" x14ac:dyDescent="0.45">
      <c r="A11" s="2">
        <v>7</v>
      </c>
      <c r="B11" s="2">
        <f t="shared" si="1"/>
        <v>140</v>
      </c>
      <c r="C11" s="2">
        <f t="shared" si="2"/>
        <v>0.19620253164556961</v>
      </c>
      <c r="E11" s="2">
        <v>7</v>
      </c>
      <c r="F11" s="297">
        <v>15.5</v>
      </c>
      <c r="G11" s="2">
        <f t="shared" si="0"/>
        <v>27.468354430379744</v>
      </c>
    </row>
    <row r="12" spans="1:7" x14ac:dyDescent="0.45">
      <c r="A12" s="2">
        <v>8</v>
      </c>
      <c r="B12" s="2">
        <f t="shared" si="1"/>
        <v>160</v>
      </c>
      <c r="C12" s="2">
        <f t="shared" si="2"/>
        <v>0.12658227848101267</v>
      </c>
      <c r="E12" s="2">
        <v>8</v>
      </c>
      <c r="F12" s="297">
        <v>10</v>
      </c>
      <c r="G12" s="2">
        <f t="shared" si="0"/>
        <v>20.253164556962027</v>
      </c>
    </row>
    <row r="13" spans="1:7" x14ac:dyDescent="0.45">
      <c r="A13" s="2">
        <v>9</v>
      </c>
      <c r="B13" s="2">
        <f t="shared" si="1"/>
        <v>180</v>
      </c>
      <c r="C13" s="2">
        <f t="shared" si="2"/>
        <v>8.8607594936708861E-2</v>
      </c>
      <c r="E13" s="2">
        <v>9</v>
      </c>
      <c r="F13" s="297">
        <v>7</v>
      </c>
      <c r="G13" s="2">
        <f t="shared" si="0"/>
        <v>15.949367088607595</v>
      </c>
    </row>
    <row r="14" spans="1:7" x14ac:dyDescent="0.45">
      <c r="A14" s="2">
        <v>10</v>
      </c>
      <c r="B14" s="2">
        <f t="shared" si="1"/>
        <v>200</v>
      </c>
      <c r="C14" s="2">
        <f t="shared" si="2"/>
        <v>6.3291139240506333E-2</v>
      </c>
      <c r="E14" s="2">
        <v>10</v>
      </c>
      <c r="F14" s="297">
        <v>5</v>
      </c>
      <c r="G14" s="2">
        <f t="shared" si="0"/>
        <v>12.658227848101266</v>
      </c>
    </row>
    <row r="15" spans="1:7" x14ac:dyDescent="0.45">
      <c r="A15" s="2">
        <v>11</v>
      </c>
      <c r="B15" s="2">
        <f t="shared" si="1"/>
        <v>220</v>
      </c>
      <c r="C15" s="2">
        <f t="shared" si="2"/>
        <v>5.0632911392405063E-2</v>
      </c>
      <c r="E15" s="2">
        <v>11</v>
      </c>
      <c r="F15" s="297">
        <v>4</v>
      </c>
      <c r="G15" s="2">
        <f t="shared" si="0"/>
        <v>11.139240506329113</v>
      </c>
    </row>
    <row r="16" spans="1:7" x14ac:dyDescent="0.45">
      <c r="A16" s="2">
        <v>12</v>
      </c>
      <c r="B16" s="2">
        <f t="shared" si="1"/>
        <v>240</v>
      </c>
      <c r="C16" s="2">
        <f t="shared" si="2"/>
        <v>3.7974683544303799E-2</v>
      </c>
      <c r="E16" s="2">
        <v>12</v>
      </c>
      <c r="F16" s="297">
        <v>3</v>
      </c>
      <c r="G16" s="2">
        <f t="shared" si="0"/>
        <v>9.113924050632912</v>
      </c>
    </row>
    <row r="17" spans="1:7" x14ac:dyDescent="0.45">
      <c r="A17" s="2">
        <v>13</v>
      </c>
      <c r="B17" s="2">
        <f t="shared" si="1"/>
        <v>260</v>
      </c>
      <c r="C17" s="2">
        <f t="shared" si="2"/>
        <v>2.5316455696202531E-2</v>
      </c>
      <c r="E17" s="2">
        <v>13</v>
      </c>
      <c r="F17" s="297">
        <v>2</v>
      </c>
      <c r="G17" s="2">
        <f t="shared" ref="G17:G19" si="3">C17*B17</f>
        <v>6.5822784810126578</v>
      </c>
    </row>
    <row r="18" spans="1:7" x14ac:dyDescent="0.45">
      <c r="A18" s="2">
        <v>14</v>
      </c>
      <c r="B18" s="2">
        <f t="shared" si="1"/>
        <v>280</v>
      </c>
      <c r="C18" s="2">
        <f t="shared" si="2"/>
        <v>1.8987341772151899E-2</v>
      </c>
      <c r="E18" s="2">
        <v>14</v>
      </c>
      <c r="F18" s="297">
        <v>1.5</v>
      </c>
      <c r="G18" s="2">
        <f t="shared" si="3"/>
        <v>5.3164556962025316</v>
      </c>
    </row>
    <row r="19" spans="1:7" x14ac:dyDescent="0.45">
      <c r="A19" s="2">
        <v>15</v>
      </c>
      <c r="B19" s="2">
        <f t="shared" si="1"/>
        <v>300</v>
      </c>
      <c r="C19" s="2">
        <f t="shared" si="2"/>
        <v>1.2658227848101266E-2</v>
      </c>
      <c r="E19" s="2">
        <v>15</v>
      </c>
      <c r="F19" s="297">
        <v>1</v>
      </c>
      <c r="G19" s="2">
        <f t="shared" si="3"/>
        <v>3.7974683544303796</v>
      </c>
    </row>
  </sheetData>
  <phoneticPr fontId="57" type="noConversion"/>
  <conditionalFormatting sqref="C2">
    <cfRule type="containsText" dxfId="1135" priority="1" operator="containsText" text=" ">
      <formula>NOT(ISERROR(SEARCH(" ",C2)))</formula>
    </cfRule>
  </conditionalFormatting>
  <conditionalFormatting sqref="C3">
    <cfRule type="containsText" dxfId="1134" priority="3" operator="containsText" text=" ">
      <formula>NOT(ISERROR(SEARCH(" ",C3)))</formula>
    </cfRule>
  </conditionalFormatting>
  <conditionalFormatting sqref="A1:C1 F4 A2:B3 A20:E1048576 E8 E10 E12 E14 E16 D7:D16 D6:E6 G1:XFD1 I2:XFD2 E2 G2 E18 G3:XFD1048576 A4:C16 A17:D19">
    <cfRule type="containsText" dxfId="1133" priority="4" operator="containsText" text=" ">
      <formula>NOT(ISERROR(SEARCH(" ",A1)))</formula>
    </cfRule>
  </conditionalFormatting>
  <conditionalFormatting sqref="D1:E1 E7 E9 E11 E13 E15 D3:E5 D2 E19 E17">
    <cfRule type="containsText" dxfId="1132" priority="2" operator="containsText" text=" ">
      <formula>NOT(ISERROR(SEARCH(" ",D1)))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5"/>
  <sheetViews>
    <sheetView topLeftCell="AA1" workbookViewId="0">
      <selection activeCell="AG5" sqref="AG5:AG15"/>
    </sheetView>
  </sheetViews>
  <sheetFormatPr defaultColWidth="9" defaultRowHeight="16.5" x14ac:dyDescent="0.25"/>
  <cols>
    <col min="1" max="1" width="8" style="2" customWidth="1"/>
    <col min="2" max="2" width="12.1796875" style="2" customWidth="1"/>
    <col min="3" max="3" width="17.90625" style="2" customWidth="1"/>
    <col min="4" max="4" width="12.1796875" style="2" customWidth="1"/>
    <col min="5" max="5" width="16.81640625" style="2" customWidth="1"/>
    <col min="6" max="6" width="20" style="2" customWidth="1"/>
    <col min="7" max="7" width="15.81640625" style="2" customWidth="1"/>
    <col min="8" max="8" width="40.08984375" style="2" customWidth="1"/>
    <col min="9" max="9" width="21.54296875" style="2" customWidth="1"/>
    <col min="10" max="10" width="16.90625" style="2" customWidth="1"/>
    <col min="11" max="11" width="12.1796875" style="2" customWidth="1"/>
    <col min="12" max="12" width="16.36328125" style="2" customWidth="1"/>
    <col min="13" max="13" width="12.1796875" style="2" customWidth="1"/>
    <col min="14" max="14" width="9.81640625" style="2" customWidth="1"/>
    <col min="15" max="15" width="11.1796875" style="2" customWidth="1"/>
    <col min="16" max="16" width="16.81640625" style="2" customWidth="1"/>
    <col min="17" max="17" width="11.1796875" style="2" customWidth="1"/>
    <col min="18" max="18" width="32.90625" style="2" customWidth="1"/>
    <col min="19" max="19" width="12.36328125" style="2" customWidth="1"/>
    <col min="20" max="20" width="9.453125" style="2" customWidth="1"/>
    <col min="21" max="21" width="13.08984375" style="2" customWidth="1"/>
    <col min="22" max="22" width="10.453125" style="2" customWidth="1"/>
    <col min="23" max="23" width="12.6328125" style="2" customWidth="1"/>
    <col min="24" max="24" width="10.453125" style="2" customWidth="1"/>
    <col min="25" max="25" width="12.6328125" style="2" customWidth="1"/>
    <col min="26" max="26" width="10.453125" style="2" customWidth="1"/>
    <col min="27" max="27" width="12.6328125" style="2" customWidth="1"/>
    <col min="28" max="28" width="10.453125" style="2" customWidth="1"/>
    <col min="29" max="32" width="12.6328125" style="2" customWidth="1"/>
    <col min="33" max="33" width="16.1796875" style="2" customWidth="1"/>
    <col min="34" max="34" width="15.6328125" style="2" customWidth="1"/>
    <col min="35" max="35" width="24" style="2" customWidth="1"/>
    <col min="36" max="36" width="12.6328125" style="2" customWidth="1"/>
    <col min="37" max="39" width="9" style="2"/>
    <col min="46" max="16384" width="9" style="2"/>
  </cols>
  <sheetData>
    <row r="1" spans="1:50" x14ac:dyDescent="0.4">
      <c r="A1" s="3" t="s">
        <v>0</v>
      </c>
      <c r="B1" s="3" t="s">
        <v>0</v>
      </c>
      <c r="C1" s="3" t="s">
        <v>691</v>
      </c>
      <c r="D1" s="55" t="s">
        <v>691</v>
      </c>
      <c r="E1" s="3" t="s">
        <v>691</v>
      </c>
      <c r="F1" s="3" t="s">
        <v>691</v>
      </c>
      <c r="G1" s="3" t="s">
        <v>1</v>
      </c>
      <c r="H1" s="3" t="s">
        <v>0</v>
      </c>
      <c r="I1" s="3" t="s">
        <v>1</v>
      </c>
      <c r="J1" s="3" t="s">
        <v>1</v>
      </c>
      <c r="K1" s="267" t="s">
        <v>0</v>
      </c>
      <c r="L1" s="268" t="s">
        <v>0</v>
      </c>
      <c r="M1" s="267" t="s">
        <v>0</v>
      </c>
      <c r="N1" s="268" t="s">
        <v>0</v>
      </c>
      <c r="O1" s="267" t="s">
        <v>0</v>
      </c>
      <c r="P1" s="268" t="s">
        <v>0</v>
      </c>
      <c r="Q1" s="267" t="s">
        <v>0</v>
      </c>
      <c r="R1" s="268" t="s">
        <v>1</v>
      </c>
      <c r="S1" s="271" t="s">
        <v>0</v>
      </c>
      <c r="T1" s="271" t="s">
        <v>0</v>
      </c>
      <c r="U1" s="274" t="s">
        <v>0</v>
      </c>
      <c r="V1" s="271" t="s">
        <v>0</v>
      </c>
      <c r="W1" s="274" t="s">
        <v>0</v>
      </c>
      <c r="X1" s="271" t="s">
        <v>0</v>
      </c>
      <c r="Y1" s="274" t="s">
        <v>0</v>
      </c>
      <c r="Z1" s="271" t="s">
        <v>0</v>
      </c>
      <c r="AA1" s="274" t="s">
        <v>0</v>
      </c>
      <c r="AB1" s="271" t="s">
        <v>0</v>
      </c>
      <c r="AC1" s="274" t="s">
        <v>0</v>
      </c>
      <c r="AD1" s="4" t="s">
        <v>0</v>
      </c>
      <c r="AE1" s="277" t="s">
        <v>1</v>
      </c>
      <c r="AF1" s="277" t="s">
        <v>1</v>
      </c>
      <c r="AG1" s="277" t="s">
        <v>1</v>
      </c>
      <c r="AH1" s="277" t="s">
        <v>1</v>
      </c>
      <c r="AI1" s="277" t="s">
        <v>1</v>
      </c>
      <c r="AJ1" s="192"/>
      <c r="AK1"/>
    </row>
    <row r="2" spans="1:50" x14ac:dyDescent="0.4">
      <c r="A2" s="3" t="s">
        <v>2</v>
      </c>
      <c r="B2" s="3" t="s">
        <v>2</v>
      </c>
      <c r="C2" s="3" t="s">
        <v>841</v>
      </c>
      <c r="D2" s="55" t="s">
        <v>841</v>
      </c>
      <c r="E2" s="3" t="s">
        <v>2</v>
      </c>
      <c r="F2" s="3" t="s">
        <v>5</v>
      </c>
      <c r="G2" s="3" t="s">
        <v>2</v>
      </c>
      <c r="H2" s="3" t="s">
        <v>5</v>
      </c>
      <c r="I2" s="3" t="s">
        <v>5</v>
      </c>
      <c r="J2" s="3" t="s">
        <v>5</v>
      </c>
      <c r="K2" s="267" t="s">
        <v>2</v>
      </c>
      <c r="L2" s="268" t="s">
        <v>2</v>
      </c>
      <c r="M2" s="267" t="s">
        <v>2</v>
      </c>
      <c r="N2" s="268" t="s">
        <v>2</v>
      </c>
      <c r="O2" s="267" t="s">
        <v>2</v>
      </c>
      <c r="P2" s="268" t="s">
        <v>2</v>
      </c>
      <c r="Q2" s="267" t="s">
        <v>2</v>
      </c>
      <c r="R2" s="268" t="s">
        <v>5</v>
      </c>
      <c r="S2" s="271" t="s">
        <v>2</v>
      </c>
      <c r="T2" s="271" t="s">
        <v>5</v>
      </c>
      <c r="U2" s="274" t="s">
        <v>5</v>
      </c>
      <c r="V2" s="271" t="s">
        <v>5</v>
      </c>
      <c r="W2" s="274" t="s">
        <v>5</v>
      </c>
      <c r="X2" s="271" t="s">
        <v>5</v>
      </c>
      <c r="Y2" s="274" t="s">
        <v>5</v>
      </c>
      <c r="Z2" s="271" t="s">
        <v>5</v>
      </c>
      <c r="AA2" s="274" t="s">
        <v>5</v>
      </c>
      <c r="AB2" s="271" t="s">
        <v>5</v>
      </c>
      <c r="AC2" s="274" t="s">
        <v>5</v>
      </c>
      <c r="AD2" s="4" t="s">
        <v>2</v>
      </c>
      <c r="AE2" s="277" t="s">
        <v>2</v>
      </c>
      <c r="AF2" s="277" t="s">
        <v>3</v>
      </c>
      <c r="AG2" s="277" t="s">
        <v>3</v>
      </c>
      <c r="AH2" s="277" t="s">
        <v>2</v>
      </c>
      <c r="AI2" s="277" t="s">
        <v>5</v>
      </c>
      <c r="AJ2" s="192"/>
      <c r="AK2"/>
      <c r="AO2" t="s">
        <v>1321</v>
      </c>
    </row>
    <row r="3" spans="1:50" x14ac:dyDescent="0.45">
      <c r="A3" s="3" t="s">
        <v>1322</v>
      </c>
      <c r="B3" s="3" t="s">
        <v>1323</v>
      </c>
      <c r="C3" s="3" t="s">
        <v>1324</v>
      </c>
      <c r="D3" s="55" t="s">
        <v>1325</v>
      </c>
      <c r="E3" s="3" t="s">
        <v>1326</v>
      </c>
      <c r="F3" s="3" t="s">
        <v>1327</v>
      </c>
      <c r="G3" s="3" t="s">
        <v>1328</v>
      </c>
      <c r="H3" s="3" t="s">
        <v>1329</v>
      </c>
      <c r="I3" s="3" t="s">
        <v>1330</v>
      </c>
      <c r="J3" s="3" t="s">
        <v>1331</v>
      </c>
      <c r="K3" s="267" t="s">
        <v>1332</v>
      </c>
      <c r="L3" s="268" t="s">
        <v>1333</v>
      </c>
      <c r="M3" s="267" t="s">
        <v>1334</v>
      </c>
      <c r="N3" s="268" t="s">
        <v>1335</v>
      </c>
      <c r="O3" s="267" t="s">
        <v>1336</v>
      </c>
      <c r="P3" s="268" t="s">
        <v>1337</v>
      </c>
      <c r="Q3" s="267" t="s">
        <v>1338</v>
      </c>
      <c r="R3" s="268" t="s">
        <v>1339</v>
      </c>
      <c r="S3" s="271" t="s">
        <v>1340</v>
      </c>
      <c r="T3" s="271" t="s">
        <v>1341</v>
      </c>
      <c r="U3" s="274" t="s">
        <v>1342</v>
      </c>
      <c r="V3" s="271" t="s">
        <v>1343</v>
      </c>
      <c r="W3" s="274" t="s">
        <v>1344</v>
      </c>
      <c r="X3" s="271" t="s">
        <v>1345</v>
      </c>
      <c r="Y3" s="274" t="s">
        <v>1346</v>
      </c>
      <c r="Z3" s="271" t="s">
        <v>1347</v>
      </c>
      <c r="AA3" s="274" t="s">
        <v>1348</v>
      </c>
      <c r="AB3" s="271" t="s">
        <v>1349</v>
      </c>
      <c r="AC3" s="274" t="s">
        <v>1350</v>
      </c>
      <c r="AD3" s="4" t="s">
        <v>1351</v>
      </c>
      <c r="AE3" s="277" t="s">
        <v>1352</v>
      </c>
      <c r="AF3" s="277" t="s">
        <v>1353</v>
      </c>
      <c r="AG3" s="277" t="s">
        <v>1354</v>
      </c>
      <c r="AH3" s="277" t="s">
        <v>1355</v>
      </c>
      <c r="AI3" s="277" t="s">
        <v>1356</v>
      </c>
      <c r="AJ3" s="192"/>
      <c r="AK3"/>
      <c r="AO3" s="534" t="s">
        <v>1357</v>
      </c>
      <c r="AP3" s="534"/>
      <c r="AQ3" s="534"/>
      <c r="AR3" s="285"/>
      <c r="AS3" s="285"/>
      <c r="AT3" s="535" t="s">
        <v>1358</v>
      </c>
      <c r="AU3" s="535"/>
      <c r="AV3" s="535"/>
      <c r="AW3" s="291"/>
      <c r="AX3" s="291"/>
    </row>
    <row r="4" spans="1:50" ht="34.5" x14ac:dyDescent="0.4">
      <c r="A4" s="4" t="s">
        <v>1359</v>
      </c>
      <c r="B4" s="4" t="s">
        <v>1360</v>
      </c>
      <c r="C4" s="4" t="s">
        <v>1361</v>
      </c>
      <c r="D4" s="266" t="s">
        <v>1362</v>
      </c>
      <c r="E4" s="4" t="s">
        <v>1363</v>
      </c>
      <c r="F4" s="4" t="s">
        <v>1364</v>
      </c>
      <c r="G4" s="4" t="s">
        <v>1365</v>
      </c>
      <c r="H4" s="4" t="s">
        <v>1366</v>
      </c>
      <c r="I4" s="4" t="s">
        <v>1367</v>
      </c>
      <c r="J4" s="4" t="s">
        <v>1368</v>
      </c>
      <c r="K4" s="194" t="s">
        <v>1369</v>
      </c>
      <c r="L4" s="269" t="s">
        <v>1370</v>
      </c>
      <c r="M4" s="194" t="s">
        <v>1371</v>
      </c>
      <c r="N4" s="269" t="s">
        <v>1372</v>
      </c>
      <c r="O4" s="194" t="s">
        <v>1373</v>
      </c>
      <c r="P4" s="269" t="s">
        <v>1374</v>
      </c>
      <c r="Q4" s="194" t="s">
        <v>1375</v>
      </c>
      <c r="R4" s="269" t="s">
        <v>1376</v>
      </c>
      <c r="S4" s="272" t="s">
        <v>1377</v>
      </c>
      <c r="T4" s="273" t="s">
        <v>1378</v>
      </c>
      <c r="U4" s="275" t="s">
        <v>1379</v>
      </c>
      <c r="V4" s="273" t="s">
        <v>1380</v>
      </c>
      <c r="W4" s="275" t="s">
        <v>1381</v>
      </c>
      <c r="X4" s="273" t="s">
        <v>1382</v>
      </c>
      <c r="Y4" s="275" t="s">
        <v>1383</v>
      </c>
      <c r="Z4" s="273" t="s">
        <v>1384</v>
      </c>
      <c r="AA4" s="275" t="s">
        <v>1385</v>
      </c>
      <c r="AB4" s="273" t="s">
        <v>1386</v>
      </c>
      <c r="AC4" s="275" t="s">
        <v>1387</v>
      </c>
      <c r="AD4" s="4" t="s">
        <v>1388</v>
      </c>
      <c r="AE4" s="278" t="s">
        <v>1389</v>
      </c>
      <c r="AF4" s="278" t="s">
        <v>1390</v>
      </c>
      <c r="AG4" s="278" t="s">
        <v>1391</v>
      </c>
      <c r="AH4" s="280" t="s">
        <v>1392</v>
      </c>
      <c r="AI4" s="280" t="s">
        <v>1393</v>
      </c>
      <c r="AJ4" s="281"/>
      <c r="AK4" s="284" t="s">
        <v>1374</v>
      </c>
      <c r="AO4" s="286" t="s">
        <v>1394</v>
      </c>
      <c r="AP4" s="287" t="s">
        <v>1395</v>
      </c>
      <c r="AQ4" s="287" t="s">
        <v>1242</v>
      </c>
      <c r="AR4" s="287" t="s">
        <v>1396</v>
      </c>
      <c r="AS4" s="292" t="s">
        <v>1397</v>
      </c>
      <c r="AT4" s="286" t="s">
        <v>1394</v>
      </c>
      <c r="AU4" s="287" t="s">
        <v>1395</v>
      </c>
      <c r="AV4" s="287" t="s">
        <v>1242</v>
      </c>
      <c r="AW4" s="287" t="s">
        <v>1396</v>
      </c>
      <c r="AX4" s="292" t="s">
        <v>1397</v>
      </c>
    </row>
    <row r="5" spans="1:50" x14ac:dyDescent="0.45">
      <c r="A5" s="2">
        <v>0</v>
      </c>
      <c r="B5" s="2">
        <v>0</v>
      </c>
      <c r="C5" s="62"/>
      <c r="D5" s="62"/>
      <c r="E5" s="62" t="s">
        <v>454</v>
      </c>
      <c r="G5" s="2">
        <v>1</v>
      </c>
      <c r="I5" s="146" t="str">
        <f>"1|2|"&amp;AO5&amp;",1|2|"&amp;AP5</f>
        <v>1|2|10000,1|2|20000</v>
      </c>
      <c r="J5" s="146" t="str">
        <f>"1|1|"&amp;AT5&amp;",1|1|"&amp;AU5</f>
        <v>1|1|2,1|1|4</v>
      </c>
      <c r="K5" s="2">
        <v>0</v>
      </c>
      <c r="L5" s="270">
        <v>0</v>
      </c>
      <c r="M5" s="270">
        <f>'全局参数|GlobalPar'!L15</f>
        <v>0</v>
      </c>
      <c r="N5" s="2">
        <v>1</v>
      </c>
      <c r="O5" s="2">
        <v>1</v>
      </c>
      <c r="P5" s="2">
        <v>0</v>
      </c>
      <c r="Q5" s="2">
        <v>40</v>
      </c>
      <c r="R5" s="9" t="s">
        <v>1398</v>
      </c>
      <c r="S5" s="2">
        <v>0</v>
      </c>
      <c r="U5" s="1"/>
      <c r="AD5" s="279">
        <v>500000</v>
      </c>
      <c r="AE5" s="2">
        <v>0</v>
      </c>
      <c r="AF5" s="125">
        <f>AG5*1.5</f>
        <v>1.4849999999999999</v>
      </c>
      <c r="AG5" s="282">
        <v>0.99</v>
      </c>
      <c r="AH5" s="283">
        <v>999999999</v>
      </c>
      <c r="AI5" s="2" t="s">
        <v>1399</v>
      </c>
      <c r="AJ5" s="2">
        <v>6.4999999999999997E-3</v>
      </c>
      <c r="AK5" s="2">
        <v>0</v>
      </c>
      <c r="AL5" s="2" t="s">
        <v>1400</v>
      </c>
      <c r="AO5" s="288">
        <v>10000</v>
      </c>
      <c r="AP5" s="13">
        <v>20000</v>
      </c>
      <c r="AQ5" s="13">
        <f>(AO5+AP5)/2</f>
        <v>15000</v>
      </c>
      <c r="AR5" s="13">
        <v>12</v>
      </c>
      <c r="AS5" s="293">
        <f>24/AR5*AQ5</f>
        <v>30000</v>
      </c>
      <c r="AT5" s="30">
        <v>2</v>
      </c>
      <c r="AU5" s="192">
        <v>4</v>
      </c>
      <c r="AV5" s="1">
        <f>(AT5+AU5)/2</f>
        <v>3</v>
      </c>
      <c r="AW5" s="13">
        <v>12</v>
      </c>
      <c r="AX5" s="293">
        <f>24/AW5*AV5</f>
        <v>6</v>
      </c>
    </row>
    <row r="6" spans="1:50" x14ac:dyDescent="0.45">
      <c r="A6" s="2">
        <v>1</v>
      </c>
      <c r="B6" s="2">
        <v>6</v>
      </c>
      <c r="C6" s="62" t="s">
        <v>1401</v>
      </c>
      <c r="D6" s="62" t="s">
        <v>1402</v>
      </c>
      <c r="E6" s="62" t="s">
        <v>179</v>
      </c>
      <c r="F6" s="62"/>
      <c r="G6" s="62" t="s">
        <v>189</v>
      </c>
      <c r="H6" s="62" t="s">
        <v>1403</v>
      </c>
      <c r="I6" s="146" t="str">
        <f t="shared" ref="I6:I15" si="0">"1|2|"&amp;AO6&amp;",1|2|"&amp;AP6</f>
        <v>1|2|20000,1|2|40000</v>
      </c>
      <c r="J6" s="146" t="str">
        <f t="shared" ref="J6:J15" si="1">"1|1|"&amp;AT6&amp;",1|1|"&amp;AU6</f>
        <v>1|1|4,1|1|6</v>
      </c>
      <c r="K6" s="2">
        <v>0</v>
      </c>
      <c r="L6" s="270">
        <v>0</v>
      </c>
      <c r="M6" s="270">
        <f>'全局参数|GlobalPar'!L16</f>
        <v>0</v>
      </c>
      <c r="N6" s="2">
        <v>1</v>
      </c>
      <c r="O6" s="2">
        <v>1</v>
      </c>
      <c r="P6" s="2">
        <v>0</v>
      </c>
      <c r="Q6" s="2">
        <v>50</v>
      </c>
      <c r="R6" s="9" t="s">
        <v>1398</v>
      </c>
      <c r="S6" s="2">
        <v>0</v>
      </c>
      <c r="U6" s="1"/>
      <c r="AD6" s="279">
        <v>1000000</v>
      </c>
      <c r="AE6" s="2">
        <v>0</v>
      </c>
      <c r="AF6" s="125">
        <f>AG6*1.5</f>
        <v>1.4849999999999999</v>
      </c>
      <c r="AG6" s="282">
        <v>0.99</v>
      </c>
      <c r="AH6" s="283">
        <v>999999999</v>
      </c>
      <c r="AI6" s="2" t="s">
        <v>1399</v>
      </c>
      <c r="AJ6" s="2">
        <v>6.0000000000000001E-3</v>
      </c>
      <c r="AK6" s="2">
        <v>0</v>
      </c>
      <c r="AL6" s="2" t="s">
        <v>1404</v>
      </c>
      <c r="AO6" s="288">
        <v>20000</v>
      </c>
      <c r="AP6" s="13">
        <v>40000</v>
      </c>
      <c r="AQ6" s="13">
        <f t="shared" ref="AQ6:AQ15" si="2">(AO6+AP6)/2</f>
        <v>30000</v>
      </c>
      <c r="AR6" s="13">
        <v>12</v>
      </c>
      <c r="AS6" s="293">
        <f t="shared" ref="AS6:AS15" si="3">24/AR6*AQ6</f>
        <v>60000</v>
      </c>
      <c r="AT6" s="30">
        <v>4</v>
      </c>
      <c r="AU6" s="192">
        <v>6</v>
      </c>
      <c r="AV6" s="1">
        <f t="shared" ref="AV6:AV15" si="4">(AT6+AU6)/2</f>
        <v>5</v>
      </c>
      <c r="AW6" s="13">
        <v>12</v>
      </c>
      <c r="AX6" s="293">
        <f t="shared" ref="AX6:AX15" si="5">24/AW6*AV6</f>
        <v>10</v>
      </c>
    </row>
    <row r="7" spans="1:50" x14ac:dyDescent="0.45">
      <c r="A7" s="2">
        <v>2</v>
      </c>
      <c r="B7" s="2">
        <v>200</v>
      </c>
      <c r="C7" s="62" t="s">
        <v>1405</v>
      </c>
      <c r="D7" s="62" t="s">
        <v>1406</v>
      </c>
      <c r="E7" s="62" t="s">
        <v>333</v>
      </c>
      <c r="F7" s="62"/>
      <c r="G7" s="62" t="s">
        <v>333</v>
      </c>
      <c r="H7" s="62" t="s">
        <v>1407</v>
      </c>
      <c r="I7" s="146" t="str">
        <f t="shared" si="0"/>
        <v>1|2|20000,1|2|40000</v>
      </c>
      <c r="J7" s="146" t="str">
        <f t="shared" si="1"/>
        <v>1|1|4,1|1|6</v>
      </c>
      <c r="K7" s="2">
        <v>0</v>
      </c>
      <c r="L7" s="270">
        <v>0</v>
      </c>
      <c r="M7" s="270">
        <f>'全局参数|GlobalPar'!L17</f>
        <v>2000</v>
      </c>
      <c r="N7" s="2">
        <v>1</v>
      </c>
      <c r="O7" s="2">
        <v>1</v>
      </c>
      <c r="P7" s="2">
        <v>0</v>
      </c>
      <c r="Q7" s="2">
        <v>50</v>
      </c>
      <c r="R7" s="9" t="s">
        <v>1408</v>
      </c>
      <c r="S7" s="2">
        <v>0</v>
      </c>
      <c r="U7" s="1"/>
      <c r="AD7" s="279">
        <v>2000000</v>
      </c>
      <c r="AE7" s="2">
        <v>0</v>
      </c>
      <c r="AF7" s="125">
        <f t="shared" ref="AF7:AF15" si="6">AG7*1.5</f>
        <v>1.4849999999999999</v>
      </c>
      <c r="AG7" s="282">
        <v>0.99</v>
      </c>
      <c r="AH7" s="283">
        <v>999999999</v>
      </c>
      <c r="AI7" s="2" t="s">
        <v>1399</v>
      </c>
      <c r="AJ7" s="2">
        <v>5.4999999999999997E-3</v>
      </c>
      <c r="AK7" s="2">
        <v>0</v>
      </c>
      <c r="AL7" s="2" t="s">
        <v>1409</v>
      </c>
      <c r="AO7" s="288">
        <v>20000</v>
      </c>
      <c r="AP7" s="13">
        <v>40000</v>
      </c>
      <c r="AQ7" s="13">
        <f t="shared" si="2"/>
        <v>30000</v>
      </c>
      <c r="AR7" s="13">
        <v>12</v>
      </c>
      <c r="AS7" s="293">
        <f t="shared" si="3"/>
        <v>60000</v>
      </c>
      <c r="AT7" s="30">
        <v>4</v>
      </c>
      <c r="AU7" s="192">
        <v>6</v>
      </c>
      <c r="AV7" s="1">
        <f t="shared" si="4"/>
        <v>5</v>
      </c>
      <c r="AW7" s="13">
        <v>12</v>
      </c>
      <c r="AX7" s="293">
        <f t="shared" si="5"/>
        <v>10</v>
      </c>
    </row>
    <row r="8" spans="1:50" x14ac:dyDescent="0.45">
      <c r="A8" s="2">
        <v>3</v>
      </c>
      <c r="B8" s="2">
        <v>500</v>
      </c>
      <c r="C8" s="62" t="s">
        <v>1410</v>
      </c>
      <c r="D8" s="62" t="s">
        <v>1411</v>
      </c>
      <c r="E8" s="62" t="s">
        <v>189</v>
      </c>
      <c r="F8" s="62"/>
      <c r="G8" s="62" t="s">
        <v>333</v>
      </c>
      <c r="H8" s="62" t="s">
        <v>1412</v>
      </c>
      <c r="I8" s="146" t="str">
        <f t="shared" si="0"/>
        <v>1|2|20000,1|2|40000</v>
      </c>
      <c r="J8" s="146" t="str">
        <f t="shared" si="1"/>
        <v>1|1|4,1|1|6</v>
      </c>
      <c r="K8" s="2">
        <v>0</v>
      </c>
      <c r="L8" s="270">
        <v>0</v>
      </c>
      <c r="M8" s="270">
        <f>'全局参数|GlobalPar'!L18</f>
        <v>3000</v>
      </c>
      <c r="N8" s="2">
        <v>1</v>
      </c>
      <c r="O8" s="2">
        <v>1</v>
      </c>
      <c r="P8" s="2">
        <v>0</v>
      </c>
      <c r="Q8" s="2">
        <v>60</v>
      </c>
      <c r="R8" s="9" t="s">
        <v>1408</v>
      </c>
      <c r="S8" s="2">
        <v>0</v>
      </c>
      <c r="T8" s="2" t="s">
        <v>492</v>
      </c>
      <c r="U8" s="276" t="s">
        <v>1413</v>
      </c>
      <c r="V8" s="2" t="s">
        <v>1414</v>
      </c>
      <c r="W8" s="276" t="s">
        <v>1415</v>
      </c>
      <c r="AD8" s="279">
        <v>3000000</v>
      </c>
      <c r="AE8" s="2">
        <v>0</v>
      </c>
      <c r="AF8" s="125">
        <f t="shared" si="6"/>
        <v>1.4849999999999999</v>
      </c>
      <c r="AG8" s="282">
        <v>0.99</v>
      </c>
      <c r="AH8" s="283">
        <v>999999999</v>
      </c>
      <c r="AI8" s="2" t="s">
        <v>1399</v>
      </c>
      <c r="AJ8" s="2">
        <v>5.0000000000000001E-3</v>
      </c>
      <c r="AK8" s="2">
        <v>0</v>
      </c>
      <c r="AL8" s="2" t="s">
        <v>1416</v>
      </c>
      <c r="AO8" s="288">
        <v>20000</v>
      </c>
      <c r="AP8" s="13">
        <v>40000</v>
      </c>
      <c r="AQ8" s="13">
        <f t="shared" si="2"/>
        <v>30000</v>
      </c>
      <c r="AR8" s="13">
        <v>12</v>
      </c>
      <c r="AS8" s="293">
        <f t="shared" si="3"/>
        <v>60000</v>
      </c>
      <c r="AT8" s="30">
        <v>4</v>
      </c>
      <c r="AU8" s="192">
        <v>6</v>
      </c>
      <c r="AV8" s="1">
        <f t="shared" si="4"/>
        <v>5</v>
      </c>
      <c r="AW8" s="13">
        <v>12</v>
      </c>
      <c r="AX8" s="293">
        <f t="shared" si="5"/>
        <v>10</v>
      </c>
    </row>
    <row r="9" spans="1:50" x14ac:dyDescent="0.45">
      <c r="A9" s="2">
        <v>4</v>
      </c>
      <c r="B9" s="2">
        <v>1000</v>
      </c>
      <c r="C9" s="62" t="s">
        <v>1417</v>
      </c>
      <c r="D9" s="62" t="s">
        <v>1406</v>
      </c>
      <c r="E9" s="62" t="s">
        <v>98</v>
      </c>
      <c r="F9" s="62"/>
      <c r="G9" s="62" t="s">
        <v>179</v>
      </c>
      <c r="H9" s="62" t="s">
        <v>1418</v>
      </c>
      <c r="I9" s="146" t="str">
        <f t="shared" si="0"/>
        <v>1|2|20000,1|2|40000</v>
      </c>
      <c r="J9" s="146" t="str">
        <f t="shared" si="1"/>
        <v>1|1|4,1|1|6</v>
      </c>
      <c r="K9" s="2">
        <v>0</v>
      </c>
      <c r="L9" s="270">
        <v>0</v>
      </c>
      <c r="M9" s="270">
        <f>'全局参数|GlobalPar'!L19</f>
        <v>4000</v>
      </c>
      <c r="N9" s="2">
        <v>1</v>
      </c>
      <c r="O9" s="2">
        <v>1</v>
      </c>
      <c r="P9" s="2">
        <v>0</v>
      </c>
      <c r="Q9" s="2">
        <v>60</v>
      </c>
      <c r="R9" s="9" t="s">
        <v>1419</v>
      </c>
      <c r="S9" s="2">
        <v>0</v>
      </c>
      <c r="T9" s="2" t="s">
        <v>492</v>
      </c>
      <c r="U9" s="276" t="s">
        <v>777</v>
      </c>
      <c r="V9" s="2" t="s">
        <v>1414</v>
      </c>
      <c r="W9" s="276" t="s">
        <v>1420</v>
      </c>
      <c r="AD9" s="279">
        <v>5000000</v>
      </c>
      <c r="AE9" s="2">
        <v>0</v>
      </c>
      <c r="AF9" s="125">
        <f t="shared" si="6"/>
        <v>1.4849999999999999</v>
      </c>
      <c r="AG9" s="282">
        <v>0.99</v>
      </c>
      <c r="AH9" s="283">
        <v>999999999</v>
      </c>
      <c r="AI9" s="2" t="s">
        <v>1399</v>
      </c>
      <c r="AJ9" s="2">
        <v>4.4999999999999997E-3</v>
      </c>
      <c r="AK9" s="2">
        <v>5</v>
      </c>
      <c r="AL9" s="2" t="s">
        <v>1421</v>
      </c>
      <c r="AO9" s="288">
        <v>20000</v>
      </c>
      <c r="AP9" s="13">
        <v>40000</v>
      </c>
      <c r="AQ9" s="13">
        <f t="shared" si="2"/>
        <v>30000</v>
      </c>
      <c r="AR9" s="13">
        <v>12</v>
      </c>
      <c r="AS9" s="293">
        <f t="shared" si="3"/>
        <v>60000</v>
      </c>
      <c r="AT9" s="30">
        <v>4</v>
      </c>
      <c r="AU9" s="192">
        <v>6</v>
      </c>
      <c r="AV9" s="1">
        <f t="shared" si="4"/>
        <v>5</v>
      </c>
      <c r="AW9" s="13">
        <v>12</v>
      </c>
      <c r="AX9" s="293">
        <f t="shared" si="5"/>
        <v>10</v>
      </c>
    </row>
    <row r="10" spans="1:50" x14ac:dyDescent="0.45">
      <c r="A10" s="2">
        <v>5</v>
      </c>
      <c r="B10" s="2">
        <v>2000</v>
      </c>
      <c r="C10" s="62" t="s">
        <v>1422</v>
      </c>
      <c r="D10" s="62" t="s">
        <v>1411</v>
      </c>
      <c r="E10" s="62" t="s">
        <v>98</v>
      </c>
      <c r="F10" s="62"/>
      <c r="G10" s="62" t="s">
        <v>179</v>
      </c>
      <c r="H10" s="62" t="s">
        <v>1423</v>
      </c>
      <c r="I10" s="146" t="str">
        <f t="shared" si="0"/>
        <v>1|2|40000,1|2|80000</v>
      </c>
      <c r="J10" s="146" t="str">
        <f t="shared" si="1"/>
        <v>1|1|6,1|1|8</v>
      </c>
      <c r="K10" s="2">
        <v>0</v>
      </c>
      <c r="L10" s="270">
        <v>0</v>
      </c>
      <c r="M10" s="270">
        <f>'全局参数|GlobalPar'!L20</f>
        <v>5000</v>
      </c>
      <c r="N10" s="2">
        <v>1</v>
      </c>
      <c r="O10" s="2">
        <v>1</v>
      </c>
      <c r="P10" s="2">
        <v>0</v>
      </c>
      <c r="Q10" s="2">
        <v>70</v>
      </c>
      <c r="R10" s="9" t="s">
        <v>1419</v>
      </c>
      <c r="S10" s="2">
        <v>0</v>
      </c>
      <c r="T10" s="2" t="s">
        <v>492</v>
      </c>
      <c r="U10" s="276" t="s">
        <v>1424</v>
      </c>
      <c r="V10" s="2" t="s">
        <v>1414</v>
      </c>
      <c r="W10" s="276" t="s">
        <v>777</v>
      </c>
      <c r="AD10" s="279">
        <v>8000000</v>
      </c>
      <c r="AE10" s="2">
        <v>0</v>
      </c>
      <c r="AF10" s="125">
        <f t="shared" si="6"/>
        <v>1.4849999999999999</v>
      </c>
      <c r="AG10" s="282">
        <v>0.99</v>
      </c>
      <c r="AH10" s="283">
        <v>999999999</v>
      </c>
      <c r="AI10" s="2" t="s">
        <v>1399</v>
      </c>
      <c r="AJ10" s="2">
        <v>4.0000000000000001E-3</v>
      </c>
      <c r="AK10" s="2">
        <v>5</v>
      </c>
      <c r="AL10" s="2" t="s">
        <v>1425</v>
      </c>
      <c r="AO10" s="288">
        <v>40000</v>
      </c>
      <c r="AP10" s="13">
        <v>80000</v>
      </c>
      <c r="AQ10" s="13">
        <f t="shared" si="2"/>
        <v>60000</v>
      </c>
      <c r="AR10" s="13">
        <v>12</v>
      </c>
      <c r="AS10" s="293">
        <f t="shared" si="3"/>
        <v>120000</v>
      </c>
      <c r="AT10" s="30">
        <v>6</v>
      </c>
      <c r="AU10" s="192">
        <v>8</v>
      </c>
      <c r="AV10" s="1">
        <f t="shared" si="4"/>
        <v>7</v>
      </c>
      <c r="AW10" s="13">
        <v>12</v>
      </c>
      <c r="AX10" s="293">
        <f t="shared" si="5"/>
        <v>14</v>
      </c>
    </row>
    <row r="11" spans="1:50" x14ac:dyDescent="0.45">
      <c r="A11" s="2">
        <v>6</v>
      </c>
      <c r="B11" s="2">
        <v>5000</v>
      </c>
      <c r="C11" s="62" t="s">
        <v>1426</v>
      </c>
      <c r="D11" s="62" t="s">
        <v>1427</v>
      </c>
      <c r="E11" s="62" t="s">
        <v>98</v>
      </c>
      <c r="F11" s="62"/>
      <c r="G11" s="62" t="s">
        <v>454</v>
      </c>
      <c r="H11" s="62" t="s">
        <v>1428</v>
      </c>
      <c r="I11" s="146" t="str">
        <f t="shared" si="0"/>
        <v>1|2|40000,1|2|80000</v>
      </c>
      <c r="J11" s="146" t="str">
        <f t="shared" si="1"/>
        <v>1|1|6,1|1|8</v>
      </c>
      <c r="K11" s="2">
        <v>0</v>
      </c>
      <c r="L11" s="270">
        <v>0</v>
      </c>
      <c r="M11" s="270">
        <f>'全局参数|GlobalPar'!L21</f>
        <v>6000</v>
      </c>
      <c r="N11" s="2">
        <v>1</v>
      </c>
      <c r="O11" s="2">
        <v>1</v>
      </c>
      <c r="P11" s="2">
        <v>0</v>
      </c>
      <c r="Q11" s="41">
        <v>80</v>
      </c>
      <c r="R11" s="9" t="s">
        <v>1429</v>
      </c>
      <c r="S11" s="2">
        <v>3</v>
      </c>
      <c r="T11" s="2" t="s">
        <v>492</v>
      </c>
      <c r="U11" s="276" t="s">
        <v>1430</v>
      </c>
      <c r="V11" s="2" t="s">
        <v>1414</v>
      </c>
      <c r="W11" s="276" t="s">
        <v>782</v>
      </c>
      <c r="AD11" s="279">
        <v>10000000</v>
      </c>
      <c r="AE11" s="2">
        <v>0</v>
      </c>
      <c r="AF11" s="125">
        <f t="shared" si="6"/>
        <v>1.4849999999999999</v>
      </c>
      <c r="AG11" s="282">
        <v>0.99</v>
      </c>
      <c r="AH11" s="283">
        <v>999999999</v>
      </c>
      <c r="AI11" s="2" t="s">
        <v>1399</v>
      </c>
      <c r="AJ11" s="2">
        <v>3.5000000000000001E-3</v>
      </c>
      <c r="AK11" s="2">
        <v>10</v>
      </c>
      <c r="AL11" s="2" t="s">
        <v>1431</v>
      </c>
      <c r="AO11" s="288">
        <v>40000</v>
      </c>
      <c r="AP11" s="13">
        <v>80000</v>
      </c>
      <c r="AQ11" s="13">
        <f t="shared" si="2"/>
        <v>60000</v>
      </c>
      <c r="AR11" s="13">
        <v>12</v>
      </c>
      <c r="AS11" s="293">
        <f t="shared" si="3"/>
        <v>120000</v>
      </c>
      <c r="AT11" s="30">
        <v>6</v>
      </c>
      <c r="AU11" s="192">
        <v>8</v>
      </c>
      <c r="AV11" s="1">
        <f t="shared" si="4"/>
        <v>7</v>
      </c>
      <c r="AW11" s="13">
        <v>12</v>
      </c>
      <c r="AX11" s="293">
        <f t="shared" si="5"/>
        <v>14</v>
      </c>
    </row>
    <row r="12" spans="1:50" x14ac:dyDescent="0.45">
      <c r="A12" s="2">
        <v>7</v>
      </c>
      <c r="B12" s="2">
        <v>10000</v>
      </c>
      <c r="C12" s="62" t="s">
        <v>1432</v>
      </c>
      <c r="D12" s="62" t="s">
        <v>1433</v>
      </c>
      <c r="E12" s="62" t="s">
        <v>98</v>
      </c>
      <c r="F12" s="62"/>
      <c r="G12" s="62" t="s">
        <v>454</v>
      </c>
      <c r="H12" s="62" t="s">
        <v>1434</v>
      </c>
      <c r="I12" s="146" t="str">
        <f t="shared" si="0"/>
        <v>1|2|40000,1|2|80000</v>
      </c>
      <c r="J12" s="146" t="str">
        <f t="shared" si="1"/>
        <v>1|1|6,1|1|8</v>
      </c>
      <c r="K12" s="270">
        <v>0</v>
      </c>
      <c r="L12" s="270">
        <v>0</v>
      </c>
      <c r="M12" s="270">
        <f>'全局参数|GlobalPar'!L22</f>
        <v>7000</v>
      </c>
      <c r="N12" s="2">
        <v>1</v>
      </c>
      <c r="O12" s="2">
        <v>1</v>
      </c>
      <c r="P12" s="2">
        <v>5</v>
      </c>
      <c r="Q12" s="2">
        <v>80</v>
      </c>
      <c r="R12" s="9" t="s">
        <v>1435</v>
      </c>
      <c r="S12" s="2">
        <v>5</v>
      </c>
      <c r="T12" s="2" t="s">
        <v>1215</v>
      </c>
      <c r="U12" s="276" t="s">
        <v>1420</v>
      </c>
      <c r="V12" s="2" t="s">
        <v>1436</v>
      </c>
      <c r="W12" s="276" t="s">
        <v>787</v>
      </c>
      <c r="X12" s="2" t="s">
        <v>1437</v>
      </c>
      <c r="Y12" s="276" t="s">
        <v>1430</v>
      </c>
      <c r="AD12" s="279">
        <v>12000000</v>
      </c>
      <c r="AE12" s="2">
        <v>0</v>
      </c>
      <c r="AF12" s="125">
        <f t="shared" si="6"/>
        <v>1.4849999999999999</v>
      </c>
      <c r="AG12" s="282">
        <v>0.99</v>
      </c>
      <c r="AH12" s="283">
        <v>999999999</v>
      </c>
      <c r="AI12" s="2" t="s">
        <v>1399</v>
      </c>
      <c r="AJ12" s="2">
        <v>3.0000000000000001E-3</v>
      </c>
      <c r="AK12" s="2">
        <v>10</v>
      </c>
      <c r="AL12" s="2" t="s">
        <v>1438</v>
      </c>
      <c r="AO12" s="288">
        <v>40000</v>
      </c>
      <c r="AP12" s="13">
        <v>80000</v>
      </c>
      <c r="AQ12" s="13">
        <f t="shared" si="2"/>
        <v>60000</v>
      </c>
      <c r="AR12" s="13">
        <v>12</v>
      </c>
      <c r="AS12" s="293">
        <f t="shared" si="3"/>
        <v>120000</v>
      </c>
      <c r="AT12" s="30">
        <v>6</v>
      </c>
      <c r="AU12" s="192">
        <v>8</v>
      </c>
      <c r="AV12" s="1">
        <f t="shared" si="4"/>
        <v>7</v>
      </c>
      <c r="AW12" s="13">
        <v>12</v>
      </c>
      <c r="AX12" s="293">
        <f t="shared" si="5"/>
        <v>14</v>
      </c>
    </row>
    <row r="13" spans="1:50" x14ac:dyDescent="0.45">
      <c r="A13" s="2">
        <v>8</v>
      </c>
      <c r="B13" s="41">
        <v>20000</v>
      </c>
      <c r="C13" s="62" t="s">
        <v>1439</v>
      </c>
      <c r="D13" s="62" t="s">
        <v>1440</v>
      </c>
      <c r="E13" s="62" t="s">
        <v>98</v>
      </c>
      <c r="F13" s="62"/>
      <c r="G13" s="62" t="s">
        <v>275</v>
      </c>
      <c r="H13" s="62" t="s">
        <v>1441</v>
      </c>
      <c r="I13" s="146" t="str">
        <f t="shared" si="0"/>
        <v>1|2|40000,1|2|80000</v>
      </c>
      <c r="J13" s="146" t="str">
        <f t="shared" si="1"/>
        <v>1|1|6,1|1|8</v>
      </c>
      <c r="K13" s="270">
        <v>0</v>
      </c>
      <c r="L13" s="270">
        <v>0</v>
      </c>
      <c r="M13" s="270">
        <f>'全局参数|GlobalPar'!L23</f>
        <v>8000</v>
      </c>
      <c r="N13" s="2">
        <v>1</v>
      </c>
      <c r="O13" s="2">
        <v>1</v>
      </c>
      <c r="P13" s="2">
        <v>6</v>
      </c>
      <c r="Q13" s="2">
        <v>90</v>
      </c>
      <c r="R13" s="9" t="s">
        <v>1442</v>
      </c>
      <c r="S13" s="2">
        <v>7</v>
      </c>
      <c r="T13" s="2" t="s">
        <v>1215</v>
      </c>
      <c r="U13" s="276" t="s">
        <v>792</v>
      </c>
      <c r="V13" s="2" t="s">
        <v>1436</v>
      </c>
      <c r="W13" s="276" t="s">
        <v>1420</v>
      </c>
      <c r="X13" s="2" t="s">
        <v>1437</v>
      </c>
      <c r="Y13" s="276" t="s">
        <v>787</v>
      </c>
      <c r="Z13" s="2" t="s">
        <v>1443</v>
      </c>
      <c r="AA13" s="276" t="s">
        <v>1430</v>
      </c>
      <c r="AD13" s="279">
        <v>15000000</v>
      </c>
      <c r="AE13" s="2">
        <v>0</v>
      </c>
      <c r="AF13" s="125">
        <f t="shared" si="6"/>
        <v>1.4849999999999999</v>
      </c>
      <c r="AG13" s="282">
        <v>0.99</v>
      </c>
      <c r="AH13" s="283">
        <v>999999999</v>
      </c>
      <c r="AI13" s="2" t="s">
        <v>1399</v>
      </c>
      <c r="AJ13" s="2">
        <v>2.5000000000000001E-3</v>
      </c>
      <c r="AK13" s="2">
        <v>20</v>
      </c>
      <c r="AL13" s="2" t="s">
        <v>1444</v>
      </c>
      <c r="AO13" s="288">
        <v>40000</v>
      </c>
      <c r="AP13" s="13">
        <v>80000</v>
      </c>
      <c r="AQ13" s="13">
        <f t="shared" si="2"/>
        <v>60000</v>
      </c>
      <c r="AR13" s="13">
        <v>12</v>
      </c>
      <c r="AS13" s="293">
        <f t="shared" si="3"/>
        <v>120000</v>
      </c>
      <c r="AT13" s="30">
        <v>6</v>
      </c>
      <c r="AU13" s="192">
        <v>8</v>
      </c>
      <c r="AV13" s="1">
        <f t="shared" si="4"/>
        <v>7</v>
      </c>
      <c r="AW13" s="13">
        <v>12</v>
      </c>
      <c r="AX13" s="293">
        <f t="shared" si="5"/>
        <v>14</v>
      </c>
    </row>
    <row r="14" spans="1:50" x14ac:dyDescent="0.45">
      <c r="A14" s="2">
        <v>9</v>
      </c>
      <c r="B14" s="41">
        <v>50000</v>
      </c>
      <c r="C14" s="62" t="s">
        <v>1445</v>
      </c>
      <c r="D14" s="62" t="s">
        <v>1446</v>
      </c>
      <c r="E14" s="62" t="s">
        <v>98</v>
      </c>
      <c r="F14" s="62"/>
      <c r="G14" s="62" t="s">
        <v>275</v>
      </c>
      <c r="H14" s="62" t="s">
        <v>1447</v>
      </c>
      <c r="I14" s="146" t="str">
        <f t="shared" si="0"/>
        <v>1|2|80000,1|2|120000</v>
      </c>
      <c r="J14" s="146" t="str">
        <f t="shared" si="1"/>
        <v>1|1|8,1|1|12</v>
      </c>
      <c r="K14" s="270">
        <v>0</v>
      </c>
      <c r="L14" s="270">
        <v>0</v>
      </c>
      <c r="M14" s="270">
        <f>'全局参数|GlobalPar'!L24</f>
        <v>9000</v>
      </c>
      <c r="N14" s="2">
        <v>1</v>
      </c>
      <c r="O14" s="2">
        <v>1</v>
      </c>
      <c r="P14" s="2">
        <v>8</v>
      </c>
      <c r="Q14" s="2">
        <v>100</v>
      </c>
      <c r="R14" s="9" t="s">
        <v>1448</v>
      </c>
      <c r="S14" s="2">
        <v>10</v>
      </c>
      <c r="T14" s="2" t="s">
        <v>1215</v>
      </c>
      <c r="U14" s="276" t="s">
        <v>1449</v>
      </c>
      <c r="V14" s="2" t="s">
        <v>1436</v>
      </c>
      <c r="W14" s="276" t="s">
        <v>792</v>
      </c>
      <c r="X14" s="2" t="s">
        <v>1437</v>
      </c>
      <c r="Y14" s="276" t="s">
        <v>1420</v>
      </c>
      <c r="Z14" s="2" t="s">
        <v>1443</v>
      </c>
      <c r="AA14" s="276" t="s">
        <v>787</v>
      </c>
      <c r="AB14" s="2" t="s">
        <v>1450</v>
      </c>
      <c r="AC14" s="276" t="s">
        <v>1430</v>
      </c>
      <c r="AD14" s="279">
        <v>30000000</v>
      </c>
      <c r="AE14" s="2">
        <v>0</v>
      </c>
      <c r="AF14" s="125">
        <f t="shared" si="6"/>
        <v>1.4849999999999999</v>
      </c>
      <c r="AG14" s="282">
        <v>0.99</v>
      </c>
      <c r="AH14" s="283">
        <v>999999999</v>
      </c>
      <c r="AI14" s="2" t="s">
        <v>1399</v>
      </c>
      <c r="AJ14" s="1"/>
      <c r="AK14" s="2">
        <v>20</v>
      </c>
      <c r="AL14" s="2" t="s">
        <v>1451</v>
      </c>
      <c r="AO14" s="288">
        <v>80000</v>
      </c>
      <c r="AP14" s="13">
        <v>120000</v>
      </c>
      <c r="AQ14" s="13">
        <f t="shared" si="2"/>
        <v>100000</v>
      </c>
      <c r="AR14" s="13">
        <v>12</v>
      </c>
      <c r="AS14" s="293">
        <f t="shared" si="3"/>
        <v>200000</v>
      </c>
      <c r="AT14" s="30">
        <v>8</v>
      </c>
      <c r="AU14" s="192">
        <v>12</v>
      </c>
      <c r="AV14" s="1">
        <f t="shared" si="4"/>
        <v>10</v>
      </c>
      <c r="AW14" s="13">
        <v>12</v>
      </c>
      <c r="AX14" s="293">
        <f t="shared" si="5"/>
        <v>20</v>
      </c>
    </row>
    <row r="15" spans="1:50" x14ac:dyDescent="0.45">
      <c r="A15" s="2">
        <v>10</v>
      </c>
      <c r="B15" s="41">
        <v>100000</v>
      </c>
      <c r="C15" s="62" t="s">
        <v>1452</v>
      </c>
      <c r="D15" s="62" t="s">
        <v>1446</v>
      </c>
      <c r="E15" s="62" t="s">
        <v>98</v>
      </c>
      <c r="F15" s="62"/>
      <c r="G15" s="62" t="s">
        <v>275</v>
      </c>
      <c r="H15" s="62" t="s">
        <v>1453</v>
      </c>
      <c r="I15" s="146" t="str">
        <f t="shared" si="0"/>
        <v>1|2|80000,1|2|120000</v>
      </c>
      <c r="J15" s="146" t="str">
        <f t="shared" si="1"/>
        <v>1|1|8,1|1|12</v>
      </c>
      <c r="K15" s="270">
        <v>0</v>
      </c>
      <c r="L15" s="270">
        <v>0</v>
      </c>
      <c r="M15" s="270">
        <f>'全局参数|GlobalPar'!L25</f>
        <v>11000</v>
      </c>
      <c r="N15" s="2">
        <v>1</v>
      </c>
      <c r="O15" s="2">
        <v>1</v>
      </c>
      <c r="P15" s="2">
        <v>10</v>
      </c>
      <c r="Q15" s="2">
        <v>120</v>
      </c>
      <c r="R15" s="9" t="s">
        <v>1454</v>
      </c>
      <c r="S15" s="2">
        <v>12</v>
      </c>
      <c r="T15" s="2" t="s">
        <v>1215</v>
      </c>
      <c r="U15" s="276" t="s">
        <v>832</v>
      </c>
      <c r="V15" s="2" t="s">
        <v>1436</v>
      </c>
      <c r="W15" s="276" t="s">
        <v>1449</v>
      </c>
      <c r="X15" s="2" t="s">
        <v>1437</v>
      </c>
      <c r="Y15" s="276" t="s">
        <v>792</v>
      </c>
      <c r="Z15" s="2" t="s">
        <v>1443</v>
      </c>
      <c r="AA15" s="276" t="s">
        <v>1420</v>
      </c>
      <c r="AB15" s="2" t="s">
        <v>1450</v>
      </c>
      <c r="AC15" s="276" t="s">
        <v>787</v>
      </c>
      <c r="AD15" s="191">
        <v>50000000</v>
      </c>
      <c r="AE15" s="2">
        <v>0</v>
      </c>
      <c r="AF15" s="125">
        <f t="shared" si="6"/>
        <v>1.4849999999999999</v>
      </c>
      <c r="AG15" s="282">
        <v>0.99</v>
      </c>
      <c r="AH15" s="283">
        <v>999999999</v>
      </c>
      <c r="AI15" s="2" t="s">
        <v>1399</v>
      </c>
      <c r="AO15" s="289">
        <v>80000</v>
      </c>
      <c r="AP15" s="290">
        <v>120000</v>
      </c>
      <c r="AQ15" s="290">
        <f t="shared" si="2"/>
        <v>100000</v>
      </c>
      <c r="AR15" s="290">
        <v>12</v>
      </c>
      <c r="AS15" s="294">
        <f t="shared" si="3"/>
        <v>200000</v>
      </c>
      <c r="AT15" s="31">
        <v>8</v>
      </c>
      <c r="AU15" s="295">
        <v>12</v>
      </c>
      <c r="AV15" s="296">
        <f t="shared" si="4"/>
        <v>10</v>
      </c>
      <c r="AW15" s="290">
        <v>12</v>
      </c>
      <c r="AX15" s="294">
        <f t="shared" si="5"/>
        <v>20</v>
      </c>
    </row>
  </sheetData>
  <mergeCells count="2">
    <mergeCell ref="AO3:AQ3"/>
    <mergeCell ref="AT3:AV3"/>
  </mergeCells>
  <phoneticPr fontId="57" type="noConversion"/>
  <conditionalFormatting sqref="AH5">
    <cfRule type="containsText" dxfId="1131" priority="29" operator="containsText" text=" ">
      <formula>NOT(ISERROR(SEARCH(" ",AH5)))</formula>
    </cfRule>
  </conditionalFormatting>
  <conditionalFormatting sqref="AH6">
    <cfRule type="containsText" dxfId="1130" priority="30" operator="containsText" text=" ">
      <formula>NOT(ISERROR(SEARCH(" ",AH6)))</formula>
    </cfRule>
  </conditionalFormatting>
  <conditionalFormatting sqref="V8">
    <cfRule type="containsText" dxfId="1129" priority="93" operator="containsText" text=" ">
      <formula>NOT(ISERROR(SEARCH(" ",V8)))</formula>
    </cfRule>
  </conditionalFormatting>
  <conditionalFormatting sqref="W8">
    <cfRule type="containsText" dxfId="1128" priority="17" operator="containsText" text=" ">
      <formula>NOT(ISERROR(SEARCH(" ",W8)))</formula>
    </cfRule>
  </conditionalFormatting>
  <conditionalFormatting sqref="V9">
    <cfRule type="containsText" dxfId="1127" priority="92" operator="containsText" text=" ">
      <formula>NOT(ISERROR(SEARCH(" ",V9)))</formula>
    </cfRule>
  </conditionalFormatting>
  <conditionalFormatting sqref="V10">
    <cfRule type="containsText" dxfId="1126" priority="91" operator="containsText" text=" ">
      <formula>NOT(ISERROR(SEARCH(" ",V10)))</formula>
    </cfRule>
  </conditionalFormatting>
  <conditionalFormatting sqref="V11">
    <cfRule type="containsText" dxfId="1125" priority="70" operator="containsText" text=" ">
      <formula>NOT(ISERROR(SEARCH(" ",V11)))</formula>
    </cfRule>
  </conditionalFormatting>
  <conditionalFormatting sqref="AT11">
    <cfRule type="containsText" dxfId="1124" priority="6" operator="containsText" text=" ">
      <formula>NOT(ISERROR(SEARCH(" ",AT11)))</formula>
    </cfRule>
  </conditionalFormatting>
  <conditionalFormatting sqref="E12">
    <cfRule type="containsText" dxfId="1123" priority="1" operator="containsText" text=" ">
      <formula>NOT(ISERROR(SEARCH(" ",E12)))</formula>
    </cfRule>
  </conditionalFormatting>
  <conditionalFormatting sqref="V12">
    <cfRule type="containsText" dxfId="1122" priority="78" operator="containsText" text=" ">
      <formula>NOT(ISERROR(SEARCH(" ",V12)))</formula>
    </cfRule>
  </conditionalFormatting>
  <conditionalFormatting sqref="X12">
    <cfRule type="containsText" dxfId="1121" priority="76" operator="containsText" text=" ">
      <formula>NOT(ISERROR(SEARCH(" ",X12)))</formula>
    </cfRule>
  </conditionalFormatting>
  <conditionalFormatting sqref="Y12">
    <cfRule type="containsText" dxfId="1120" priority="14" operator="containsText" text=" ">
      <formula>NOT(ISERROR(SEARCH(" ",Y12)))</formula>
    </cfRule>
  </conditionalFormatting>
  <conditionalFormatting sqref="AT12">
    <cfRule type="containsText" dxfId="1119" priority="5" operator="containsText" text=" ">
      <formula>NOT(ISERROR(SEARCH(" ",AT12)))</formula>
    </cfRule>
  </conditionalFormatting>
  <conditionalFormatting sqref="V13">
    <cfRule type="containsText" dxfId="1118" priority="84" operator="containsText" text=" ">
      <formula>NOT(ISERROR(SEARCH(" ",V13)))</formula>
    </cfRule>
  </conditionalFormatting>
  <conditionalFormatting sqref="X13">
    <cfRule type="containsText" dxfId="1117" priority="82" operator="containsText" text=" ">
      <formula>NOT(ISERROR(SEARCH(" ",X13)))</formula>
    </cfRule>
  </conditionalFormatting>
  <conditionalFormatting sqref="Z13">
    <cfRule type="containsText" dxfId="1116" priority="80" operator="containsText" text=" ">
      <formula>NOT(ISERROR(SEARCH(" ",Z13)))</formula>
    </cfRule>
  </conditionalFormatting>
  <conditionalFormatting sqref="AA13">
    <cfRule type="containsText" dxfId="1115" priority="12" operator="containsText" text=" ">
      <formula>NOT(ISERROR(SEARCH(" ",AA13)))</formula>
    </cfRule>
  </conditionalFormatting>
  <conditionalFormatting sqref="AT13">
    <cfRule type="containsText" dxfId="1114" priority="4" operator="containsText" text=" ">
      <formula>NOT(ISERROR(SEARCH(" ",AT13)))</formula>
    </cfRule>
  </conditionalFormatting>
  <conditionalFormatting sqref="V14">
    <cfRule type="containsText" dxfId="1113" priority="97" operator="containsText" text=" ">
      <formula>NOT(ISERROR(SEARCH(" ",V14)))</formula>
    </cfRule>
  </conditionalFormatting>
  <conditionalFormatting sqref="X14">
    <cfRule type="containsText" dxfId="1112" priority="90" operator="containsText" text=" ">
      <formula>NOT(ISERROR(SEARCH(" ",X14)))</formula>
    </cfRule>
  </conditionalFormatting>
  <conditionalFormatting sqref="Z14">
    <cfRule type="containsText" dxfId="1111" priority="88" operator="containsText" text=" ">
      <formula>NOT(ISERROR(SEARCH(" ",Z14)))</formula>
    </cfRule>
  </conditionalFormatting>
  <conditionalFormatting sqref="AB14">
    <cfRule type="containsText" dxfId="1110" priority="86" operator="containsText" text=" ">
      <formula>NOT(ISERROR(SEARCH(" ",AB14)))</formula>
    </cfRule>
  </conditionalFormatting>
  <conditionalFormatting sqref="AC14">
    <cfRule type="containsText" dxfId="1109" priority="10" operator="containsText" text=" ">
      <formula>NOT(ISERROR(SEARCH(" ",AC14)))</formula>
    </cfRule>
  </conditionalFormatting>
  <conditionalFormatting sqref="AD14">
    <cfRule type="containsText" dxfId="1108" priority="85" operator="containsText" text=" ">
      <formula>NOT(ISERROR(SEARCH(" ",AD14)))</formula>
    </cfRule>
  </conditionalFormatting>
  <conditionalFormatting sqref="C15">
    <cfRule type="containsText" dxfId="1107" priority="28" operator="containsText" text=" ">
      <formula>NOT(ISERROR(SEARCH(" ",C15)))</formula>
    </cfRule>
  </conditionalFormatting>
  <conditionalFormatting sqref="D15">
    <cfRule type="containsText" dxfId="1106" priority="33" operator="containsText" text=" ">
      <formula>NOT(ISERROR(SEARCH(" ",D15)))</formula>
    </cfRule>
  </conditionalFormatting>
  <conditionalFormatting sqref="K15">
    <cfRule type="containsText" dxfId="1105" priority="32" operator="containsText" text=" ">
      <formula>NOT(ISERROR(SEARCH(" ",K15)))</formula>
    </cfRule>
  </conditionalFormatting>
  <conditionalFormatting sqref="U15">
    <cfRule type="containsText" dxfId="1104" priority="45" operator="containsText" text=" ">
      <formula>NOT(ISERROR(SEARCH(" ",U15)))</formula>
    </cfRule>
  </conditionalFormatting>
  <conditionalFormatting sqref="V15">
    <cfRule type="containsText" dxfId="1103" priority="44" operator="containsText" text=" ">
      <formula>NOT(ISERROR(SEARCH(" ",V15)))</formula>
    </cfRule>
  </conditionalFormatting>
  <conditionalFormatting sqref="W15">
    <cfRule type="containsText" dxfId="1102" priority="16" operator="containsText" text=" ">
      <formula>NOT(ISERROR(SEARCH(" ",W15)))</formula>
    </cfRule>
  </conditionalFormatting>
  <conditionalFormatting sqref="X15">
    <cfRule type="containsText" dxfId="1101" priority="41" operator="containsText" text=" ">
      <formula>NOT(ISERROR(SEARCH(" ",X15)))</formula>
    </cfRule>
  </conditionalFormatting>
  <conditionalFormatting sqref="Z15">
    <cfRule type="containsText" dxfId="1100" priority="39" operator="containsText" text=" ">
      <formula>NOT(ISERROR(SEARCH(" ",Z15)))</formula>
    </cfRule>
  </conditionalFormatting>
  <conditionalFormatting sqref="AB15">
    <cfRule type="containsText" dxfId="1099" priority="37" operator="containsText" text=" ">
      <formula>NOT(ISERROR(SEARCH(" ",AB15)))</formula>
    </cfRule>
  </conditionalFormatting>
  <conditionalFormatting sqref="AC15">
    <cfRule type="containsText" dxfId="1098" priority="11" operator="containsText" text=" ">
      <formula>NOT(ISERROR(SEARCH(" ",AC15)))</formula>
    </cfRule>
  </conditionalFormatting>
  <conditionalFormatting sqref="AD15">
    <cfRule type="containsText" dxfId="1097" priority="31" operator="containsText" text=" ">
      <formula>NOT(ISERROR(SEARCH(" ",AD15)))</formula>
    </cfRule>
    <cfRule type="containsText" dxfId="1096" priority="36" operator="containsText" text=" ">
      <formula>NOT(ISERROR(SEARCH(" ",AD15)))</formula>
    </cfRule>
  </conditionalFormatting>
  <conditionalFormatting sqref="AH15">
    <cfRule type="containsText" dxfId="1095" priority="34" operator="containsText" text=" ">
      <formula>NOT(ISERROR(SEARCH(" ",AH15)))</formula>
    </cfRule>
  </conditionalFormatting>
  <conditionalFormatting sqref="D6:D14">
    <cfRule type="containsText" dxfId="1094" priority="62" operator="containsText" text=" ">
      <formula>NOT(ISERROR(SEARCH(" ",D6)))</formula>
    </cfRule>
  </conditionalFormatting>
  <conditionalFormatting sqref="H6:H15">
    <cfRule type="containsText" dxfId="1093" priority="3" operator="containsText" text=" ">
      <formula>NOT(ISERROR(SEARCH(" ",H6)))</formula>
    </cfRule>
  </conditionalFormatting>
  <conditionalFormatting sqref="W9:W14">
    <cfRule type="containsText" dxfId="1092" priority="18" operator="containsText" text=" ">
      <formula>NOT(ISERROR(SEARCH(" ",W9)))</formula>
    </cfRule>
  </conditionalFormatting>
  <conditionalFormatting sqref="Y13:Y15">
    <cfRule type="containsText" dxfId="1091" priority="15" operator="containsText" text=" ">
      <formula>NOT(ISERROR(SEARCH(" ",Y13)))</formula>
    </cfRule>
  </conditionalFormatting>
  <conditionalFormatting sqref="AA14:AA15">
    <cfRule type="containsText" dxfId="1090" priority="13" operator="containsText" text=" ">
      <formula>NOT(ISERROR(SEARCH(" ",AA14)))</formula>
    </cfRule>
  </conditionalFormatting>
  <conditionalFormatting sqref="AG5:AG15">
    <cfRule type="containsText" dxfId="1089" priority="67" operator="containsText" text=" ">
      <formula>NOT(ISERROR(SEARCH(" ",AG5)))</formula>
    </cfRule>
  </conditionalFormatting>
  <conditionalFormatting sqref="AH7:AH14">
    <cfRule type="containsText" dxfId="1088" priority="64" operator="containsText" text=" ">
      <formula>NOT(ISERROR(SEARCH(" ",AH7)))</formula>
    </cfRule>
  </conditionalFormatting>
  <conditionalFormatting sqref="AK5:AK14">
    <cfRule type="containsText" dxfId="1087" priority="71" operator="containsText" text=" ">
      <formula>NOT(ISERROR(SEARCH(" ",AK5)))</formula>
    </cfRule>
  </conditionalFormatting>
  <conditionalFormatting sqref="A5:C5 T8 K5:M5 O5:O15">
    <cfRule type="containsText" dxfId="1086" priority="95" operator="containsText" text=" ">
      <formula>NOT(ISERROR(SEARCH(" ",A5)))</formula>
    </cfRule>
  </conditionalFormatting>
  <conditionalFormatting sqref="F6:G12 E13:G14 AI5:AI14 AL5:AM1048576 P5:R14 AJ15:AK15 U8 A16:AK1048576 K7:N14 AT16:XFD1048576 AY5:XFD15 AT5:AT10 AT14:AT15 A6:C14 P15 M15 K6:M6 N5:N6">
    <cfRule type="containsText" dxfId="1085" priority="94" operator="containsText" text=" ">
      <formula>NOT(ISERROR(SEARCH(" ",A5)))</formula>
    </cfRule>
  </conditionalFormatting>
  <conditionalFormatting sqref="D5 W5:AC5 AE5:AF5 AD6">
    <cfRule type="containsText" dxfId="1084" priority="63" operator="containsText" text=" ">
      <formula>NOT(ISERROR(SEARCH(" ",D5)))</formula>
    </cfRule>
  </conditionalFormatting>
  <conditionalFormatting sqref="E8:E11 E5:E7">
    <cfRule type="containsText" dxfId="1083" priority="2" operator="containsText" text=" ">
      <formula>NOT(ISERROR(SEARCH(" ",E5)))</formula>
    </cfRule>
  </conditionalFormatting>
  <conditionalFormatting sqref="T5:T7 T9:T14 S5:S14 X8:AC11 W7:AD7 Z12:AC12 AB13:AC13 AJ5:AJ14 AE6:AE14 AF5:AF14 W6:AC6 AD8:AD14">
    <cfRule type="containsText" dxfId="1082" priority="100" operator="containsText" text=" ">
      <formula>NOT(ISERROR(SEARCH(" ",S5)))</formula>
    </cfRule>
  </conditionalFormatting>
  <conditionalFormatting sqref="U5:U7 U9:U14">
    <cfRule type="containsText" dxfId="1081" priority="98" operator="containsText" text=" ">
      <formula>NOT(ISERROR(SEARCH(" ",U5)))</formula>
    </cfRule>
  </conditionalFormatting>
  <conditionalFormatting sqref="E15:G15 A15:B15 AI15 L15 N15 P15:R15">
    <cfRule type="containsText" dxfId="1080" priority="42" operator="containsText" text=" ">
      <formula>NOT(ISERROR(SEARCH(" ",A15)))</formula>
    </cfRule>
  </conditionalFormatting>
  <conditionalFormatting sqref="S15:T15 AE15:AF15">
    <cfRule type="containsText" dxfId="1079" priority="46" operator="containsText" text=" ">
      <formula>NOT(ISERROR(SEARCH(" ",S15)))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X29"/>
  <sheetViews>
    <sheetView workbookViewId="0">
      <pane xSplit="5" ySplit="4" topLeftCell="M5" activePane="bottomRight" state="frozen"/>
      <selection pane="topRight"/>
      <selection pane="bottomLeft"/>
      <selection pane="bottomRight" activeCell="A7" sqref="A7"/>
    </sheetView>
  </sheetViews>
  <sheetFormatPr defaultColWidth="9" defaultRowHeight="16.5" x14ac:dyDescent="0.25"/>
  <cols>
    <col min="1" max="2" width="14.6328125" style="2" customWidth="1"/>
    <col min="3" max="3" width="17.453125" style="2" customWidth="1"/>
    <col min="4" max="4" width="8.81640625" style="2" customWidth="1"/>
    <col min="5" max="5" width="15.90625" style="2" customWidth="1"/>
    <col min="6" max="6" width="58.90625" style="2" customWidth="1"/>
    <col min="7" max="7" width="26.81640625" style="2" customWidth="1"/>
    <col min="8" max="13" width="15.08984375" style="2" customWidth="1"/>
    <col min="14" max="14" width="36.08984375" style="2" customWidth="1"/>
    <col min="15" max="15" width="9.1796875" style="2" customWidth="1"/>
    <col min="16" max="16" width="11.36328125" style="2" customWidth="1"/>
    <col min="17" max="17" width="12.08984375" style="2" customWidth="1"/>
    <col min="18" max="18" width="14.1796875" style="2" customWidth="1"/>
    <col min="19" max="19" width="9.1796875" style="2" customWidth="1"/>
    <col min="20" max="20" width="10.6328125" style="2" customWidth="1"/>
    <col min="21" max="21" width="7.1796875" style="2" customWidth="1"/>
    <col min="22" max="23" width="9.1796875" style="2" customWidth="1"/>
    <col min="24" max="24" width="5.453125" style="2" customWidth="1"/>
    <col min="25" max="25" width="7.1796875" style="2" customWidth="1"/>
    <col min="26" max="27" width="9.1796875" style="2" customWidth="1"/>
    <col min="28" max="28" width="5.453125" style="2" customWidth="1"/>
    <col min="29" max="29" width="7.1796875" style="2" customWidth="1"/>
    <col min="30" max="31" width="9.1796875" style="2" customWidth="1"/>
    <col min="32" max="32" width="5.453125" style="2" customWidth="1"/>
    <col min="33" max="33" width="7.1796875" style="2" customWidth="1"/>
    <col min="34" max="35" width="9.1796875" style="2" customWidth="1"/>
    <col min="36" max="36" width="5.453125" style="2" customWidth="1"/>
    <col min="37" max="37" width="7.1796875" style="2" customWidth="1"/>
    <col min="38" max="39" width="9.1796875" style="2" customWidth="1"/>
    <col min="40" max="40" width="5.453125" style="2" customWidth="1"/>
    <col min="41" max="41" width="7.1796875" style="2" customWidth="1"/>
    <col min="42" max="43" width="9.1796875" style="2" customWidth="1"/>
    <col min="44" max="45" width="9" style="2"/>
    <col min="46" max="46" width="11.6328125" style="2" customWidth="1"/>
    <col min="47" max="47" width="9" style="2"/>
    <col min="48" max="48" width="9.1796875" style="2" customWidth="1"/>
    <col min="49" max="16384" width="9" style="2"/>
  </cols>
  <sheetData>
    <row r="1" spans="1:50" x14ac:dyDescent="0.4">
      <c r="A1" s="3" t="s">
        <v>0</v>
      </c>
      <c r="B1" s="3" t="s">
        <v>0</v>
      </c>
      <c r="C1" s="3" t="s">
        <v>691</v>
      </c>
      <c r="D1" s="3" t="s">
        <v>0</v>
      </c>
      <c r="E1" s="3" t="s">
        <v>0</v>
      </c>
      <c r="F1" s="3" t="s">
        <v>0</v>
      </c>
      <c r="G1" s="257" t="s">
        <v>0</v>
      </c>
      <c r="H1" s="88" t="s">
        <v>0</v>
      </c>
      <c r="I1" s="257" t="s">
        <v>0</v>
      </c>
      <c r="J1" s="88" t="s">
        <v>0</v>
      </c>
      <c r="K1" s="3" t="s">
        <v>691</v>
      </c>
      <c r="L1" s="3" t="s">
        <v>691</v>
      </c>
      <c r="M1" s="3" t="s">
        <v>691</v>
      </c>
    </row>
    <row r="2" spans="1:50" x14ac:dyDescent="0.4">
      <c r="A2" s="3" t="s">
        <v>2</v>
      </c>
      <c r="B2" s="3" t="s">
        <v>2</v>
      </c>
      <c r="C2" s="3" t="s">
        <v>5</v>
      </c>
      <c r="D2" s="3" t="s">
        <v>2</v>
      </c>
      <c r="E2" s="3" t="s">
        <v>2</v>
      </c>
      <c r="F2" s="3" t="s">
        <v>5</v>
      </c>
      <c r="G2" s="3" t="s">
        <v>5</v>
      </c>
      <c r="H2" s="88" t="s">
        <v>2</v>
      </c>
      <c r="I2" s="3" t="s">
        <v>5</v>
      </c>
      <c r="J2" s="88" t="s">
        <v>2</v>
      </c>
      <c r="K2" s="3" t="s">
        <v>2</v>
      </c>
      <c r="L2" s="3" t="s">
        <v>2</v>
      </c>
      <c r="M2" s="3" t="s">
        <v>5</v>
      </c>
    </row>
    <row r="3" spans="1:50" x14ac:dyDescent="0.4">
      <c r="A3" s="3" t="s">
        <v>1455</v>
      </c>
      <c r="B3" s="3" t="s">
        <v>1456</v>
      </c>
      <c r="C3" s="3" t="s">
        <v>1327</v>
      </c>
      <c r="D3" s="3" t="s">
        <v>1457</v>
      </c>
      <c r="E3" s="3" t="s">
        <v>1458</v>
      </c>
      <c r="F3" s="3" t="s">
        <v>1459</v>
      </c>
      <c r="G3" s="88" t="s">
        <v>1460</v>
      </c>
      <c r="H3" s="88" t="s">
        <v>1461</v>
      </c>
      <c r="I3" s="88" t="s">
        <v>843</v>
      </c>
      <c r="J3" s="88" t="s">
        <v>1462</v>
      </c>
      <c r="K3" s="3" t="s">
        <v>1463</v>
      </c>
      <c r="L3" s="3" t="s">
        <v>1464</v>
      </c>
      <c r="M3" s="3" t="s">
        <v>1465</v>
      </c>
      <c r="O3" s="536" t="s">
        <v>1466</v>
      </c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263"/>
      <c r="AJ3" s="263"/>
      <c r="AK3" s="263"/>
      <c r="AL3" s="263"/>
      <c r="AM3" s="263"/>
      <c r="AN3" s="263"/>
      <c r="AO3" s="263"/>
      <c r="AP3" s="263"/>
    </row>
    <row r="4" spans="1:50" ht="103.5" x14ac:dyDescent="0.25">
      <c r="A4" s="12" t="s">
        <v>1467</v>
      </c>
      <c r="B4" s="12" t="s">
        <v>1468</v>
      </c>
      <c r="C4" s="12" t="s">
        <v>1469</v>
      </c>
      <c r="D4" s="12" t="s">
        <v>1470</v>
      </c>
      <c r="E4" s="12" t="s">
        <v>1471</v>
      </c>
      <c r="F4" s="12" t="s">
        <v>1472</v>
      </c>
      <c r="G4" s="258" t="s">
        <v>1473</v>
      </c>
      <c r="H4" s="89" t="s">
        <v>1474</v>
      </c>
      <c r="I4" s="89" t="s">
        <v>1475</v>
      </c>
      <c r="J4" s="89" t="s">
        <v>1476</v>
      </c>
      <c r="K4" s="4" t="s">
        <v>1477</v>
      </c>
      <c r="L4" s="4" t="s">
        <v>1478</v>
      </c>
      <c r="M4" s="4" t="s">
        <v>1479</v>
      </c>
      <c r="N4" s="4" t="s">
        <v>72</v>
      </c>
      <c r="O4" s="97" t="s">
        <v>1480</v>
      </c>
      <c r="P4" s="98" t="s">
        <v>1481</v>
      </c>
      <c r="Q4" s="99" t="s">
        <v>1482</v>
      </c>
      <c r="R4" s="99" t="s">
        <v>1483</v>
      </c>
      <c r="S4" s="93" t="s">
        <v>1484</v>
      </c>
      <c r="T4" s="94" t="s">
        <v>1481</v>
      </c>
      <c r="U4" s="95" t="s">
        <v>1482</v>
      </c>
      <c r="V4" s="96" t="s">
        <v>1483</v>
      </c>
      <c r="W4" s="97" t="s">
        <v>1485</v>
      </c>
      <c r="X4" s="98" t="s">
        <v>1481</v>
      </c>
      <c r="Y4" s="99" t="s">
        <v>1482</v>
      </c>
      <c r="Z4" s="99" t="s">
        <v>1483</v>
      </c>
      <c r="AA4" s="93" t="s">
        <v>1486</v>
      </c>
      <c r="AB4" s="94" t="s">
        <v>1481</v>
      </c>
      <c r="AC4" s="95" t="s">
        <v>1482</v>
      </c>
      <c r="AD4" s="96" t="s">
        <v>1483</v>
      </c>
      <c r="AE4" s="101" t="s">
        <v>1487</v>
      </c>
      <c r="AF4" s="98" t="s">
        <v>1481</v>
      </c>
      <c r="AG4" s="99" t="s">
        <v>1482</v>
      </c>
      <c r="AH4" s="102" t="s">
        <v>1483</v>
      </c>
      <c r="AI4" s="93" t="s">
        <v>1488</v>
      </c>
      <c r="AJ4" s="94" t="s">
        <v>1481</v>
      </c>
      <c r="AK4" s="95" t="s">
        <v>1482</v>
      </c>
      <c r="AL4" s="96" t="s">
        <v>1483</v>
      </c>
      <c r="AM4" s="101" t="s">
        <v>1489</v>
      </c>
      <c r="AN4" s="98" t="s">
        <v>1481</v>
      </c>
      <c r="AO4" s="99" t="s">
        <v>1482</v>
      </c>
      <c r="AP4" s="102" t="s">
        <v>1483</v>
      </c>
      <c r="AQ4" s="60" t="s">
        <v>1490</v>
      </c>
      <c r="AR4" s="2" t="s">
        <v>1491</v>
      </c>
      <c r="AT4" s="52">
        <f>'抽奖|MoonBless'!DN4</f>
        <v>0</v>
      </c>
      <c r="AU4" s="45" t="str">
        <f>'抽奖|MoonBless'!DO4</f>
        <v>人民币价值</v>
      </c>
      <c r="AV4" s="53" t="str">
        <f>'抽奖|MoonBless'!DP4</f>
        <v>价值
钻石价值</v>
      </c>
      <c r="AW4" s="45" t="str">
        <f>'抽奖|MoonBless'!DQ4</f>
        <v>物品类型</v>
      </c>
      <c r="AX4" s="54" t="str">
        <f>'抽奖|MoonBless'!DR4</f>
        <v>id</v>
      </c>
    </row>
    <row r="5" spans="1:50" x14ac:dyDescent="0.45">
      <c r="A5" s="2">
        <v>306</v>
      </c>
      <c r="B5" s="2">
        <v>5</v>
      </c>
      <c r="C5" s="9"/>
      <c r="D5" s="9"/>
      <c r="E5" s="2">
        <v>6</v>
      </c>
      <c r="F5" s="1" t="str">
        <f>P5&amp;"|"&amp;Q5&amp;"|"&amp;R5&amp;","&amp;T5&amp;"|"&amp;U5&amp;"|"&amp;V5&amp;","&amp;X5&amp;"|"&amp;Y5&amp;"|"&amp;Z5&amp;","&amp;AB5&amp;"|"&amp;AC5&amp;"|"&amp;AD5&amp;","&amp;AF5&amp;"|"&amp;AG5&amp;"|"&amp;AH5</f>
        <v>1|2|1200000,1|1|50,2|1001|5,2|1002|5,2|1003|5</v>
      </c>
      <c r="G5" s="1"/>
      <c r="H5" s="2">
        <v>-1</v>
      </c>
      <c r="J5" s="2">
        <v>-1</v>
      </c>
      <c r="L5" s="2">
        <v>1</v>
      </c>
      <c r="N5" s="17" t="s">
        <v>1492</v>
      </c>
      <c r="O5" s="47" t="s">
        <v>103</v>
      </c>
      <c r="P5" s="2">
        <f t="shared" ref="P5:P11" si="0">VLOOKUP(O5,$AT:$AX,4,0)</f>
        <v>1</v>
      </c>
      <c r="Q5" s="2">
        <f t="shared" ref="Q5:Q11" si="1">VLOOKUP(O5,$AT:$AX,5,0)</f>
        <v>2</v>
      </c>
      <c r="R5" s="100">
        <v>1200000</v>
      </c>
      <c r="S5" s="47" t="s">
        <v>738</v>
      </c>
      <c r="T5" s="2">
        <f t="shared" ref="T5:T11" si="2">VLOOKUP(S5,$AT:$AX,4,0)</f>
        <v>1</v>
      </c>
      <c r="U5" s="2">
        <f t="shared" ref="U5:U11" si="3">VLOOKUP(S5,$AT:$AX,5,0)</f>
        <v>1</v>
      </c>
      <c r="V5" s="47">
        <v>50</v>
      </c>
      <c r="W5" s="47" t="s">
        <v>756</v>
      </c>
      <c r="X5" s="2">
        <f t="shared" ref="X5:X11" si="4">VLOOKUP(W5,$AT:$AX,4,0)</f>
        <v>2</v>
      </c>
      <c r="Y5" s="2">
        <f t="shared" ref="Y5:Y11" si="5">VLOOKUP(W5,$AT:$AX,5,0)</f>
        <v>1001</v>
      </c>
      <c r="Z5" s="47">
        <v>5</v>
      </c>
      <c r="AA5" s="47" t="s">
        <v>760</v>
      </c>
      <c r="AB5" s="2">
        <f>VLOOKUP(AA5,$AT:$AX,4,0)</f>
        <v>2</v>
      </c>
      <c r="AC5" s="2">
        <f>VLOOKUP(AA5,$AT:$AX,5,0)</f>
        <v>1002</v>
      </c>
      <c r="AD5" s="47">
        <v>5</v>
      </c>
      <c r="AE5" s="47" t="s">
        <v>764</v>
      </c>
      <c r="AF5" s="2">
        <f>VLOOKUP(AE5,$AT:$AX,4,0)</f>
        <v>2</v>
      </c>
      <c r="AG5" s="2">
        <f>VLOOKUP(AE5,$AT:$AX,5,0)</f>
        <v>1003</v>
      </c>
      <c r="AH5" s="47">
        <v>5</v>
      </c>
      <c r="AI5" s="47"/>
      <c r="AL5" s="47"/>
      <c r="AM5" s="264"/>
      <c r="AP5" s="264"/>
      <c r="AQ5" s="2">
        <f>(VLOOKUP(O5,$AT:$AX,2,0)*R5+VLOOKUP(S5,$AT:$AX,2,0)*V5+VLOOKUP(W5,$AT:$AX,2,0)*Z5+VLOOKUP(AA5,$AT:$AX,2,0)*AD5+VLOOKUP(AE5,$AT:$AX,2,0)*AH5)</f>
        <v>24.5</v>
      </c>
      <c r="AR5" s="2">
        <f>AQ5/E5</f>
        <v>4.083333333333333</v>
      </c>
      <c r="AT5" s="16" t="str">
        <f>'抽奖|MoonBless'!DN5</f>
        <v>人民币</v>
      </c>
      <c r="AU5" s="2">
        <f>'抽奖|MoonBless'!DO5</f>
        <v>1</v>
      </c>
      <c r="AV5" s="2">
        <f>'抽奖|MoonBless'!DP5</f>
        <v>10</v>
      </c>
      <c r="AW5" s="2">
        <f>'抽奖|MoonBless'!DQ5</f>
        <v>1</v>
      </c>
      <c r="AX5" s="25">
        <f>'抽奖|MoonBless'!DR5</f>
        <v>0</v>
      </c>
    </row>
    <row r="6" spans="1:50" x14ac:dyDescent="0.45">
      <c r="A6" s="17">
        <v>307</v>
      </c>
      <c r="B6" s="2">
        <v>5</v>
      </c>
      <c r="C6" s="9"/>
      <c r="D6" s="9"/>
      <c r="E6" s="2">
        <v>30</v>
      </c>
      <c r="F6" s="1" t="str">
        <f>P6&amp;"|"&amp;Q6&amp;"|"&amp;R6&amp;","&amp;T6&amp;"|"&amp;U6&amp;"|"&amp;V6&amp;","&amp;X6&amp;"|"&amp;Y6&amp;"|"&amp;Z6&amp;""&amp;AL6</f>
        <v>1|2|5000000,2|1005|1,2|1003|20</v>
      </c>
      <c r="G6" s="1"/>
      <c r="H6" s="2">
        <v>-1</v>
      </c>
      <c r="J6" s="2">
        <v>-1</v>
      </c>
      <c r="K6" s="2">
        <v>88</v>
      </c>
      <c r="L6" s="2">
        <v>4</v>
      </c>
      <c r="O6" s="47" t="s">
        <v>103</v>
      </c>
      <c r="P6" s="2">
        <f t="shared" si="0"/>
        <v>1</v>
      </c>
      <c r="Q6" s="2">
        <f t="shared" si="1"/>
        <v>2</v>
      </c>
      <c r="R6" s="100">
        <v>5000000</v>
      </c>
      <c r="S6" s="47" t="s">
        <v>1493</v>
      </c>
      <c r="T6" s="2">
        <f t="shared" si="2"/>
        <v>2</v>
      </c>
      <c r="U6" s="2">
        <f t="shared" si="3"/>
        <v>1005</v>
      </c>
      <c r="V6" s="47">
        <v>1</v>
      </c>
      <c r="W6" s="47" t="s">
        <v>764</v>
      </c>
      <c r="X6" s="2">
        <f t="shared" si="4"/>
        <v>2</v>
      </c>
      <c r="Y6" s="2">
        <f t="shared" si="5"/>
        <v>1003</v>
      </c>
      <c r="Z6" s="47">
        <v>20</v>
      </c>
      <c r="AA6" s="47"/>
      <c r="AD6" s="47"/>
      <c r="AE6" s="47"/>
      <c r="AH6" s="47"/>
      <c r="AI6" s="47"/>
      <c r="AL6" s="47"/>
      <c r="AM6" s="47"/>
      <c r="AP6" s="47"/>
      <c r="AT6" s="256" t="str">
        <f>'抽奖|MoonBless'!DN6</f>
        <v>钻石</v>
      </c>
      <c r="AU6" s="256">
        <f>'抽奖|MoonBless'!DO6</f>
        <v>0.1</v>
      </c>
      <c r="AV6" s="256">
        <f>'抽奖|MoonBless'!DP6</f>
        <v>1</v>
      </c>
      <c r="AW6" s="256">
        <f>'抽奖|MoonBless'!DQ6</f>
        <v>1</v>
      </c>
      <c r="AX6" s="256">
        <f>'抽奖|MoonBless'!DR6</f>
        <v>1</v>
      </c>
    </row>
    <row r="7" spans="1:50" x14ac:dyDescent="0.45">
      <c r="A7" s="17">
        <v>501</v>
      </c>
      <c r="B7" s="2">
        <v>3</v>
      </c>
      <c r="E7" s="2">
        <v>30</v>
      </c>
      <c r="F7" s="1" t="str">
        <f>P7&amp;"|"&amp;Q7&amp;"|"&amp;R7&amp;","&amp;T7&amp;"|"&amp;U7&amp;"|"&amp;V7&amp;","&amp;X7&amp;"|"&amp;Y7&amp;"|"&amp;Z7&amp;","&amp;AB7&amp;"|"&amp;AC7&amp;"|"&amp;AD7&amp;","&amp;AF7&amp;"|"&amp;AG7&amp;"|"&amp;AH7&amp;","&amp;AJ7&amp;"|"&amp;AK7&amp;"|"&amp;AL7</f>
        <v>1|2|8000000,2|1001|5,2|1003|2,1|1|100,2|1002|2,2|1004|2</v>
      </c>
      <c r="G7" s="1"/>
      <c r="H7" s="2">
        <v>-1</v>
      </c>
      <c r="I7" s="2" t="s">
        <v>1494</v>
      </c>
      <c r="J7" s="256">
        <f t="shared" ref="J7:J8" si="6">10*60</f>
        <v>600</v>
      </c>
      <c r="K7" s="259"/>
      <c r="L7" s="259"/>
      <c r="M7" s="259"/>
      <c r="O7" s="47" t="s">
        <v>103</v>
      </c>
      <c r="P7" s="2">
        <f t="shared" si="0"/>
        <v>1</v>
      </c>
      <c r="Q7" s="2">
        <f t="shared" si="1"/>
        <v>2</v>
      </c>
      <c r="R7" s="100">
        <v>8000000</v>
      </c>
      <c r="S7" s="47" t="s">
        <v>756</v>
      </c>
      <c r="T7" s="2">
        <f t="shared" si="2"/>
        <v>2</v>
      </c>
      <c r="U7" s="2">
        <f t="shared" si="3"/>
        <v>1001</v>
      </c>
      <c r="V7" s="47">
        <v>5</v>
      </c>
      <c r="W7" s="47" t="s">
        <v>764</v>
      </c>
      <c r="X7" s="2">
        <f t="shared" si="4"/>
        <v>2</v>
      </c>
      <c r="Y7" s="2">
        <f t="shared" si="5"/>
        <v>1003</v>
      </c>
      <c r="Z7" s="47">
        <v>2</v>
      </c>
      <c r="AA7" s="47" t="s">
        <v>738</v>
      </c>
      <c r="AB7" s="2">
        <f>VLOOKUP(AA7,$AT:$AX,4,0)</f>
        <v>1</v>
      </c>
      <c r="AC7" s="2">
        <f>VLOOKUP(AA7,$AT:$AX,5,0)</f>
        <v>1</v>
      </c>
      <c r="AD7" s="47">
        <v>100</v>
      </c>
      <c r="AE7" s="47" t="s">
        <v>760</v>
      </c>
      <c r="AF7" s="2">
        <f>VLOOKUP(AE7,$AT:$AX,4,0)</f>
        <v>2</v>
      </c>
      <c r="AG7" s="2">
        <f>VLOOKUP(AE7,$AT:$AX,5,0)</f>
        <v>1002</v>
      </c>
      <c r="AH7" s="47">
        <v>2</v>
      </c>
      <c r="AI7" s="47" t="s">
        <v>768</v>
      </c>
      <c r="AJ7" s="2">
        <f>VLOOKUP(AI7,$AT:$AX,4,0)</f>
        <v>2</v>
      </c>
      <c r="AK7" s="2">
        <f>VLOOKUP(AI7,$AT:$AX,5,0)</f>
        <v>1004</v>
      </c>
      <c r="AL7" s="47">
        <v>2</v>
      </c>
      <c r="AM7" s="47" t="s">
        <v>760</v>
      </c>
      <c r="AN7" s="2">
        <f>VLOOKUP(AM7,$AT:$AX,4,0)</f>
        <v>2</v>
      </c>
      <c r="AO7" s="2">
        <f>VLOOKUP(AM7,$AT:$AX,5,0)</f>
        <v>1002</v>
      </c>
      <c r="AP7" s="47">
        <v>2</v>
      </c>
      <c r="AQ7" s="2">
        <f>(VLOOKUP(O7,$AT:$AX,2,0)*R7+VLOOKUP(S7,$AT:$AX,2,0)*V7+VLOOKUP(W7,$AT:$AX,2,0)*Z7+VLOOKUP(AA7,$AT:$AX,2,0)*AD7+VLOOKUP(AE7,$AT:$AX,2,0)*AH7+VLOOKUP(AI7,$AT:$AX,2,0)*AL7)</f>
        <v>56.4</v>
      </c>
      <c r="AR7" s="2">
        <f t="shared" ref="AR7:AR11" si="7">AQ7/E7</f>
        <v>1.88</v>
      </c>
      <c r="AT7" s="256" t="str">
        <f>'抽奖|MoonBless'!DN7</f>
        <v>金币</v>
      </c>
      <c r="AU7" s="256">
        <f>'抽奖|MoonBless'!DO7</f>
        <v>5.0000000000000004E-6</v>
      </c>
      <c r="AV7" s="256">
        <f>'抽奖|MoonBless'!DP7</f>
        <v>5.0000000000000002E-5</v>
      </c>
      <c r="AW7" s="256">
        <f>'抽奖|MoonBless'!DQ7</f>
        <v>1</v>
      </c>
      <c r="AX7" s="256">
        <f>'抽奖|MoonBless'!DR7</f>
        <v>2</v>
      </c>
    </row>
    <row r="8" spans="1:50" x14ac:dyDescent="0.45">
      <c r="A8" s="2">
        <v>502</v>
      </c>
      <c r="B8" s="2">
        <v>3</v>
      </c>
      <c r="E8" s="2">
        <v>60</v>
      </c>
      <c r="F8" s="1" t="str">
        <f>P8&amp;"|"&amp;Q8&amp;"|"&amp;R8&amp;","&amp;T8&amp;"|"&amp;U8&amp;"|"&amp;V8&amp;","&amp;X8&amp;"|"&amp;Y8&amp;"|"&amp;Z8&amp;","&amp;AB8&amp;"|"&amp;AC8&amp;"|"&amp;AD8&amp;","&amp;AF8&amp;"|"&amp;AG8&amp;"|"&amp;AH8&amp;","&amp;AJ8&amp;"|"&amp;AK8&amp;"|"&amp;AL8</f>
        <v>1|2|16000000,2|1001|10,2|1003|5,1|1|200,2|1002|5,2|1004|5</v>
      </c>
      <c r="G8" s="1"/>
      <c r="H8" s="2">
        <v>-1</v>
      </c>
      <c r="I8" s="2" t="s">
        <v>1495</v>
      </c>
      <c r="J8" s="256">
        <f t="shared" si="6"/>
        <v>600</v>
      </c>
      <c r="K8" s="259"/>
      <c r="L8" s="259"/>
      <c r="M8" s="259"/>
      <c r="O8" s="47" t="s">
        <v>103</v>
      </c>
      <c r="P8" s="2">
        <f t="shared" si="0"/>
        <v>1</v>
      </c>
      <c r="Q8" s="2">
        <f t="shared" si="1"/>
        <v>2</v>
      </c>
      <c r="R8" s="100">
        <v>16000000</v>
      </c>
      <c r="S8" s="47" t="s">
        <v>756</v>
      </c>
      <c r="T8" s="2">
        <f t="shared" si="2"/>
        <v>2</v>
      </c>
      <c r="U8" s="2">
        <f t="shared" si="3"/>
        <v>1001</v>
      </c>
      <c r="V8" s="47">
        <v>10</v>
      </c>
      <c r="W8" s="47" t="s">
        <v>764</v>
      </c>
      <c r="X8" s="2">
        <f t="shared" si="4"/>
        <v>2</v>
      </c>
      <c r="Y8" s="2">
        <f t="shared" si="5"/>
        <v>1003</v>
      </c>
      <c r="Z8" s="47">
        <v>5</v>
      </c>
      <c r="AA8" s="47" t="s">
        <v>738</v>
      </c>
      <c r="AB8" s="2">
        <f>VLOOKUP(AA8,$AT:$AX,4,0)</f>
        <v>1</v>
      </c>
      <c r="AC8" s="2">
        <f>VLOOKUP(AA8,$AT:$AX,5,0)</f>
        <v>1</v>
      </c>
      <c r="AD8" s="47">
        <v>200</v>
      </c>
      <c r="AE8" s="47" t="s">
        <v>760</v>
      </c>
      <c r="AF8" s="2">
        <f>VLOOKUP(AE8,$AT:$AX,4,0)</f>
        <v>2</v>
      </c>
      <c r="AG8" s="2">
        <f>VLOOKUP(AE8,$AT:$AX,5,0)</f>
        <v>1002</v>
      </c>
      <c r="AH8" s="47">
        <v>5</v>
      </c>
      <c r="AI8" s="47" t="s">
        <v>768</v>
      </c>
      <c r="AJ8" s="2">
        <f>VLOOKUP(AI8,$AT:$AX,4,0)</f>
        <v>2</v>
      </c>
      <c r="AK8" s="2">
        <f>VLOOKUP(AI8,$AT:$AX,5,0)</f>
        <v>1004</v>
      </c>
      <c r="AL8" s="47">
        <v>5</v>
      </c>
      <c r="AM8" s="47" t="s">
        <v>760</v>
      </c>
      <c r="AN8" s="2">
        <f>VLOOKUP(AM8,$AT:$AX,4,0)</f>
        <v>2</v>
      </c>
      <c r="AO8" s="2">
        <f>VLOOKUP(AM8,$AT:$AX,5,0)</f>
        <v>1002</v>
      </c>
      <c r="AP8" s="47">
        <v>5</v>
      </c>
      <c r="AQ8" s="2">
        <f>(VLOOKUP(O8,$AT:$AX,2,0)*R8+VLOOKUP(S8,$AT:$AX,2,0)*V8+VLOOKUP(W8,$AT:$AX,2,0)*Z8+VLOOKUP(AA8,$AT:$AX,2,0)*AD8+VLOOKUP(AE8,$AT:$AX,2,0)*AH8+VLOOKUP(AI8,$AT:$AX,2,0)*AL8)</f>
        <v>115.5</v>
      </c>
      <c r="AR8" s="2">
        <f t="shared" si="7"/>
        <v>1.925</v>
      </c>
      <c r="AT8" s="256" t="str">
        <f>'抽奖|MoonBless'!DN8</f>
        <v>锁定</v>
      </c>
      <c r="AU8" s="256">
        <f>'抽奖|MoonBless'!DO8</f>
        <v>0.2</v>
      </c>
      <c r="AV8" s="256">
        <f>'抽奖|MoonBless'!DP8</f>
        <v>2</v>
      </c>
      <c r="AW8" s="256">
        <f>'抽奖|MoonBless'!DQ8</f>
        <v>2</v>
      </c>
      <c r="AX8" s="256">
        <f>'抽奖|MoonBless'!DR8</f>
        <v>1001</v>
      </c>
    </row>
    <row r="9" spans="1:50" x14ac:dyDescent="0.45">
      <c r="A9" s="2">
        <v>801</v>
      </c>
      <c r="B9" s="2">
        <v>6</v>
      </c>
      <c r="D9" s="2">
        <v>300</v>
      </c>
      <c r="E9" s="2">
        <v>3</v>
      </c>
      <c r="F9" s="1" t="str">
        <f>P9&amp;"|"&amp;Q9&amp;"|"&amp;R9&amp;","&amp;T9&amp;"|"&amp;U9&amp;"|"&amp;V9&amp;","&amp;X9&amp;"|"&amp;Y9&amp;"|"&amp;Z9&amp;","&amp;AB9&amp;"|"&amp;AC9&amp;"|"&amp;AD9</f>
        <v>1|2|100000,2|1002|5,2|1003|2,2|1001|10</v>
      </c>
      <c r="G9" s="1"/>
      <c r="K9" s="2">
        <f>E9*3</f>
        <v>9</v>
      </c>
      <c r="L9" s="2">
        <v>1</v>
      </c>
      <c r="O9" s="47" t="s">
        <v>103</v>
      </c>
      <c r="P9" s="2">
        <f t="shared" si="0"/>
        <v>1</v>
      </c>
      <c r="Q9" s="2">
        <f t="shared" si="1"/>
        <v>2</v>
      </c>
      <c r="R9" s="100">
        <v>100000</v>
      </c>
      <c r="S9" s="47" t="s">
        <v>760</v>
      </c>
      <c r="T9" s="2">
        <f t="shared" si="2"/>
        <v>2</v>
      </c>
      <c r="U9" s="2">
        <f t="shared" si="3"/>
        <v>1002</v>
      </c>
      <c r="V9" s="47">
        <v>5</v>
      </c>
      <c r="W9" s="47" t="s">
        <v>764</v>
      </c>
      <c r="X9" s="2">
        <f t="shared" si="4"/>
        <v>2</v>
      </c>
      <c r="Y9" s="2">
        <f t="shared" si="5"/>
        <v>1003</v>
      </c>
      <c r="Z9" s="47">
        <v>2</v>
      </c>
      <c r="AA9" s="47" t="s">
        <v>756</v>
      </c>
      <c r="AB9" s="2">
        <f>VLOOKUP(AA9,$AT:$AX,4,0)</f>
        <v>2</v>
      </c>
      <c r="AC9" s="2">
        <f>VLOOKUP(AA9,$AT:$AX,5,0)</f>
        <v>1001</v>
      </c>
      <c r="AD9" s="47">
        <v>10</v>
      </c>
      <c r="AQ9" s="2">
        <f>(VLOOKUP(O9,$AT:$AX,2,0)*R9+VLOOKUP(S9,$AT:$AX,2,0)*V9+VLOOKUP(W9,$AT:$AX,2,0)*Z9+VLOOKUP(AA9,$AT:$AX,2,0)*AD9)</f>
        <v>9</v>
      </c>
      <c r="AR9" s="2">
        <f t="shared" si="7"/>
        <v>3</v>
      </c>
      <c r="AT9" s="265" t="str">
        <f>'抽奖|MoonBless'!DN9</f>
        <v>冰冻</v>
      </c>
      <c r="AU9" s="265">
        <f>'抽奖|MoonBless'!DO9</f>
        <v>0.5</v>
      </c>
      <c r="AV9" s="265">
        <f>'抽奖|MoonBless'!DP9</f>
        <v>5</v>
      </c>
      <c r="AW9" s="265">
        <f>'抽奖|MoonBless'!DQ9</f>
        <v>2</v>
      </c>
      <c r="AX9" s="265">
        <f>'抽奖|MoonBless'!DR9</f>
        <v>1002</v>
      </c>
    </row>
    <row r="10" spans="1:50" x14ac:dyDescent="0.45">
      <c r="A10" s="2">
        <v>802</v>
      </c>
      <c r="B10" s="2">
        <v>6</v>
      </c>
      <c r="D10" s="2">
        <v>600</v>
      </c>
      <c r="E10" s="2">
        <v>6</v>
      </c>
      <c r="F10" s="1" t="str">
        <f t="shared" ref="F10:F11" si="8">P10&amp;"|"&amp;Q10&amp;"|"&amp;R10&amp;","&amp;T10&amp;"|"&amp;U10&amp;"|"&amp;V10&amp;","&amp;X10&amp;"|"&amp;Y10&amp;"|"&amp;Z10&amp;","&amp;AB10&amp;"|"&amp;AC10&amp;"|"&amp;AD10</f>
        <v>1|2|300000,2|1002|10,2|1003|5,2|1001|30</v>
      </c>
      <c r="G10" s="1"/>
      <c r="H10" s="1"/>
      <c r="I10" s="1"/>
      <c r="J10" s="1"/>
      <c r="K10" s="1">
        <f>E10*6</f>
        <v>36</v>
      </c>
      <c r="L10" s="1">
        <v>2</v>
      </c>
      <c r="M10" s="1"/>
      <c r="N10" s="1"/>
      <c r="O10" s="47" t="s">
        <v>103</v>
      </c>
      <c r="P10" s="2">
        <f t="shared" si="0"/>
        <v>1</v>
      </c>
      <c r="Q10" s="2">
        <f t="shared" si="1"/>
        <v>2</v>
      </c>
      <c r="R10" s="100">
        <v>300000</v>
      </c>
      <c r="S10" s="47" t="s">
        <v>760</v>
      </c>
      <c r="T10" s="2">
        <f t="shared" si="2"/>
        <v>2</v>
      </c>
      <c r="U10" s="2">
        <f t="shared" si="3"/>
        <v>1002</v>
      </c>
      <c r="V10" s="47">
        <v>10</v>
      </c>
      <c r="W10" s="47" t="s">
        <v>764</v>
      </c>
      <c r="X10" s="2">
        <f t="shared" si="4"/>
        <v>2</v>
      </c>
      <c r="Y10" s="2">
        <f t="shared" si="5"/>
        <v>1003</v>
      </c>
      <c r="Z10" s="47">
        <v>5</v>
      </c>
      <c r="AA10" s="47" t="s">
        <v>756</v>
      </c>
      <c r="AB10" s="2">
        <f>VLOOKUP(AA10,$AT:$AX,4,0)</f>
        <v>2</v>
      </c>
      <c r="AC10" s="2">
        <f>VLOOKUP(AA10,$AT:$AX,5,0)</f>
        <v>1001</v>
      </c>
      <c r="AD10" s="47">
        <v>30</v>
      </c>
      <c r="AQ10" s="2">
        <f>(VLOOKUP(O10,$AT:$AX,2,0)*R10+VLOOKUP(S10,$AT:$AX,2,0)*V10+VLOOKUP(W10,$AT:$AX,2,0)*Z10+VLOOKUP(AA10,$AT:$AX,2,0)*AD10)</f>
        <v>22.5</v>
      </c>
      <c r="AR10" s="2">
        <f t="shared" si="7"/>
        <v>3.75</v>
      </c>
      <c r="AT10" s="256" t="str">
        <f>'抽奖|MoonBless'!DN10</f>
        <v>狂暴</v>
      </c>
      <c r="AU10" s="256">
        <f>'抽奖|MoonBless'!DO10</f>
        <v>2</v>
      </c>
      <c r="AV10" s="256">
        <f>'抽奖|MoonBless'!DP10</f>
        <v>20</v>
      </c>
      <c r="AW10" s="256">
        <f>'抽奖|MoonBless'!DQ10</f>
        <v>2</v>
      </c>
      <c r="AX10" s="256">
        <f>'抽奖|MoonBless'!DR10</f>
        <v>1003</v>
      </c>
    </row>
    <row r="11" spans="1:50" x14ac:dyDescent="0.45">
      <c r="A11" s="2">
        <v>803</v>
      </c>
      <c r="B11" s="2">
        <v>6</v>
      </c>
      <c r="D11" s="2">
        <v>1000</v>
      </c>
      <c r="E11" s="2">
        <v>18</v>
      </c>
      <c r="F11" s="1" t="str">
        <f t="shared" si="8"/>
        <v>1|2|1500000,2|1002|20,2|1001|20,2|1003|50</v>
      </c>
      <c r="G11" s="1"/>
      <c r="H11" s="1"/>
      <c r="I11" s="1"/>
      <c r="J11" s="1"/>
      <c r="K11" s="1">
        <f>E11*10</f>
        <v>180</v>
      </c>
      <c r="L11" s="1">
        <v>3</v>
      </c>
      <c r="M11" s="1"/>
      <c r="N11" s="1"/>
      <c r="O11" s="47" t="s">
        <v>103</v>
      </c>
      <c r="P11" s="2">
        <f t="shared" si="0"/>
        <v>1</v>
      </c>
      <c r="Q11" s="2">
        <f t="shared" si="1"/>
        <v>2</v>
      </c>
      <c r="R11" s="100">
        <v>1500000</v>
      </c>
      <c r="S11" s="47" t="s">
        <v>760</v>
      </c>
      <c r="T11" s="2">
        <f t="shared" si="2"/>
        <v>2</v>
      </c>
      <c r="U11" s="2">
        <f t="shared" si="3"/>
        <v>1002</v>
      </c>
      <c r="V11" s="47">
        <v>20</v>
      </c>
      <c r="W11" s="47" t="s">
        <v>756</v>
      </c>
      <c r="X11" s="2">
        <f t="shared" si="4"/>
        <v>2</v>
      </c>
      <c r="Y11" s="2">
        <f t="shared" si="5"/>
        <v>1001</v>
      </c>
      <c r="Z11" s="47">
        <v>20</v>
      </c>
      <c r="AA11" s="47" t="s">
        <v>764</v>
      </c>
      <c r="AB11" s="2">
        <f>VLOOKUP(AA11,$AT:$AX,4,0)</f>
        <v>2</v>
      </c>
      <c r="AC11" s="2">
        <f>VLOOKUP(AA11,$AT:$AX,5,0)</f>
        <v>1003</v>
      </c>
      <c r="AD11" s="47">
        <v>50</v>
      </c>
      <c r="AQ11" s="2">
        <f>(VLOOKUP(O11,$AT:$AX,2,0)*R11+VLOOKUP(S11,$AT:$AX,2,0)*V11+VLOOKUP(W11,$AT:$AX,2,0)*Z11+VLOOKUP(AA11,$AT:$AX,2,0)*AD11)</f>
        <v>121.5</v>
      </c>
      <c r="AR11" s="2">
        <f t="shared" si="7"/>
        <v>6.75</v>
      </c>
      <c r="AT11" s="256" t="str">
        <f>'抽奖|MoonBless'!DN11</f>
        <v>召唤</v>
      </c>
      <c r="AU11" s="256">
        <f>'抽奖|MoonBless'!DO11</f>
        <v>0.2</v>
      </c>
      <c r="AV11" s="256">
        <f>'抽奖|MoonBless'!DP11</f>
        <v>2</v>
      </c>
      <c r="AW11" s="256">
        <f>'抽奖|MoonBless'!DQ11</f>
        <v>2</v>
      </c>
      <c r="AX11" s="256">
        <f>'抽奖|MoonBless'!DR11</f>
        <v>1004</v>
      </c>
    </row>
    <row r="12" spans="1:50" x14ac:dyDescent="0.45">
      <c r="A12" s="2">
        <v>901</v>
      </c>
      <c r="B12" s="2">
        <v>7</v>
      </c>
      <c r="E12" s="2">
        <v>1</v>
      </c>
      <c r="F12" s="1"/>
      <c r="G12" s="1"/>
      <c r="H12" s="1"/>
      <c r="I12" s="1">
        <v>1</v>
      </c>
      <c r="J12" s="1">
        <f>30*60</f>
        <v>1800</v>
      </c>
      <c r="K12" s="1"/>
      <c r="L12" s="1"/>
      <c r="M12" s="1"/>
      <c r="N12" s="1"/>
      <c r="AT12" s="256" t="str">
        <f>'抽奖|MoonBless'!DN12</f>
        <v>福卡</v>
      </c>
      <c r="AU12" s="256">
        <f>'抽奖|MoonBless'!DO12</f>
        <v>2.5000000000000001E-3</v>
      </c>
      <c r="AV12" s="256">
        <f>'抽奖|MoonBless'!DP12</f>
        <v>2.5000000000000001E-2</v>
      </c>
      <c r="AW12" s="256">
        <f>'抽奖|MoonBless'!DQ12</f>
        <v>2</v>
      </c>
      <c r="AX12" s="256">
        <f>'抽奖|MoonBless'!DR12</f>
        <v>1204</v>
      </c>
    </row>
    <row r="13" spans="1:50" x14ac:dyDescent="0.45">
      <c r="A13" s="2">
        <v>902</v>
      </c>
      <c r="B13" s="2">
        <v>7</v>
      </c>
      <c r="E13" s="2">
        <v>6</v>
      </c>
      <c r="F13" s="1"/>
      <c r="G13" s="1"/>
      <c r="H13" s="1"/>
      <c r="I13" s="1">
        <v>2</v>
      </c>
      <c r="J13" s="1">
        <f t="shared" ref="J13:J14" si="9">30*60</f>
        <v>1800</v>
      </c>
      <c r="K13" s="1"/>
      <c r="L13" s="1"/>
      <c r="M13" s="1"/>
      <c r="N13" s="1"/>
      <c r="AT13" s="256" t="str">
        <f>'抽奖|MoonBless'!DN13</f>
        <v>超级武器1</v>
      </c>
      <c r="AU13" s="256">
        <f>'抽奖|MoonBless'!DO13</f>
        <v>5</v>
      </c>
      <c r="AV13" s="256">
        <f>'抽奖|MoonBless'!DP13</f>
        <v>50</v>
      </c>
      <c r="AW13" s="256">
        <f>'抽奖|MoonBless'!DQ13</f>
        <v>2</v>
      </c>
      <c r="AX13" s="256">
        <f>'抽奖|MoonBless'!DR13</f>
        <v>1005</v>
      </c>
    </row>
    <row r="14" spans="1:50" x14ac:dyDescent="0.45">
      <c r="A14" s="2">
        <v>903</v>
      </c>
      <c r="B14" s="2">
        <v>7</v>
      </c>
      <c r="E14" s="2">
        <v>30</v>
      </c>
      <c r="F14" s="1"/>
      <c r="G14" s="1"/>
      <c r="H14" s="1"/>
      <c r="I14" s="1">
        <v>3</v>
      </c>
      <c r="J14" s="1">
        <f t="shared" si="9"/>
        <v>1800</v>
      </c>
      <c r="K14" s="1"/>
      <c r="L14" s="1"/>
      <c r="M14" s="1"/>
      <c r="N14" s="1"/>
      <c r="AT14" s="256" t="str">
        <f>'抽奖|MoonBless'!DN14</f>
        <v>超级武器2</v>
      </c>
      <c r="AU14" s="256">
        <f>'抽奖|MoonBless'!DO14</f>
        <v>10</v>
      </c>
      <c r="AV14" s="256">
        <f>'抽奖|MoonBless'!DP14</f>
        <v>100</v>
      </c>
      <c r="AW14" s="256">
        <f>'抽奖|MoonBless'!DQ14</f>
        <v>2</v>
      </c>
      <c r="AX14" s="256">
        <f>'抽奖|MoonBless'!DR14</f>
        <v>1006</v>
      </c>
    </row>
    <row r="15" spans="1:50" x14ac:dyDescent="0.45">
      <c r="A15" s="2">
        <v>1001</v>
      </c>
      <c r="B15" s="2">
        <v>8</v>
      </c>
      <c r="E15" s="2">
        <v>198</v>
      </c>
      <c r="F15" s="1" t="str">
        <f>P15&amp;"|"&amp;Q15&amp;"|"&amp;R15</f>
        <v>1|1|1980</v>
      </c>
      <c r="G15" s="1"/>
      <c r="H15" s="1"/>
      <c r="I15" s="1"/>
      <c r="J15" s="1"/>
      <c r="K15" s="1">
        <v>3280</v>
      </c>
      <c r="L15" s="1"/>
      <c r="M15" s="1"/>
      <c r="N15" s="1"/>
      <c r="O15" s="47" t="s">
        <v>738</v>
      </c>
      <c r="P15" s="2">
        <f>VLOOKUP(O15,$AT:$AX,4,0)</f>
        <v>1</v>
      </c>
      <c r="Q15" s="2">
        <f>VLOOKUP(O15,$AT:$AX,5,0)</f>
        <v>1</v>
      </c>
      <c r="R15" s="100">
        <v>1980</v>
      </c>
      <c r="S15" s="47"/>
      <c r="V15" s="47"/>
      <c r="W15" s="47"/>
      <c r="Z15" s="47"/>
      <c r="AA15" s="47"/>
      <c r="AD15" s="47"/>
      <c r="AE15" s="47"/>
      <c r="AH15" s="47"/>
      <c r="AQ15" s="2" t="e">
        <f>(VLOOKUP(O15,$AT:$AX,2,0)*R15+VLOOKUP(S15,$AT:$AX,2,0)*V15+VLOOKUP(W15,$AT:$AX,2,0)*Z15+VLOOKUP(AA15,$AT:$AX,2,0)*AD15+VLOOKUP(AE15,$AT:$AX,2,0)*AH15)</f>
        <v>#VALUE!</v>
      </c>
      <c r="AT15" s="256" t="str">
        <f>'抽奖|MoonBless'!DN15</f>
        <v>超级武器3</v>
      </c>
      <c r="AU15" s="256">
        <f>'抽奖|MoonBless'!DO15</f>
        <v>25</v>
      </c>
      <c r="AV15" s="256">
        <f>'抽奖|MoonBless'!DP15</f>
        <v>250</v>
      </c>
      <c r="AW15" s="256">
        <f>'抽奖|MoonBless'!DQ15</f>
        <v>2</v>
      </c>
      <c r="AX15" s="256">
        <f>'抽奖|MoonBless'!DR15</f>
        <v>1007</v>
      </c>
    </row>
    <row r="16" spans="1:50" x14ac:dyDescent="0.25">
      <c r="AT16" s="256" t="str">
        <f>'抽奖|MoonBless'!DN16</f>
        <v>超级武器4</v>
      </c>
      <c r="AU16" s="256">
        <f>'抽奖|MoonBless'!DO16</f>
        <v>50</v>
      </c>
      <c r="AV16" s="256">
        <f>'抽奖|MoonBless'!DP16</f>
        <v>500</v>
      </c>
      <c r="AW16" s="256">
        <f>'抽奖|MoonBless'!DQ16</f>
        <v>2</v>
      </c>
      <c r="AX16" s="256">
        <f>'抽奖|MoonBless'!DR16</f>
        <v>1008</v>
      </c>
    </row>
    <row r="17" spans="15:50" x14ac:dyDescent="0.25">
      <c r="AT17" s="256" t="str">
        <f>'抽奖|MoonBless'!DN17</f>
        <v>5元话费卡</v>
      </c>
      <c r="AU17" s="256">
        <f>'抽奖|MoonBless'!DO17</f>
        <v>5</v>
      </c>
      <c r="AV17" s="256">
        <f>'抽奖|MoonBless'!DP17</f>
        <v>50</v>
      </c>
      <c r="AW17" s="256">
        <f>'抽奖|MoonBless'!DQ17</f>
        <v>2</v>
      </c>
      <c r="AX17" s="256">
        <f>'抽奖|MoonBless'!DR17</f>
        <v>1206</v>
      </c>
    </row>
    <row r="18" spans="15:50" x14ac:dyDescent="0.25">
      <c r="AT18" s="256" t="str">
        <f>'抽奖|MoonBless'!DN18</f>
        <v>2元话费卡</v>
      </c>
      <c r="AU18" s="256">
        <f>'抽奖|MoonBless'!DO18</f>
        <v>2</v>
      </c>
      <c r="AV18" s="256">
        <f>'抽奖|MoonBless'!DP18</f>
        <v>20</v>
      </c>
      <c r="AW18" s="256">
        <f>'抽奖|MoonBless'!DQ18</f>
        <v>2</v>
      </c>
      <c r="AX18" s="256">
        <f>'抽奖|MoonBless'!DR18</f>
        <v>1205</v>
      </c>
    </row>
    <row r="19" spans="15:50" x14ac:dyDescent="0.25">
      <c r="AT19" s="256" t="str">
        <f>'抽奖|MoonBless'!DN19</f>
        <v>高压锅</v>
      </c>
      <c r="AU19" s="256">
        <f>'抽奖|MoonBless'!DO19</f>
        <v>200</v>
      </c>
      <c r="AV19" s="256">
        <f>'抽奖|MoonBless'!DP19</f>
        <v>2000</v>
      </c>
      <c r="AW19" s="256">
        <f>'抽奖|MoonBless'!DQ19</f>
        <v>2</v>
      </c>
      <c r="AX19" s="256">
        <f>'抽奖|MoonBless'!DR19</f>
        <v>1208</v>
      </c>
    </row>
    <row r="20" spans="15:50" x14ac:dyDescent="0.25">
      <c r="AT20" s="256" t="str">
        <f>'抽奖|MoonBless'!DN20</f>
        <v>30元话费卡</v>
      </c>
      <c r="AU20" s="256">
        <f>'抽奖|MoonBless'!DO20</f>
        <v>30</v>
      </c>
      <c r="AV20" s="256">
        <f>'抽奖|MoonBless'!DP20</f>
        <v>300</v>
      </c>
      <c r="AW20" s="256">
        <f>'抽奖|MoonBless'!DQ20</f>
        <v>2</v>
      </c>
      <c r="AX20" s="256">
        <f>'抽奖|MoonBless'!DR20</f>
        <v>1209</v>
      </c>
    </row>
    <row r="21" spans="15:50" x14ac:dyDescent="0.25">
      <c r="AT21" s="256" t="str">
        <f>'抽奖|MoonBless'!DN21</f>
        <v>50元话费卡</v>
      </c>
      <c r="AU21" s="256">
        <f>'抽奖|MoonBless'!DO21</f>
        <v>50</v>
      </c>
      <c r="AV21" s="256">
        <f>'抽奖|MoonBless'!DP21</f>
        <v>500</v>
      </c>
      <c r="AW21" s="256">
        <f>'抽奖|MoonBless'!DQ21</f>
        <v>2</v>
      </c>
      <c r="AX21" s="256">
        <f>'抽奖|MoonBless'!DR21</f>
        <v>1210</v>
      </c>
    </row>
    <row r="22" spans="15:50" x14ac:dyDescent="0.25">
      <c r="P22" s="85" t="s">
        <v>1496</v>
      </c>
      <c r="Q22" s="260"/>
      <c r="U22" s="262" t="s">
        <v>1497</v>
      </c>
      <c r="V22" s="262"/>
      <c r="AT22" s="256" t="str">
        <f>'抽奖|MoonBless'!DN22</f>
        <v>活跃度</v>
      </c>
      <c r="AU22" s="256">
        <f>'抽奖|MoonBless'!DO22</f>
        <v>1</v>
      </c>
      <c r="AV22" s="256">
        <f>'抽奖|MoonBless'!DP22</f>
        <v>10</v>
      </c>
      <c r="AW22" s="256">
        <f>'抽奖|MoonBless'!DQ22</f>
        <v>1</v>
      </c>
      <c r="AX22" s="256">
        <f>'抽奖|MoonBless'!DR22</f>
        <v>6</v>
      </c>
    </row>
    <row r="23" spans="15:50" x14ac:dyDescent="0.25">
      <c r="O23" s="2" t="s">
        <v>1498</v>
      </c>
      <c r="P23" s="7" t="s">
        <v>1499</v>
      </c>
      <c r="Q23" s="261" t="s">
        <v>1500</v>
      </c>
      <c r="R23" s="2" t="s">
        <v>1501</v>
      </c>
      <c r="S23" s="2" t="s">
        <v>1502</v>
      </c>
      <c r="T23" s="9" t="s">
        <v>1503</v>
      </c>
      <c r="U23" s="2" t="s">
        <v>1504</v>
      </c>
      <c r="V23" s="2" t="s">
        <v>1505</v>
      </c>
      <c r="AT23" s="256" t="str">
        <f>'抽奖|MoonBless'!DN23</f>
        <v>红包【恭】</v>
      </c>
      <c r="AU23" s="256">
        <f>'抽奖|MoonBless'!DO23</f>
        <v>1</v>
      </c>
      <c r="AV23" s="256">
        <f>'抽奖|MoonBless'!DP23</f>
        <v>10</v>
      </c>
      <c r="AW23" s="256">
        <f>'抽奖|MoonBless'!DQ23</f>
        <v>2</v>
      </c>
      <c r="AX23" s="256">
        <f>'抽奖|MoonBless'!DR23</f>
        <v>1301</v>
      </c>
    </row>
    <row r="24" spans="15:50" x14ac:dyDescent="0.25">
      <c r="O24" s="2">
        <v>300</v>
      </c>
      <c r="P24" s="2">
        <v>310</v>
      </c>
      <c r="Q24" s="2">
        <v>180</v>
      </c>
      <c r="R24" s="2">
        <v>8</v>
      </c>
      <c r="S24" s="2">
        <f>P24/R24</f>
        <v>38.75</v>
      </c>
      <c r="T24" s="2">
        <f t="shared" ref="T24:T28" si="10">R24*20</f>
        <v>160</v>
      </c>
      <c r="U24" s="2">
        <f>P24-T24</f>
        <v>150</v>
      </c>
      <c r="V24" s="2">
        <v>150</v>
      </c>
      <c r="W24" s="2">
        <f>O24*45*5</f>
        <v>67500</v>
      </c>
      <c r="AT24" s="256" t="str">
        <f>'抽奖|MoonBless'!DN24</f>
        <v>红包【喜】</v>
      </c>
      <c r="AU24" s="256">
        <f>'抽奖|MoonBless'!DO24</f>
        <v>1</v>
      </c>
      <c r="AV24" s="256">
        <f>'抽奖|MoonBless'!DP24</f>
        <v>10</v>
      </c>
      <c r="AW24" s="256">
        <f>'抽奖|MoonBless'!DQ24</f>
        <v>2</v>
      </c>
      <c r="AX24" s="256">
        <f>'抽奖|MoonBless'!DR24</f>
        <v>1302</v>
      </c>
    </row>
    <row r="25" spans="15:50" x14ac:dyDescent="0.25">
      <c r="O25" s="2">
        <v>500</v>
      </c>
      <c r="P25" s="2">
        <v>730</v>
      </c>
      <c r="Q25" s="2">
        <v>450</v>
      </c>
      <c r="R25" s="2">
        <v>18</v>
      </c>
      <c r="S25" s="2">
        <f t="shared" ref="S25" si="11">P25/R25</f>
        <v>40.555555555555557</v>
      </c>
      <c r="T25" s="2">
        <f t="shared" si="10"/>
        <v>360</v>
      </c>
      <c r="U25" s="2">
        <f t="shared" ref="U25" si="12">P25-T25</f>
        <v>370</v>
      </c>
      <c r="V25" s="2">
        <v>900</v>
      </c>
      <c r="W25" s="2">
        <f>O25*45*5</f>
        <v>112500</v>
      </c>
      <c r="AT25" s="256" t="str">
        <f>'抽奖|MoonBless'!DN25</f>
        <v>红包【发】</v>
      </c>
      <c r="AU25" s="256">
        <f>'抽奖|MoonBless'!DO25</f>
        <v>1</v>
      </c>
      <c r="AV25" s="256">
        <f>'抽奖|MoonBless'!DP25</f>
        <v>10</v>
      </c>
      <c r="AW25" s="256">
        <f>'抽奖|MoonBless'!DQ25</f>
        <v>2</v>
      </c>
      <c r="AX25" s="256">
        <f>'抽奖|MoonBless'!DR25</f>
        <v>1303</v>
      </c>
    </row>
    <row r="26" spans="15:50" x14ac:dyDescent="0.25">
      <c r="O26" s="2">
        <v>1000</v>
      </c>
      <c r="P26" s="2">
        <v>1740</v>
      </c>
      <c r="Q26" s="2">
        <v>1050</v>
      </c>
      <c r="R26" s="2">
        <v>50</v>
      </c>
      <c r="S26" s="2">
        <f t="shared" ref="S26:S28" si="13">P26/R26</f>
        <v>34.799999999999997</v>
      </c>
      <c r="T26" s="2">
        <f t="shared" si="10"/>
        <v>1000</v>
      </c>
      <c r="U26" s="2">
        <f t="shared" ref="U26:U28" si="14">P26-T26</f>
        <v>740</v>
      </c>
      <c r="V26" s="2">
        <v>900</v>
      </c>
      <c r="W26" s="2">
        <f>O26*45*5</f>
        <v>225000</v>
      </c>
      <c r="AT26" s="256" t="str">
        <f>'抽奖|MoonBless'!DN26</f>
        <v>红包【财】</v>
      </c>
      <c r="AU26" s="256">
        <f>'抽奖|MoonBless'!DO26</f>
        <v>1</v>
      </c>
      <c r="AV26" s="256">
        <f>'抽奖|MoonBless'!DP26</f>
        <v>10</v>
      </c>
      <c r="AW26" s="256">
        <f>'抽奖|MoonBless'!DQ26</f>
        <v>2</v>
      </c>
      <c r="AX26" s="256">
        <f>'抽奖|MoonBless'!DR26</f>
        <v>1304</v>
      </c>
    </row>
    <row r="27" spans="15:50" x14ac:dyDescent="0.25">
      <c r="O27" s="2">
        <v>3500</v>
      </c>
      <c r="P27" s="2">
        <v>12000</v>
      </c>
      <c r="Q27" s="2">
        <v>9000</v>
      </c>
      <c r="R27" s="2">
        <v>328</v>
      </c>
      <c r="S27" s="2">
        <f t="shared" si="13"/>
        <v>36.585365853658537</v>
      </c>
      <c r="T27" s="2">
        <f t="shared" si="10"/>
        <v>6560</v>
      </c>
      <c r="U27" s="2">
        <f t="shared" si="14"/>
        <v>5440</v>
      </c>
      <c r="V27" s="2">
        <v>4500</v>
      </c>
      <c r="W27" s="2">
        <f>O27*45*5</f>
        <v>787500</v>
      </c>
      <c r="AT27" s="256" t="str">
        <f>'抽奖|MoonBless'!DN27</f>
        <v>双轮</v>
      </c>
      <c r="AU27" s="256">
        <f>'抽奖|MoonBless'!DO27</f>
        <v>100</v>
      </c>
      <c r="AV27" s="256">
        <f>'抽奖|MoonBless'!DP27</f>
        <v>1000</v>
      </c>
      <c r="AW27" s="256">
        <f>'抽奖|MoonBless'!DQ27</f>
        <v>2</v>
      </c>
      <c r="AX27" s="256">
        <f>'抽奖|MoonBless'!DR27</f>
        <v>1500</v>
      </c>
    </row>
    <row r="28" spans="15:50" x14ac:dyDescent="0.25">
      <c r="O28" s="2">
        <v>6000</v>
      </c>
      <c r="P28" s="2">
        <v>19500</v>
      </c>
      <c r="Q28" s="2">
        <v>11000</v>
      </c>
      <c r="R28" s="2">
        <v>648</v>
      </c>
      <c r="S28" s="2">
        <f t="shared" si="13"/>
        <v>30.092592592592592</v>
      </c>
      <c r="T28" s="2">
        <f t="shared" si="10"/>
        <v>12960</v>
      </c>
      <c r="U28" s="2">
        <f t="shared" si="14"/>
        <v>6540</v>
      </c>
      <c r="V28" s="2">
        <v>10000</v>
      </c>
      <c r="W28" s="2">
        <f>O28*45*5</f>
        <v>1350000</v>
      </c>
    </row>
    <row r="29" spans="15:50" x14ac:dyDescent="0.25">
      <c r="O29" s="17" t="s">
        <v>1506</v>
      </c>
    </row>
  </sheetData>
  <mergeCells count="1">
    <mergeCell ref="O3:AH3"/>
  </mergeCells>
  <phoneticPr fontId="57" type="noConversion"/>
  <conditionalFormatting sqref="N4">
    <cfRule type="containsText" dxfId="1078" priority="330" operator="containsText" text=" ">
      <formula>NOT(ISERROR(SEARCH(" ",N4)))</formula>
    </cfRule>
  </conditionalFormatting>
  <conditionalFormatting sqref="AF4">
    <cfRule type="containsText" dxfId="1077" priority="741" operator="containsText" text=" ">
      <formula>NOT(ISERROR(SEARCH(" ",AF4)))</formula>
    </cfRule>
  </conditionalFormatting>
  <conditionalFormatting sqref="AJ4">
    <cfRule type="containsText" dxfId="1076" priority="720" operator="containsText" text=" ">
      <formula>NOT(ISERROR(SEARCH(" ",AJ4)))</formula>
    </cfRule>
  </conditionalFormatting>
  <conditionalFormatting sqref="AN4">
    <cfRule type="containsText" dxfId="1075" priority="208" operator="containsText" text=" ">
      <formula>NOT(ISERROR(SEARCH(" ",AN4)))</formula>
    </cfRule>
  </conditionalFormatting>
  <conditionalFormatting sqref="AQ4">
    <cfRule type="containsText" dxfId="1074" priority="733" operator="containsText" text=" ">
      <formula>NOT(ISERROR(SEARCH(" ",AQ4)))</formula>
    </cfRule>
  </conditionalFormatting>
  <conditionalFormatting sqref="A5">
    <cfRule type="containsText" dxfId="1073" priority="277" operator="containsText" text=" ">
      <formula>NOT(ISERROR(SEARCH(" ",A5)))</formula>
    </cfRule>
  </conditionalFormatting>
  <conditionalFormatting sqref="B5">
    <cfRule type="containsText" dxfId="1072" priority="211" operator="containsText" text=" ">
      <formula>NOT(ISERROR(SEARCH(" ",B5)))</formula>
    </cfRule>
  </conditionalFormatting>
  <conditionalFormatting sqref="F5">
    <cfRule type="containsText" dxfId="1071" priority="135" operator="containsText" text=" ">
      <formula>NOT(ISERROR(SEARCH(" ",F5)))</formula>
    </cfRule>
  </conditionalFormatting>
  <conditionalFormatting sqref="G5">
    <cfRule type="containsText" dxfId="1070" priority="219" operator="containsText" text=" ">
      <formula>NOT(ISERROR(SEARCH(" ",G5)))</formula>
    </cfRule>
  </conditionalFormatting>
  <conditionalFormatting sqref="H5">
    <cfRule type="containsText" dxfId="1069" priority="8" operator="containsText" text=" ">
      <formula>NOT(ISERROR(SEARCH(" ",H5)))</formula>
    </cfRule>
  </conditionalFormatting>
  <conditionalFormatting sqref="I5:M5">
    <cfRule type="containsText" dxfId="1068" priority="221" operator="containsText" text=" ">
      <formula>NOT(ISERROR(SEARCH(" ",I5)))</formula>
    </cfRule>
  </conditionalFormatting>
  <conditionalFormatting sqref="N5">
    <cfRule type="containsText" dxfId="1067" priority="218" operator="containsText" text=" ">
      <formula>NOT(ISERROR(SEARCH(" ",N5)))</formula>
    </cfRule>
  </conditionalFormatting>
  <conditionalFormatting sqref="O5">
    <cfRule type="containsText" dxfId="1066" priority="217" operator="containsText" text=" ">
      <formula>NOT(ISERROR(SEARCH(" ",O5)))</formula>
    </cfRule>
  </conditionalFormatting>
  <conditionalFormatting sqref="P5:R5">
    <cfRule type="containsText" dxfId="1065" priority="220" operator="containsText" text=" ">
      <formula>NOT(ISERROR(SEARCH(" ",P5)))</formula>
    </cfRule>
  </conditionalFormatting>
  <conditionalFormatting sqref="S5">
    <cfRule type="containsText" dxfId="1064" priority="9" operator="containsText" text=" ">
      <formula>NOT(ISERROR(SEARCH(" ",S5)))</formula>
    </cfRule>
  </conditionalFormatting>
  <conditionalFormatting sqref="T5:U5">
    <cfRule type="containsText" dxfId="1063" priority="150" operator="containsText" text=" ">
      <formula>NOT(ISERROR(SEARCH(" ",T5)))</formula>
    </cfRule>
  </conditionalFormatting>
  <conditionalFormatting sqref="V5">
    <cfRule type="containsText" dxfId="1062" priority="137" operator="containsText" text=" ">
      <formula>NOT(ISERROR(SEARCH(" ",V5)))</formula>
    </cfRule>
  </conditionalFormatting>
  <conditionalFormatting sqref="W5">
    <cfRule type="containsText" dxfId="1061" priority="136" operator="containsText" text=" ">
      <formula>NOT(ISERROR(SEARCH(" ",W5)))</formula>
    </cfRule>
  </conditionalFormatting>
  <conditionalFormatting sqref="X5:Y5">
    <cfRule type="containsText" dxfId="1060" priority="143" operator="containsText" text=" ">
      <formula>NOT(ISERROR(SEARCH(" ",X5)))</formula>
    </cfRule>
  </conditionalFormatting>
  <conditionalFormatting sqref="Z5">
    <cfRule type="containsText" dxfId="1059" priority="146" operator="containsText" text=" ">
      <formula>NOT(ISERROR(SEARCH(" ",Z5)))</formula>
    </cfRule>
  </conditionalFormatting>
  <conditionalFormatting sqref="AA5">
    <cfRule type="containsText" dxfId="1058" priority="148" operator="containsText" text=" ">
      <formula>NOT(ISERROR(SEARCH(" ",AA5)))</formula>
    </cfRule>
  </conditionalFormatting>
  <conditionalFormatting sqref="AB5:AC5">
    <cfRule type="containsText" dxfId="1057" priority="142" operator="containsText" text=" ">
      <formula>NOT(ISERROR(SEARCH(" ",AB5)))</formula>
    </cfRule>
  </conditionalFormatting>
  <conditionalFormatting sqref="AD5">
    <cfRule type="containsText" dxfId="1056" priority="145" operator="containsText" text=" ">
      <formula>NOT(ISERROR(SEARCH(" ",AD5)))</formula>
    </cfRule>
  </conditionalFormatting>
  <conditionalFormatting sqref="AE5">
    <cfRule type="containsText" dxfId="1055" priority="147" operator="containsText" text=" ">
      <formula>NOT(ISERROR(SEARCH(" ",AE5)))</formula>
    </cfRule>
  </conditionalFormatting>
  <conditionalFormatting sqref="AF5:AG5">
    <cfRule type="containsText" dxfId="1054" priority="141" operator="containsText" text=" ">
      <formula>NOT(ISERROR(SEARCH(" ",AF5)))</formula>
    </cfRule>
  </conditionalFormatting>
  <conditionalFormatting sqref="AH5">
    <cfRule type="containsText" dxfId="1053" priority="144" operator="containsText" text=" ">
      <formula>NOT(ISERROR(SEARCH(" ",AH5)))</formula>
    </cfRule>
  </conditionalFormatting>
  <conditionalFormatting sqref="AI5">
    <cfRule type="containsText" dxfId="1052" priority="140" operator="containsText" text=" ">
      <formula>NOT(ISERROR(SEARCH(" ",AI5)))</formula>
    </cfRule>
  </conditionalFormatting>
  <conditionalFormatting sqref="AJ5:AK5">
    <cfRule type="containsText" dxfId="1051" priority="138" operator="containsText" text=" ">
      <formula>NOT(ISERROR(SEARCH(" ",AJ5)))</formula>
    </cfRule>
  </conditionalFormatting>
  <conditionalFormatting sqref="AL5">
    <cfRule type="containsText" dxfId="1050" priority="139" operator="containsText" text=" ">
      <formula>NOT(ISERROR(SEARCH(" ",AL5)))</formula>
    </cfRule>
  </conditionalFormatting>
  <conditionalFormatting sqref="AM5">
    <cfRule type="containsText" dxfId="1049" priority="166" operator="containsText" text=" ">
      <formula>NOT(ISERROR(SEARCH(" ",AM5)))</formula>
    </cfRule>
  </conditionalFormatting>
  <conditionalFormatting sqref="AN5:AO5">
    <cfRule type="containsText" dxfId="1048" priority="167" operator="containsText" text=" ">
      <formula>NOT(ISERROR(SEARCH(" ",AN5)))</formula>
    </cfRule>
  </conditionalFormatting>
  <conditionalFormatting sqref="AP5">
    <cfRule type="containsText" dxfId="1047" priority="168" operator="containsText" text=" ">
      <formula>NOT(ISERROR(SEARCH(" ",AP5)))</formula>
    </cfRule>
  </conditionalFormatting>
  <conditionalFormatting sqref="AQ5">
    <cfRule type="containsText" dxfId="1046" priority="231" operator="containsText" text=" ">
      <formula>NOT(ISERROR(SEARCH(" ",AQ5)))</formula>
    </cfRule>
  </conditionalFormatting>
  <conditionalFormatting sqref="A6:B6">
    <cfRule type="containsText" dxfId="1045" priority="234" operator="containsText" text=" ">
      <formula>NOT(ISERROR(SEARCH(" ",A6)))</formula>
    </cfRule>
  </conditionalFormatting>
  <conditionalFormatting sqref="C6:E6">
    <cfRule type="containsText" dxfId="1044" priority="253" operator="containsText" text=" ">
      <formula>NOT(ISERROR(SEARCH(" ",C6)))</formula>
    </cfRule>
  </conditionalFormatting>
  <conditionalFormatting sqref="F6:G6">
    <cfRule type="containsText" dxfId="1043" priority="242" operator="containsText" text=" ">
      <formula>NOT(ISERROR(SEARCH(" ",F6)))</formula>
    </cfRule>
  </conditionalFormatting>
  <conditionalFormatting sqref="H6">
    <cfRule type="containsText" dxfId="1042" priority="235" operator="containsText" text=" ">
      <formula>NOT(ISERROR(SEARCH(" ",H6)))</formula>
    </cfRule>
  </conditionalFormatting>
  <conditionalFormatting sqref="I6:M6">
    <cfRule type="containsText" dxfId="1041" priority="254" operator="containsText" text=" ">
      <formula>NOT(ISERROR(SEARCH(" ",I6)))</formula>
    </cfRule>
  </conditionalFormatting>
  <conditionalFormatting sqref="N6">
    <cfRule type="containsText" dxfId="1040" priority="241" operator="containsText" text=" ">
      <formula>NOT(ISERROR(SEARCH(" ",N6)))</formula>
    </cfRule>
  </conditionalFormatting>
  <conditionalFormatting sqref="O6">
    <cfRule type="containsText" dxfId="1039" priority="233" operator="containsText" text=" ">
      <formula>NOT(ISERROR(SEARCH(" ",O6)))</formula>
    </cfRule>
  </conditionalFormatting>
  <conditionalFormatting sqref="P6:R6">
    <cfRule type="containsText" dxfId="1038" priority="243" operator="containsText" text=" ">
      <formula>NOT(ISERROR(SEARCH(" ",P6)))</formula>
    </cfRule>
  </conditionalFormatting>
  <conditionalFormatting sqref="S6">
    <cfRule type="containsText" dxfId="1037" priority="133" operator="containsText" text=" ">
      <formula>NOT(ISERROR(SEARCH(" ",S6)))</formula>
    </cfRule>
  </conditionalFormatting>
  <conditionalFormatting sqref="T6:U6">
    <cfRule type="containsText" dxfId="1036" priority="134" operator="containsText" text=" ">
      <formula>NOT(ISERROR(SEARCH(" ",T6)))</formula>
    </cfRule>
  </conditionalFormatting>
  <conditionalFormatting sqref="V6">
    <cfRule type="containsText" dxfId="1035" priority="130" operator="containsText" text=" ">
      <formula>NOT(ISERROR(SEARCH(" ",V6)))</formula>
    </cfRule>
  </conditionalFormatting>
  <conditionalFormatting sqref="W6">
    <cfRule type="containsText" dxfId="1034" priority="129" operator="containsText" text=" ">
      <formula>NOT(ISERROR(SEARCH(" ",W6)))</formula>
    </cfRule>
  </conditionalFormatting>
  <conditionalFormatting sqref="X6:Y6">
    <cfRule type="containsText" dxfId="1033" priority="131" operator="containsText" text=" ">
      <formula>NOT(ISERROR(SEARCH(" ",X6)))</formula>
    </cfRule>
  </conditionalFormatting>
  <conditionalFormatting sqref="Z6">
    <cfRule type="containsText" dxfId="1032" priority="132" operator="containsText" text=" ">
      <formula>NOT(ISERROR(SEARCH(" ",Z6)))</formula>
    </cfRule>
  </conditionalFormatting>
  <conditionalFormatting sqref="AA6">
    <cfRule type="containsText" dxfId="1031" priority="163" operator="containsText" text=" ">
      <formula>NOT(ISERROR(SEARCH(" ",AA6)))</formula>
    </cfRule>
  </conditionalFormatting>
  <conditionalFormatting sqref="AB6:AC6">
    <cfRule type="containsText" dxfId="1030" priority="157" operator="containsText" text=" ">
      <formula>NOT(ISERROR(SEARCH(" ",AB6)))</formula>
    </cfRule>
  </conditionalFormatting>
  <conditionalFormatting sqref="AD6">
    <cfRule type="containsText" dxfId="1029" priority="160" operator="containsText" text=" ">
      <formula>NOT(ISERROR(SEARCH(" ",AD6)))</formula>
    </cfRule>
  </conditionalFormatting>
  <conditionalFormatting sqref="AE6">
    <cfRule type="containsText" dxfId="1028" priority="162" operator="containsText" text=" ">
      <formula>NOT(ISERROR(SEARCH(" ",AE6)))</formula>
    </cfRule>
  </conditionalFormatting>
  <conditionalFormatting sqref="AF6:AG6">
    <cfRule type="containsText" dxfId="1027" priority="156" operator="containsText" text=" ">
      <formula>NOT(ISERROR(SEARCH(" ",AF6)))</formula>
    </cfRule>
  </conditionalFormatting>
  <conditionalFormatting sqref="AH6">
    <cfRule type="containsText" dxfId="1026" priority="159" operator="containsText" text=" ">
      <formula>NOT(ISERROR(SEARCH(" ",AH6)))</formula>
    </cfRule>
  </conditionalFormatting>
  <conditionalFormatting sqref="AI6">
    <cfRule type="containsText" dxfId="1025" priority="155" operator="containsText" text=" ">
      <formula>NOT(ISERROR(SEARCH(" ",AI6)))</formula>
    </cfRule>
  </conditionalFormatting>
  <conditionalFormatting sqref="AJ6:AK6">
    <cfRule type="containsText" dxfId="1024" priority="153" operator="containsText" text=" ">
      <formula>NOT(ISERROR(SEARCH(" ",AJ6)))</formula>
    </cfRule>
  </conditionalFormatting>
  <conditionalFormatting sqref="AL6">
    <cfRule type="containsText" dxfId="1023" priority="154" operator="containsText" text=" ">
      <formula>NOT(ISERROR(SEARCH(" ",AL6)))</formula>
    </cfRule>
  </conditionalFormatting>
  <conditionalFormatting sqref="AM6">
    <cfRule type="containsText" dxfId="1022" priority="174" operator="containsText" text=" ">
      <formula>NOT(ISERROR(SEARCH(" ",AM6)))</formula>
    </cfRule>
  </conditionalFormatting>
  <conditionalFormatting sqref="AN6:AO6">
    <cfRule type="containsText" dxfId="1021" priority="172" operator="containsText" text=" ">
      <formula>NOT(ISERROR(SEARCH(" ",AN6)))</formula>
    </cfRule>
  </conditionalFormatting>
  <conditionalFormatting sqref="AP6">
    <cfRule type="containsText" dxfId="1020" priority="173" operator="containsText" text=" ">
      <formula>NOT(ISERROR(SEARCH(" ",AP6)))</formula>
    </cfRule>
  </conditionalFormatting>
  <conditionalFormatting sqref="AQ6">
    <cfRule type="containsText" dxfId="1019" priority="255" operator="containsText" text=" ">
      <formula>NOT(ISERROR(SEARCH(" ",AQ6)))</formula>
    </cfRule>
  </conditionalFormatting>
  <conditionalFormatting sqref="A7:D7">
    <cfRule type="containsText" dxfId="1018" priority="656" operator="containsText" text=" ">
      <formula>NOT(ISERROR(SEARCH(" ",A7)))</formula>
    </cfRule>
    <cfRule type="containsText" dxfId="1017" priority="679" operator="containsText" text=" ">
      <formula>NOT(ISERROR(SEARCH(" ",A7)))</formula>
    </cfRule>
  </conditionalFormatting>
  <conditionalFormatting sqref="E7">
    <cfRule type="containsText" dxfId="1016" priority="451" operator="containsText" text=" ">
      <formula>NOT(ISERROR(SEARCH(" ",E7)))</formula>
    </cfRule>
    <cfRule type="containsText" dxfId="1015" priority="452" operator="containsText" text=" ">
      <formula>NOT(ISERROR(SEARCH(" ",E7)))</formula>
    </cfRule>
  </conditionalFormatting>
  <conditionalFormatting sqref="F7:G7">
    <cfRule type="containsText" dxfId="1014" priority="654" operator="containsText" text=" ">
      <formula>NOT(ISERROR(SEARCH(" ",F7)))</formula>
    </cfRule>
    <cfRule type="containsText" dxfId="1013" priority="677" operator="containsText" text=" ">
      <formula>NOT(ISERROR(SEARCH(" ",F7)))</formula>
    </cfRule>
  </conditionalFormatting>
  <conditionalFormatting sqref="N7">
    <cfRule type="containsText" dxfId="1012" priority="653" operator="containsText" text=" ">
      <formula>NOT(ISERROR(SEARCH(" ",N7)))</formula>
    </cfRule>
    <cfRule type="containsText" dxfId="1011" priority="676" operator="containsText" text=" ">
      <formula>NOT(ISERROR(SEARCH(" ",N7)))</formula>
    </cfRule>
  </conditionalFormatting>
  <conditionalFormatting sqref="O7">
    <cfRule type="containsText" dxfId="1010" priority="641" operator="containsText" text=" ">
      <formula>NOT(ISERROR(SEARCH(" ",O7)))</formula>
    </cfRule>
    <cfRule type="containsText" dxfId="1009" priority="664" operator="containsText" text=" ">
      <formula>NOT(ISERROR(SEARCH(" ",O7)))</formula>
    </cfRule>
  </conditionalFormatting>
  <conditionalFormatting sqref="S7">
    <cfRule type="containsText" dxfId="1008" priority="651" operator="containsText" text=" ">
      <formula>NOT(ISERROR(SEARCH(" ",S7)))</formula>
    </cfRule>
    <cfRule type="containsText" dxfId="1007" priority="674" operator="containsText" text=" ">
      <formula>NOT(ISERROR(SEARCH(" ",S7)))</formula>
    </cfRule>
  </conditionalFormatting>
  <conditionalFormatting sqref="T7:U7">
    <cfRule type="containsText" dxfId="1006" priority="652" operator="containsText" text=" ">
      <formula>NOT(ISERROR(SEARCH(" ",T7)))</formula>
    </cfRule>
    <cfRule type="containsText" dxfId="1005" priority="675" operator="containsText" text=" ">
      <formula>NOT(ISERROR(SEARCH(" ",T7)))</formula>
    </cfRule>
  </conditionalFormatting>
  <conditionalFormatting sqref="V7">
    <cfRule type="containsText" dxfId="1004" priority="637" operator="containsText" text=" ">
      <formula>NOT(ISERROR(SEARCH(" ",V7)))</formula>
    </cfRule>
    <cfRule type="containsText" dxfId="1003" priority="660" operator="containsText" text=" ">
      <formula>NOT(ISERROR(SEARCH(" ",V7)))</formula>
    </cfRule>
  </conditionalFormatting>
  <conditionalFormatting sqref="W7">
    <cfRule type="containsText" dxfId="1002" priority="636" operator="containsText" text=" ">
      <formula>NOT(ISERROR(SEARCH(" ",W7)))</formula>
    </cfRule>
    <cfRule type="containsText" dxfId="1001" priority="659" operator="containsText" text=" ">
      <formula>NOT(ISERROR(SEARCH(" ",W7)))</formula>
    </cfRule>
  </conditionalFormatting>
  <conditionalFormatting sqref="X7:Y7">
    <cfRule type="containsText" dxfId="1000" priority="645" operator="containsText" text=" ">
      <formula>NOT(ISERROR(SEARCH(" ",X7)))</formula>
    </cfRule>
    <cfRule type="containsText" dxfId="999" priority="668" operator="containsText" text=" ">
      <formula>NOT(ISERROR(SEARCH(" ",X7)))</formula>
    </cfRule>
  </conditionalFormatting>
  <conditionalFormatting sqref="Z7">
    <cfRule type="containsText" dxfId="998" priority="648" operator="containsText" text=" ">
      <formula>NOT(ISERROR(SEARCH(" ",Z7)))</formula>
    </cfRule>
    <cfRule type="containsText" dxfId="997" priority="671" operator="containsText" text=" ">
      <formula>NOT(ISERROR(SEARCH(" ",Z7)))</formula>
    </cfRule>
  </conditionalFormatting>
  <conditionalFormatting sqref="AA7">
    <cfRule type="containsText" dxfId="996" priority="650" operator="containsText" text=" ">
      <formula>NOT(ISERROR(SEARCH(" ",AA7)))</formula>
    </cfRule>
    <cfRule type="containsText" dxfId="995" priority="673" operator="containsText" text=" ">
      <formula>NOT(ISERROR(SEARCH(" ",AA7)))</formula>
    </cfRule>
  </conditionalFormatting>
  <conditionalFormatting sqref="AB7:AC7">
    <cfRule type="containsText" dxfId="994" priority="644" operator="containsText" text=" ">
      <formula>NOT(ISERROR(SEARCH(" ",AB7)))</formula>
    </cfRule>
    <cfRule type="containsText" dxfId="993" priority="667" operator="containsText" text=" ">
      <formula>NOT(ISERROR(SEARCH(" ",AB7)))</formula>
    </cfRule>
  </conditionalFormatting>
  <conditionalFormatting sqref="AD7">
    <cfRule type="containsText" dxfId="992" priority="647" operator="containsText" text=" ">
      <formula>NOT(ISERROR(SEARCH(" ",AD7)))</formula>
    </cfRule>
    <cfRule type="containsText" dxfId="991" priority="670" operator="containsText" text=" ">
      <formula>NOT(ISERROR(SEARCH(" ",AD7)))</formula>
    </cfRule>
  </conditionalFormatting>
  <conditionalFormatting sqref="AE7">
    <cfRule type="containsText" dxfId="990" priority="649" operator="containsText" text=" ">
      <formula>NOT(ISERROR(SEARCH(" ",AE7)))</formula>
    </cfRule>
    <cfRule type="containsText" dxfId="989" priority="672" operator="containsText" text=" ">
      <formula>NOT(ISERROR(SEARCH(" ",AE7)))</formula>
    </cfRule>
  </conditionalFormatting>
  <conditionalFormatting sqref="AF7:AG7">
    <cfRule type="containsText" dxfId="988" priority="643" operator="containsText" text=" ">
      <formula>NOT(ISERROR(SEARCH(" ",AF7)))</formula>
    </cfRule>
    <cfRule type="containsText" dxfId="987" priority="666" operator="containsText" text=" ">
      <formula>NOT(ISERROR(SEARCH(" ",AF7)))</formula>
    </cfRule>
  </conditionalFormatting>
  <conditionalFormatting sqref="AH7">
    <cfRule type="containsText" dxfId="986" priority="646" operator="containsText" text=" ">
      <formula>NOT(ISERROR(SEARCH(" ",AH7)))</formula>
    </cfRule>
    <cfRule type="containsText" dxfId="985" priority="669" operator="containsText" text=" ">
      <formula>NOT(ISERROR(SEARCH(" ",AH7)))</formula>
    </cfRule>
  </conditionalFormatting>
  <conditionalFormatting sqref="AI7">
    <cfRule type="containsText" dxfId="984" priority="640" operator="containsText" text=" ">
      <formula>NOT(ISERROR(SEARCH(" ",AI7)))</formula>
    </cfRule>
    <cfRule type="containsText" dxfId="983" priority="663" operator="containsText" text=" ">
      <formula>NOT(ISERROR(SEARCH(" ",AI7)))</formula>
    </cfRule>
  </conditionalFormatting>
  <conditionalFormatting sqref="AJ7:AK7">
    <cfRule type="containsText" dxfId="982" priority="638" operator="containsText" text=" ">
      <formula>NOT(ISERROR(SEARCH(" ",AJ7)))</formula>
    </cfRule>
    <cfRule type="containsText" dxfId="981" priority="661" operator="containsText" text=" ">
      <formula>NOT(ISERROR(SEARCH(" ",AJ7)))</formula>
    </cfRule>
  </conditionalFormatting>
  <conditionalFormatting sqref="AL7">
    <cfRule type="containsText" dxfId="980" priority="639" operator="containsText" text=" ">
      <formula>NOT(ISERROR(SEARCH(" ",AL7)))</formula>
    </cfRule>
    <cfRule type="containsText" dxfId="979" priority="662" operator="containsText" text=" ">
      <formula>NOT(ISERROR(SEARCH(" ",AL7)))</formula>
    </cfRule>
  </conditionalFormatting>
  <conditionalFormatting sqref="AM7">
    <cfRule type="containsText" dxfId="978" priority="197" operator="containsText" text=" ">
      <formula>NOT(ISERROR(SEARCH(" ",AM7)))</formula>
    </cfRule>
    <cfRule type="containsText" dxfId="977" priority="200" operator="containsText" text=" ">
      <formula>NOT(ISERROR(SEARCH(" ",AM7)))</formula>
    </cfRule>
  </conditionalFormatting>
  <conditionalFormatting sqref="AN7:AO7">
    <cfRule type="containsText" dxfId="976" priority="195" operator="containsText" text=" ">
      <formula>NOT(ISERROR(SEARCH(" ",AN7)))</formula>
    </cfRule>
    <cfRule type="containsText" dxfId="975" priority="198" operator="containsText" text=" ">
      <formula>NOT(ISERROR(SEARCH(" ",AN7)))</formula>
    </cfRule>
  </conditionalFormatting>
  <conditionalFormatting sqref="AP7">
    <cfRule type="containsText" dxfId="974" priority="196" operator="containsText" text=" ">
      <formula>NOT(ISERROR(SEARCH(" ",AP7)))</formula>
    </cfRule>
    <cfRule type="containsText" dxfId="973" priority="199" operator="containsText" text=" ">
      <formula>NOT(ISERROR(SEARCH(" ",AP7)))</formula>
    </cfRule>
  </conditionalFormatting>
  <conditionalFormatting sqref="AQ7">
    <cfRule type="containsText" dxfId="972" priority="634" operator="containsText" text=" ">
      <formula>NOT(ISERROR(SEARCH(" ",AQ7)))</formula>
    </cfRule>
    <cfRule type="containsText" dxfId="971" priority="657" operator="containsText" text=" ">
      <formula>NOT(ISERROR(SEARCH(" ",AQ7)))</formula>
    </cfRule>
  </conditionalFormatting>
  <conditionalFormatting sqref="AR7">
    <cfRule type="containsText" dxfId="970" priority="635" operator="containsText" text=" ">
      <formula>NOT(ISERROR(SEARCH(" ",AR7)))</formula>
    </cfRule>
    <cfRule type="containsText" dxfId="969" priority="658" operator="containsText" text=" ">
      <formula>NOT(ISERROR(SEARCH(" ",AR7)))</formula>
    </cfRule>
  </conditionalFormatting>
  <conditionalFormatting sqref="A8">
    <cfRule type="containsText" dxfId="968" priority="123" operator="containsText" text=" ">
      <formula>NOT(ISERROR(SEARCH(" ",A8)))</formula>
    </cfRule>
    <cfRule type="containsText" dxfId="967" priority="124" operator="containsText" text=" ">
      <formula>NOT(ISERROR(SEARCH(" ",A8)))</formula>
    </cfRule>
  </conditionalFormatting>
  <conditionalFormatting sqref="B8:D8">
    <cfRule type="containsText" dxfId="966" priority="633" operator="containsText" text=" ">
      <formula>NOT(ISERROR(SEARCH(" ",B8)))</formula>
    </cfRule>
  </conditionalFormatting>
  <conditionalFormatting sqref="E8">
    <cfRule type="containsText" dxfId="965" priority="450" operator="containsText" text=" ">
      <formula>NOT(ISERROR(SEARCH(" ",E8)))</formula>
    </cfRule>
    <cfRule type="containsText" dxfId="964" priority="453" operator="containsText" text=" ">
      <formula>NOT(ISERROR(SEARCH(" ",E8)))</formula>
    </cfRule>
  </conditionalFormatting>
  <conditionalFormatting sqref="F8:G8">
    <cfRule type="containsText" dxfId="963" priority="631" operator="containsText" text=" ">
      <formula>NOT(ISERROR(SEARCH(" ",F8)))</formula>
    </cfRule>
    <cfRule type="containsText" dxfId="962" priority="731" operator="containsText" text=" ">
      <formula>NOT(ISERROR(SEARCH(" ",F8)))</formula>
    </cfRule>
  </conditionalFormatting>
  <conditionalFormatting sqref="N8">
    <cfRule type="containsText" dxfId="961" priority="630" operator="containsText" text=" ">
      <formula>NOT(ISERROR(SEARCH(" ",N8)))</formula>
    </cfRule>
  </conditionalFormatting>
  <conditionalFormatting sqref="O8">
    <cfRule type="containsText" dxfId="960" priority="618" operator="containsText" text=" ">
      <formula>NOT(ISERROR(SEARCH(" ",O8)))</formula>
    </cfRule>
  </conditionalFormatting>
  <conditionalFormatting sqref="P8:Q8">
    <cfRule type="containsText" dxfId="959" priority="619" operator="containsText" text=" ">
      <formula>NOT(ISERROR(SEARCH(" ",P8)))</formula>
    </cfRule>
  </conditionalFormatting>
  <conditionalFormatting sqref="S8">
    <cfRule type="containsText" dxfId="958" priority="628" operator="containsText" text=" ">
      <formula>NOT(ISERROR(SEARCH(" ",S8)))</formula>
    </cfRule>
  </conditionalFormatting>
  <conditionalFormatting sqref="T8:U8">
    <cfRule type="containsText" dxfId="957" priority="629" operator="containsText" text=" ">
      <formula>NOT(ISERROR(SEARCH(" ",T8)))</formula>
    </cfRule>
  </conditionalFormatting>
  <conditionalFormatting sqref="V8">
    <cfRule type="containsText" dxfId="956" priority="614" operator="containsText" text=" ">
      <formula>NOT(ISERROR(SEARCH(" ",V8)))</formula>
    </cfRule>
  </conditionalFormatting>
  <conditionalFormatting sqref="W8">
    <cfRule type="containsText" dxfId="955" priority="613" operator="containsText" text=" ">
      <formula>NOT(ISERROR(SEARCH(" ",W8)))</formula>
    </cfRule>
  </conditionalFormatting>
  <conditionalFormatting sqref="X8:Y8">
    <cfRule type="containsText" dxfId="954" priority="622" operator="containsText" text=" ">
      <formula>NOT(ISERROR(SEARCH(" ",X8)))</formula>
    </cfRule>
  </conditionalFormatting>
  <conditionalFormatting sqref="Z8">
    <cfRule type="containsText" dxfId="953" priority="625" operator="containsText" text=" ">
      <formula>NOT(ISERROR(SEARCH(" ",Z8)))</formula>
    </cfRule>
  </conditionalFormatting>
  <conditionalFormatting sqref="AA8:AD8">
    <cfRule type="containsText" dxfId="952" priority="748" operator="containsText" text=" ">
      <formula>NOT(ISERROR(SEARCH(" ",AA8)))</formula>
    </cfRule>
  </conditionalFormatting>
  <conditionalFormatting sqref="AA8">
    <cfRule type="containsText" dxfId="951" priority="627" operator="containsText" text=" ">
      <formula>NOT(ISERROR(SEARCH(" ",AA8)))</formula>
    </cfRule>
  </conditionalFormatting>
  <conditionalFormatting sqref="AB8:AC8">
    <cfRule type="containsText" dxfId="950" priority="621" operator="containsText" text=" ">
      <formula>NOT(ISERROR(SEARCH(" ",AB8)))</formula>
    </cfRule>
  </conditionalFormatting>
  <conditionalFormatting sqref="AD8">
    <cfRule type="containsText" dxfId="949" priority="624" operator="containsText" text=" ">
      <formula>NOT(ISERROR(SEARCH(" ",AD8)))</formula>
    </cfRule>
  </conditionalFormatting>
  <conditionalFormatting sqref="AE8">
    <cfRule type="containsText" dxfId="948" priority="626" operator="containsText" text=" ">
      <formula>NOT(ISERROR(SEARCH(" ",AE8)))</formula>
    </cfRule>
  </conditionalFormatting>
  <conditionalFormatting sqref="AF8:AG8">
    <cfRule type="containsText" dxfId="947" priority="620" operator="containsText" text=" ">
      <formula>NOT(ISERROR(SEARCH(" ",AF8)))</formula>
    </cfRule>
  </conditionalFormatting>
  <conditionalFormatting sqref="AH8">
    <cfRule type="containsText" dxfId="946" priority="623" operator="containsText" text=" ">
      <formula>NOT(ISERROR(SEARCH(" ",AH8)))</formula>
    </cfRule>
  </conditionalFormatting>
  <conditionalFormatting sqref="AI8:AL8">
    <cfRule type="containsText" dxfId="945" priority="724" operator="containsText" text=" ">
      <formula>NOT(ISERROR(SEARCH(" ",AI8)))</formula>
    </cfRule>
  </conditionalFormatting>
  <conditionalFormatting sqref="AI8">
    <cfRule type="containsText" dxfId="944" priority="617" operator="containsText" text=" ">
      <formula>NOT(ISERROR(SEARCH(" ",AI8)))</formula>
    </cfRule>
  </conditionalFormatting>
  <conditionalFormatting sqref="AJ8:AK8">
    <cfRule type="containsText" dxfId="943" priority="615" operator="containsText" text=" ">
      <formula>NOT(ISERROR(SEARCH(" ",AJ8)))</formula>
    </cfRule>
  </conditionalFormatting>
  <conditionalFormatting sqref="AL8">
    <cfRule type="containsText" dxfId="942" priority="616" operator="containsText" text=" ">
      <formula>NOT(ISERROR(SEARCH(" ",AL8)))</formula>
    </cfRule>
  </conditionalFormatting>
  <conditionalFormatting sqref="AM8">
    <cfRule type="containsText" dxfId="941" priority="194" operator="containsText" text=" ">
      <formula>NOT(ISERROR(SEARCH(" ",AM8)))</formula>
    </cfRule>
  </conditionalFormatting>
  <conditionalFormatting sqref="AM8:AP8">
    <cfRule type="containsText" dxfId="940" priority="210" operator="containsText" text=" ">
      <formula>NOT(ISERROR(SEARCH(" ",AM8)))</formula>
    </cfRule>
  </conditionalFormatting>
  <conditionalFormatting sqref="AN8:AO8">
    <cfRule type="containsText" dxfId="939" priority="192" operator="containsText" text=" ">
      <formula>NOT(ISERROR(SEARCH(" ",AN8)))</formula>
    </cfRule>
  </conditionalFormatting>
  <conditionalFormatting sqref="AP8">
    <cfRule type="containsText" dxfId="938" priority="193" operator="containsText" text=" ">
      <formula>NOT(ISERROR(SEARCH(" ",AP8)))</formula>
    </cfRule>
  </conditionalFormatting>
  <conditionalFormatting sqref="AQ8">
    <cfRule type="containsText" dxfId="937" priority="611" operator="containsText" text=" ">
      <formula>NOT(ISERROR(SEARCH(" ",AQ8)))</formula>
    </cfRule>
  </conditionalFormatting>
  <conditionalFormatting sqref="AR8">
    <cfRule type="containsText" dxfId="936" priority="612" operator="containsText" text=" ">
      <formula>NOT(ISERROR(SEARCH(" ",AR8)))</formula>
    </cfRule>
  </conditionalFormatting>
  <conditionalFormatting sqref="O9">
    <cfRule type="containsText" dxfId="935" priority="93" operator="containsText" text=" ">
      <formula>NOT(ISERROR(SEARCH(" ",O9)))</formula>
    </cfRule>
    <cfRule type="containsText" dxfId="934" priority="104" operator="containsText" text=" ">
      <formula>NOT(ISERROR(SEARCH(" ",O9)))</formula>
    </cfRule>
  </conditionalFormatting>
  <conditionalFormatting sqref="P9:R9">
    <cfRule type="containsText" dxfId="933" priority="94" operator="containsText" text=" ">
      <formula>NOT(ISERROR(SEARCH(" ",P9)))</formula>
    </cfRule>
    <cfRule type="containsText" dxfId="932" priority="105" operator="containsText" text=" ">
      <formula>NOT(ISERROR(SEARCH(" ",P9)))</formula>
    </cfRule>
  </conditionalFormatting>
  <conditionalFormatting sqref="S9">
    <cfRule type="containsText" dxfId="931" priority="100" operator="containsText" text=" ">
      <formula>NOT(ISERROR(SEARCH(" ",S9)))</formula>
    </cfRule>
    <cfRule type="containsText" dxfId="930" priority="111" operator="containsText" text=" ">
      <formula>NOT(ISERROR(SEARCH(" ",S9)))</formula>
    </cfRule>
  </conditionalFormatting>
  <conditionalFormatting sqref="T9:U9">
    <cfRule type="containsText" dxfId="929" priority="101" operator="containsText" text=" ">
      <formula>NOT(ISERROR(SEARCH(" ",T9)))</formula>
    </cfRule>
    <cfRule type="containsText" dxfId="928" priority="112" operator="containsText" text=" ">
      <formula>NOT(ISERROR(SEARCH(" ",T9)))</formula>
    </cfRule>
  </conditionalFormatting>
  <conditionalFormatting sqref="V9">
    <cfRule type="containsText" dxfId="927" priority="92" operator="containsText" text=" ">
      <formula>NOT(ISERROR(SEARCH(" ",V9)))</formula>
    </cfRule>
    <cfRule type="containsText" dxfId="926" priority="103" operator="containsText" text=" ">
      <formula>NOT(ISERROR(SEARCH(" ",V9)))</formula>
    </cfRule>
  </conditionalFormatting>
  <conditionalFormatting sqref="W9">
    <cfRule type="containsText" dxfId="925" priority="91" operator="containsText" text=" ">
      <formula>NOT(ISERROR(SEARCH(" ",W9)))</formula>
    </cfRule>
    <cfRule type="containsText" dxfId="924" priority="102" operator="containsText" text=" ">
      <formula>NOT(ISERROR(SEARCH(" ",W9)))</formula>
    </cfRule>
  </conditionalFormatting>
  <conditionalFormatting sqref="X9:Y9">
    <cfRule type="containsText" dxfId="923" priority="96" operator="containsText" text=" ">
      <formula>NOT(ISERROR(SEARCH(" ",X9)))</formula>
    </cfRule>
    <cfRule type="containsText" dxfId="922" priority="107" operator="containsText" text=" ">
      <formula>NOT(ISERROR(SEARCH(" ",X9)))</formula>
    </cfRule>
  </conditionalFormatting>
  <conditionalFormatting sqref="Z9">
    <cfRule type="containsText" dxfId="921" priority="98" operator="containsText" text=" ">
      <formula>NOT(ISERROR(SEARCH(" ",Z9)))</formula>
    </cfRule>
    <cfRule type="containsText" dxfId="920" priority="109" operator="containsText" text=" ">
      <formula>NOT(ISERROR(SEARCH(" ",Z9)))</formula>
    </cfRule>
  </conditionalFormatting>
  <conditionalFormatting sqref="AA9">
    <cfRule type="containsText" dxfId="919" priority="41" operator="containsText" text=" ">
      <formula>NOT(ISERROR(SEARCH(" ",AA9)))</formula>
    </cfRule>
    <cfRule type="containsText" dxfId="918" priority="42" operator="containsText" text=" ">
      <formula>NOT(ISERROR(SEARCH(" ",AA9)))</formula>
    </cfRule>
  </conditionalFormatting>
  <conditionalFormatting sqref="AB9:AC9">
    <cfRule type="containsText" dxfId="917" priority="95" operator="containsText" text=" ">
      <formula>NOT(ISERROR(SEARCH(" ",AB9)))</formula>
    </cfRule>
    <cfRule type="containsText" dxfId="916" priority="106" operator="containsText" text=" ">
      <formula>NOT(ISERROR(SEARCH(" ",AB9)))</formula>
    </cfRule>
  </conditionalFormatting>
  <conditionalFormatting sqref="AD9">
    <cfRule type="containsText" dxfId="915" priority="97" operator="containsText" text=" ">
      <formula>NOT(ISERROR(SEARCH(" ",AD9)))</formula>
    </cfRule>
    <cfRule type="containsText" dxfId="914" priority="108" operator="containsText" text=" ">
      <formula>NOT(ISERROR(SEARCH(" ",AD9)))</formula>
    </cfRule>
  </conditionalFormatting>
  <conditionalFormatting sqref="AR9">
    <cfRule type="containsText" dxfId="913" priority="7" operator="containsText" text=" ">
      <formula>NOT(ISERROR(SEARCH(" ",AR9)))</formula>
    </cfRule>
  </conditionalFormatting>
  <conditionalFormatting sqref="O10">
    <cfRule type="containsText" dxfId="912" priority="56" operator="containsText" text=" ">
      <formula>NOT(ISERROR(SEARCH(" ",O10)))</formula>
    </cfRule>
    <cfRule type="containsText" dxfId="911" priority="67" operator="containsText" text=" ">
      <formula>NOT(ISERROR(SEARCH(" ",O10)))</formula>
    </cfRule>
  </conditionalFormatting>
  <conditionalFormatting sqref="S10">
    <cfRule type="containsText" dxfId="910" priority="63" operator="containsText" text=" ">
      <formula>NOT(ISERROR(SEARCH(" ",S10)))</formula>
    </cfRule>
    <cfRule type="containsText" dxfId="909" priority="74" operator="containsText" text=" ">
      <formula>NOT(ISERROR(SEARCH(" ",S10)))</formula>
    </cfRule>
  </conditionalFormatting>
  <conditionalFormatting sqref="T10:U10">
    <cfRule type="containsText" dxfId="908" priority="64" operator="containsText" text=" ">
      <formula>NOT(ISERROR(SEARCH(" ",T10)))</formula>
    </cfRule>
    <cfRule type="containsText" dxfId="907" priority="75" operator="containsText" text=" ">
      <formula>NOT(ISERROR(SEARCH(" ",T10)))</formula>
    </cfRule>
  </conditionalFormatting>
  <conditionalFormatting sqref="V10">
    <cfRule type="containsText" dxfId="906" priority="55" operator="containsText" text=" ">
      <formula>NOT(ISERROR(SEARCH(" ",V10)))</formula>
    </cfRule>
    <cfRule type="containsText" dxfId="905" priority="66" operator="containsText" text=" ">
      <formula>NOT(ISERROR(SEARCH(" ",V10)))</formula>
    </cfRule>
  </conditionalFormatting>
  <conditionalFormatting sqref="W10">
    <cfRule type="containsText" dxfId="904" priority="54" operator="containsText" text=" ">
      <formula>NOT(ISERROR(SEARCH(" ",W10)))</formula>
    </cfRule>
    <cfRule type="containsText" dxfId="903" priority="65" operator="containsText" text=" ">
      <formula>NOT(ISERROR(SEARCH(" ",W10)))</formula>
    </cfRule>
  </conditionalFormatting>
  <conditionalFormatting sqref="X10:Y10">
    <cfRule type="containsText" dxfId="902" priority="59" operator="containsText" text=" ">
      <formula>NOT(ISERROR(SEARCH(" ",X10)))</formula>
    </cfRule>
    <cfRule type="containsText" dxfId="901" priority="70" operator="containsText" text=" ">
      <formula>NOT(ISERROR(SEARCH(" ",X10)))</formula>
    </cfRule>
  </conditionalFormatting>
  <conditionalFormatting sqref="Z10">
    <cfRule type="containsText" dxfId="900" priority="61" operator="containsText" text=" ">
      <formula>NOT(ISERROR(SEARCH(" ",Z10)))</formula>
    </cfRule>
    <cfRule type="containsText" dxfId="899" priority="72" operator="containsText" text=" ">
      <formula>NOT(ISERROR(SEARCH(" ",Z10)))</formula>
    </cfRule>
  </conditionalFormatting>
  <conditionalFormatting sqref="AA10">
    <cfRule type="containsText" dxfId="898" priority="39" operator="containsText" text=" ">
      <formula>NOT(ISERROR(SEARCH(" ",AA10)))</formula>
    </cfRule>
    <cfRule type="containsText" dxfId="897" priority="40" operator="containsText" text=" ">
      <formula>NOT(ISERROR(SEARCH(" ",AA10)))</formula>
    </cfRule>
  </conditionalFormatting>
  <conditionalFormatting sqref="AB10:AC10">
    <cfRule type="containsText" dxfId="896" priority="58" operator="containsText" text=" ">
      <formula>NOT(ISERROR(SEARCH(" ",AB10)))</formula>
    </cfRule>
    <cfRule type="containsText" dxfId="895" priority="69" operator="containsText" text=" ">
      <formula>NOT(ISERROR(SEARCH(" ",AB10)))</formula>
    </cfRule>
  </conditionalFormatting>
  <conditionalFormatting sqref="AD10">
    <cfRule type="containsText" dxfId="894" priority="60" operator="containsText" text=" ">
      <formula>NOT(ISERROR(SEARCH(" ",AD10)))</formula>
    </cfRule>
    <cfRule type="containsText" dxfId="893" priority="71" operator="containsText" text=" ">
      <formula>NOT(ISERROR(SEARCH(" ",AD10)))</formula>
    </cfRule>
  </conditionalFormatting>
  <conditionalFormatting sqref="AR10">
    <cfRule type="containsText" dxfId="892" priority="5" operator="containsText" text=" ">
      <formula>NOT(ISERROR(SEARCH(" ",AR10)))</formula>
    </cfRule>
  </conditionalFormatting>
  <conditionalFormatting sqref="O11">
    <cfRule type="containsText" dxfId="891" priority="45" operator="containsText" text=" ">
      <formula>NOT(ISERROR(SEARCH(" ",O11)))</formula>
    </cfRule>
  </conditionalFormatting>
  <conditionalFormatting sqref="O11:Q11">
    <cfRule type="containsText" dxfId="890" priority="76" operator="containsText" text=" ">
      <formula>NOT(ISERROR(SEARCH(" ",O11)))</formula>
    </cfRule>
  </conditionalFormatting>
  <conditionalFormatting sqref="P11:Q11">
    <cfRule type="containsText" dxfId="889" priority="46" operator="containsText" text=" ">
      <formula>NOT(ISERROR(SEARCH(" ",P11)))</formula>
    </cfRule>
  </conditionalFormatting>
  <conditionalFormatting sqref="S11">
    <cfRule type="containsText" dxfId="888" priority="52" operator="containsText" text=" ">
      <formula>NOT(ISERROR(SEARCH(" ",S11)))</formula>
    </cfRule>
  </conditionalFormatting>
  <conditionalFormatting sqref="S11:V11">
    <cfRule type="containsText" dxfId="887" priority="79" operator="containsText" text=" ">
      <formula>NOT(ISERROR(SEARCH(" ",S11)))</formula>
    </cfRule>
  </conditionalFormatting>
  <conditionalFormatting sqref="T11:U11">
    <cfRule type="containsText" dxfId="886" priority="53" operator="containsText" text=" ">
      <formula>NOT(ISERROR(SEARCH(" ",T11)))</formula>
    </cfRule>
  </conditionalFormatting>
  <conditionalFormatting sqref="V11">
    <cfRule type="containsText" dxfId="885" priority="44" operator="containsText" text=" ">
      <formula>NOT(ISERROR(SEARCH(" ",V11)))</formula>
    </cfRule>
  </conditionalFormatting>
  <conditionalFormatting sqref="W11">
    <cfRule type="containsText" dxfId="884" priority="43" operator="containsText" text=" ">
      <formula>NOT(ISERROR(SEARCH(" ",W11)))</formula>
    </cfRule>
  </conditionalFormatting>
  <conditionalFormatting sqref="W11:Z11">
    <cfRule type="containsText" dxfId="883" priority="78" operator="containsText" text=" ">
      <formula>NOT(ISERROR(SEARCH(" ",W11)))</formula>
    </cfRule>
  </conditionalFormatting>
  <conditionalFormatting sqref="X11:Y11">
    <cfRule type="containsText" dxfId="882" priority="48" operator="containsText" text=" ">
      <formula>NOT(ISERROR(SEARCH(" ",X11)))</formula>
    </cfRule>
  </conditionalFormatting>
  <conditionalFormatting sqref="Z11">
    <cfRule type="containsText" dxfId="881" priority="50" operator="containsText" text=" ">
      <formula>NOT(ISERROR(SEARCH(" ",Z11)))</formula>
    </cfRule>
  </conditionalFormatting>
  <conditionalFormatting sqref="AA11">
    <cfRule type="containsText" dxfId="880" priority="37" operator="containsText" text=" ">
      <formula>NOT(ISERROR(SEARCH(" ",AA11)))</formula>
    </cfRule>
    <cfRule type="containsText" dxfId="879" priority="38" operator="containsText" text=" ">
      <formula>NOT(ISERROR(SEARCH(" ",AA11)))</formula>
    </cfRule>
  </conditionalFormatting>
  <conditionalFormatting sqref="AB11:AD11">
    <cfRule type="containsText" dxfId="878" priority="77" operator="containsText" text=" ">
      <formula>NOT(ISERROR(SEARCH(" ",AB11)))</formula>
    </cfRule>
  </conditionalFormatting>
  <conditionalFormatting sqref="AB11:AC11">
    <cfRule type="containsText" dxfId="877" priority="47" operator="containsText" text=" ">
      <formula>NOT(ISERROR(SEARCH(" ",AB11)))</formula>
    </cfRule>
  </conditionalFormatting>
  <conditionalFormatting sqref="AD11">
    <cfRule type="containsText" dxfId="876" priority="49" operator="containsText" text=" ">
      <formula>NOT(ISERROR(SEARCH(" ",AD11)))</formula>
    </cfRule>
  </conditionalFormatting>
  <conditionalFormatting sqref="AR11">
    <cfRule type="containsText" dxfId="875" priority="3" operator="containsText" text=" ">
      <formula>NOT(ISERROR(SEARCH(" ",AR11)))</formula>
    </cfRule>
  </conditionalFormatting>
  <conditionalFormatting sqref="AX12">
    <cfRule type="containsText" dxfId="874" priority="755" operator="containsText" text=" ">
      <formula>NOT(ISERROR(SEARCH(" ",AX12)))</formula>
    </cfRule>
  </conditionalFormatting>
  <conditionalFormatting sqref="F15">
    <cfRule type="containsText" dxfId="873" priority="12" operator="containsText" text=" ">
      <formula>NOT(ISERROR(SEARCH(" ",F15)))</formula>
    </cfRule>
    <cfRule type="containsText" dxfId="872" priority="13" operator="containsText" text=" ">
      <formula>NOT(ISERROR(SEARCH(" ",F15)))</formula>
    </cfRule>
  </conditionalFormatting>
  <conditionalFormatting sqref="O15">
    <cfRule type="containsText" dxfId="871" priority="17" operator="containsText" text=" ">
      <formula>NOT(ISERROR(SEARCH(" ",O15)))</formula>
    </cfRule>
  </conditionalFormatting>
  <conditionalFormatting sqref="O15:Q15">
    <cfRule type="containsText" dxfId="870" priority="31" operator="containsText" text=" ">
      <formula>NOT(ISERROR(SEARCH(" ",O15)))</formula>
    </cfRule>
  </conditionalFormatting>
  <conditionalFormatting sqref="P15:Q15">
    <cfRule type="containsText" dxfId="869" priority="18" operator="containsText" text=" ">
      <formula>NOT(ISERROR(SEARCH(" ",P15)))</formula>
    </cfRule>
  </conditionalFormatting>
  <conditionalFormatting sqref="R15">
    <cfRule type="containsText" dxfId="868" priority="29" operator="containsText" text=" ">
      <formula>NOT(ISERROR(SEARCH(" ",R15)))</formula>
    </cfRule>
    <cfRule type="containsText" dxfId="867" priority="30" operator="containsText" text=" ">
      <formula>NOT(ISERROR(SEARCH(" ",R15)))</formula>
    </cfRule>
  </conditionalFormatting>
  <conditionalFormatting sqref="S15">
    <cfRule type="containsText" dxfId="866" priority="27" operator="containsText" text=" ">
      <formula>NOT(ISERROR(SEARCH(" ",S15)))</formula>
    </cfRule>
  </conditionalFormatting>
  <conditionalFormatting sqref="S15:V15">
    <cfRule type="containsText" dxfId="865" priority="35" operator="containsText" text=" ">
      <formula>NOT(ISERROR(SEARCH(" ",S15)))</formula>
    </cfRule>
  </conditionalFormatting>
  <conditionalFormatting sqref="T15:U15">
    <cfRule type="containsText" dxfId="864" priority="28" operator="containsText" text=" ">
      <formula>NOT(ISERROR(SEARCH(" ",T15)))</formula>
    </cfRule>
  </conditionalFormatting>
  <conditionalFormatting sqref="V15">
    <cfRule type="containsText" dxfId="863" priority="16" operator="containsText" text=" ">
      <formula>NOT(ISERROR(SEARCH(" ",V15)))</formula>
    </cfRule>
  </conditionalFormatting>
  <conditionalFormatting sqref="W15">
    <cfRule type="containsText" dxfId="862" priority="15" operator="containsText" text=" ">
      <formula>NOT(ISERROR(SEARCH(" ",W15)))</formula>
    </cfRule>
  </conditionalFormatting>
  <conditionalFormatting sqref="W15:Z15">
    <cfRule type="containsText" dxfId="861" priority="34" operator="containsText" text=" ">
      <formula>NOT(ISERROR(SEARCH(" ",W15)))</formula>
    </cfRule>
  </conditionalFormatting>
  <conditionalFormatting sqref="X15:Y15">
    <cfRule type="containsText" dxfId="860" priority="21" operator="containsText" text=" ">
      <formula>NOT(ISERROR(SEARCH(" ",X15)))</formula>
    </cfRule>
  </conditionalFormatting>
  <conditionalFormatting sqref="Z15">
    <cfRule type="containsText" dxfId="859" priority="24" operator="containsText" text=" ">
      <formula>NOT(ISERROR(SEARCH(" ",Z15)))</formula>
    </cfRule>
  </conditionalFormatting>
  <conditionalFormatting sqref="AA15:AD15">
    <cfRule type="containsText" dxfId="858" priority="33" operator="containsText" text=" ">
      <formula>NOT(ISERROR(SEARCH(" ",AA15)))</formula>
    </cfRule>
  </conditionalFormatting>
  <conditionalFormatting sqref="AA15">
    <cfRule type="containsText" dxfId="857" priority="26" operator="containsText" text=" ">
      <formula>NOT(ISERROR(SEARCH(" ",AA15)))</formula>
    </cfRule>
  </conditionalFormatting>
  <conditionalFormatting sqref="AB15:AC15">
    <cfRule type="containsText" dxfId="856" priority="20" operator="containsText" text=" ">
      <formula>NOT(ISERROR(SEARCH(" ",AB15)))</formula>
    </cfRule>
  </conditionalFormatting>
  <conditionalFormatting sqref="AD15">
    <cfRule type="containsText" dxfId="855" priority="23" operator="containsText" text=" ">
      <formula>NOT(ISERROR(SEARCH(" ",AD15)))</formula>
    </cfRule>
  </conditionalFormatting>
  <conditionalFormatting sqref="AE15">
    <cfRule type="containsText" dxfId="854" priority="25" operator="containsText" text=" ">
      <formula>NOT(ISERROR(SEARCH(" ",AE15)))</formula>
    </cfRule>
  </conditionalFormatting>
  <conditionalFormatting sqref="AE15:AH15">
    <cfRule type="containsText" dxfId="853" priority="32" operator="containsText" text=" ">
      <formula>NOT(ISERROR(SEARCH(" ",AE15)))</formula>
    </cfRule>
  </conditionalFormatting>
  <conditionalFormatting sqref="AF15:AG15">
    <cfRule type="containsText" dxfId="852" priority="19" operator="containsText" text=" ">
      <formula>NOT(ISERROR(SEARCH(" ",AF15)))</formula>
    </cfRule>
  </conditionalFormatting>
  <conditionalFormatting sqref="AH15">
    <cfRule type="containsText" dxfId="851" priority="22" operator="containsText" text=" ">
      <formula>NOT(ISERROR(SEARCH(" ",AH15)))</formula>
    </cfRule>
  </conditionalFormatting>
  <conditionalFormatting sqref="AQ15">
    <cfRule type="containsText" dxfId="850" priority="1" operator="containsText" text=" ">
      <formula>NOT(ISERROR(SEARCH(" ",AQ15)))</formula>
    </cfRule>
  </conditionalFormatting>
  <conditionalFormatting sqref="AT17:AU17">
    <cfRule type="containsText" dxfId="849" priority="752" operator="containsText" text=" ">
      <formula>NOT(ISERROR(SEARCH(" ",AT17)))</formula>
    </cfRule>
  </conditionalFormatting>
  <conditionalFormatting sqref="AT18:AU18">
    <cfRule type="containsText" dxfId="848" priority="751" operator="containsText" text=" ">
      <formula>NOT(ISERROR(SEARCH(" ",AT18)))</formula>
    </cfRule>
  </conditionalFormatting>
  <conditionalFormatting sqref="AX19">
    <cfRule type="containsText" dxfId="847" priority="750" operator="containsText" text=" ">
      <formula>NOT(ISERROR(SEARCH(" ",AX19)))</formula>
    </cfRule>
  </conditionalFormatting>
  <conditionalFormatting sqref="Q23">
    <cfRule type="containsText" dxfId="846" priority="467" operator="containsText" text=" ">
      <formula>NOT(ISERROR(SEARCH(" ",Q23)))</formula>
    </cfRule>
  </conditionalFormatting>
  <conditionalFormatting sqref="F9:F11">
    <cfRule type="containsText" dxfId="845" priority="36" operator="containsText" text=" ">
      <formula>NOT(ISERROR(SEARCH(" ",F9)))</formula>
    </cfRule>
  </conditionalFormatting>
  <conditionalFormatting sqref="M3:M4">
    <cfRule type="containsText" dxfId="844" priority="333" operator="containsText" text=" ">
      <formula>NOT(ISERROR(SEARCH(" ",M3)))</formula>
    </cfRule>
  </conditionalFormatting>
  <conditionalFormatting sqref="N1:N3">
    <cfRule type="containsText" dxfId="843" priority="728" operator="containsText" text=" ">
      <formula>NOT(ISERROR(SEARCH(" ",N1)))</formula>
    </cfRule>
  </conditionalFormatting>
  <conditionalFormatting sqref="N8:N9">
    <cfRule type="containsText" dxfId="842" priority="729" operator="containsText" text=" ">
      <formula>NOT(ISERROR(SEARCH(" ",N8)))</formula>
    </cfRule>
  </conditionalFormatting>
  <conditionalFormatting sqref="AQ9:AQ11">
    <cfRule type="containsText" dxfId="841" priority="6" operator="containsText" text=" ">
      <formula>NOT(ISERROR(SEARCH(" ",AQ9)))</formula>
    </cfRule>
  </conditionalFormatting>
  <conditionalFormatting sqref="AV13:AV16">
    <cfRule type="containsText" dxfId="840" priority="753" operator="containsText" text=" ">
      <formula>NOT(ISERROR(SEARCH(" ",AV13)))</formula>
    </cfRule>
  </conditionalFormatting>
  <conditionalFormatting sqref="AX13:AX16">
    <cfRule type="containsText" dxfId="839" priority="754" operator="containsText" text=" ">
      <formula>NOT(ISERROR(SEARCH(" ",AX13)))</formula>
    </cfRule>
  </conditionalFormatting>
  <conditionalFormatting sqref="G1 AQ12:AS14 AS9:AS11 AQ16:AS1048576 AR15:AS15">
    <cfRule type="containsText" dxfId="838" priority="381" operator="containsText" text=" ">
      <formula>NOT(ISERROR(SEARCH(" ",G1)))</formula>
    </cfRule>
  </conditionalFormatting>
  <conditionalFormatting sqref="L1 AT4:AX7 H7:M8 AS5:AS8 BA5:XFD6 AY5:AY6 AY7:XFD8">
    <cfRule type="containsText" dxfId="837" priority="337" operator="containsText" text=" ">
      <formula>NOT(ISERROR(SEARCH(" ",H1)))</formula>
    </cfRule>
  </conditionalFormatting>
  <conditionalFormatting sqref="AB4 H3:L4 H1:K1 H18:AL21 O23:O24 O26:O28 Q24:U24 Q26:U28 W26:W28 X16:AL16 S22:V22 W22:W24 H9:M9 H30:AL1048576 H22:N29 X22:AL29 H10:N17">
    <cfRule type="containsText" dxfId="836" priority="734" operator="containsText" text=" ">
      <formula>NOT(ISERROR(SEARCH(" ",H1)))</formula>
    </cfRule>
  </conditionalFormatting>
  <conditionalFormatting sqref="M1 X17:AL17 O29:W29">
    <cfRule type="containsText" dxfId="835" priority="331" operator="containsText" text=" ">
      <formula>NOT(ISERROR(SEARCH(" ",M1)))</formula>
    </cfRule>
  </conditionalFormatting>
  <conditionalFormatting sqref="H2 J2:K2">
    <cfRule type="containsText" dxfId="834" priority="761" operator="containsText" text=" ">
      <formula>NOT(ISERROR(SEARCH(" ",H2)))</formula>
    </cfRule>
  </conditionalFormatting>
  <conditionalFormatting sqref="L2 AT8:AX11">
    <cfRule type="containsText" dxfId="833" priority="338" operator="containsText" text=" ">
      <formula>NOT(ISERROR(SEARCH(" ",L2)))</formula>
    </cfRule>
  </conditionalFormatting>
  <conditionalFormatting sqref="G15 A15:E15 A16:G1048576 A12:G14 G9:G11 A9:E11 P4 AY9:XFD44 AE9:AL11 AA12:AL14 AI15:AL15 AT45:XFD1048576 R23:T23">
    <cfRule type="containsText" dxfId="832" priority="719" operator="containsText" text=" ">
      <formula>NOT(ISERROR(SEARCH(" ",A4)))</formula>
    </cfRule>
  </conditionalFormatting>
  <conditionalFormatting sqref="T4 X4">
    <cfRule type="containsText" dxfId="831" priority="760" operator="containsText" text=" ">
      <formula>NOT(ISERROR(SEARCH(" ",T4)))</formula>
    </cfRule>
  </conditionalFormatting>
  <conditionalFormatting sqref="B5:E5 AR5">
    <cfRule type="containsText" dxfId="830" priority="232" operator="containsText" text=" ">
      <formula>NOT(ISERROR(SEARCH(" ",B5)))</formula>
    </cfRule>
  </conditionalFormatting>
  <conditionalFormatting sqref="A6:B6 AR6">
    <cfRule type="containsText" dxfId="829" priority="256" operator="containsText" text=" ">
      <formula>NOT(ISERROR(SEARCH(" ",A6)))</formula>
    </cfRule>
  </conditionalFormatting>
  <conditionalFormatting sqref="P7:R7 R8">
    <cfRule type="containsText" dxfId="828" priority="642" operator="containsText" text=" ">
      <formula>NOT(ISERROR(SEARCH(" ",P7)))</formula>
    </cfRule>
    <cfRule type="containsText" dxfId="827" priority="665" operator="containsText" text=" ">
      <formula>NOT(ISERROR(SEARCH(" ",P7)))</formula>
    </cfRule>
  </conditionalFormatting>
  <conditionalFormatting sqref="B8:D8 S8:V8 AR8">
    <cfRule type="containsText" dxfId="826" priority="763" operator="containsText" text=" ">
      <formula>NOT(ISERROR(SEARCH(" ",B8)))</formula>
    </cfRule>
  </conditionalFormatting>
  <conditionalFormatting sqref="O8:Q8 O22:P22 R22">
    <cfRule type="containsText" dxfId="825" priority="732" operator="containsText" text=" ">
      <formula>NOT(ISERROR(SEARCH(" ",O8)))</formula>
    </cfRule>
  </conditionalFormatting>
  <conditionalFormatting sqref="W8:Z8 X12:Z14">
    <cfRule type="containsText" dxfId="824" priority="749" operator="containsText" text=" ">
      <formula>NOT(ISERROR(SEARCH(" ",W8)))</formula>
    </cfRule>
  </conditionalFormatting>
  <conditionalFormatting sqref="AE8:AH8 AQ8">
    <cfRule type="containsText" dxfId="823" priority="747" operator="containsText" text=" ">
      <formula>NOT(ISERROR(SEARCH(" ",AE8)))</formula>
    </cfRule>
  </conditionalFormatting>
  <conditionalFormatting sqref="AM9:AP15">
    <cfRule type="containsText" dxfId="822" priority="204" operator="containsText" text=" ">
      <formula>NOT(ISERROR(SEARCH(" ",AM9)))</formula>
    </cfRule>
  </conditionalFormatting>
  <conditionalFormatting sqref="P10:R10 R11">
    <cfRule type="containsText" dxfId="821" priority="57" operator="containsText" text=" ">
      <formula>NOT(ISERROR(SEARCH(" ",P10)))</formula>
    </cfRule>
    <cfRule type="containsText" dxfId="820" priority="68" operator="containsText" text=" ">
      <formula>NOT(ISERROR(SEARCH(" ",P10)))</formula>
    </cfRule>
  </conditionalFormatting>
  <conditionalFormatting sqref="AT20:AX27 AT12:AW12 AT13:AU16 AW13:AW16 AV17:AX18 AT19:AW19">
    <cfRule type="containsText" dxfId="819" priority="758" operator="containsText" text=" ">
      <formula>NOT(ISERROR(SEARCH(" ",AT12)))</formula>
    </cfRule>
  </conditionalFormatting>
  <conditionalFormatting sqref="AM16:AP1048576">
    <cfRule type="containsText" dxfId="818" priority="205" operator="containsText" text=" ">
      <formula>NOT(ISERROR(SEARCH(" ",AM16)))</formula>
    </cfRule>
  </conditionalFormatting>
  <conditionalFormatting sqref="O25 R25:U25 W25">
    <cfRule type="containsText" dxfId="817" priority="328" operator="containsText" text=" ">
      <formula>NOT(ISERROR(SEARCH(" ",O25)))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41"/>
  <sheetViews>
    <sheetView workbookViewId="0">
      <selection activeCell="R23" sqref="R23"/>
    </sheetView>
  </sheetViews>
  <sheetFormatPr defaultColWidth="9" defaultRowHeight="16.5" x14ac:dyDescent="0.45"/>
  <cols>
    <col min="1" max="1" width="16" style="1" customWidth="1"/>
    <col min="2" max="2" width="12.81640625" style="1" customWidth="1"/>
    <col min="3" max="3" width="9.453125" style="1" customWidth="1"/>
    <col min="4" max="4" width="35.08984375" style="1" customWidth="1"/>
    <col min="5" max="5" width="34.1796875" style="1" customWidth="1"/>
    <col min="6" max="6" width="34" style="1" customWidth="1"/>
    <col min="7" max="7" width="13.6328125" style="1" customWidth="1"/>
    <col min="8" max="8" width="35.08984375" style="1" customWidth="1"/>
    <col min="9" max="9" width="34.36328125" style="1" customWidth="1"/>
    <col min="10" max="10" width="13.08984375" style="1" customWidth="1"/>
    <col min="11" max="11" width="43.81640625" style="1" customWidth="1"/>
    <col min="12" max="12" width="9" style="1"/>
    <col min="13" max="13" width="7.6328125" style="1" customWidth="1"/>
    <col min="14" max="14" width="9" style="1"/>
    <col min="15" max="15" width="6" style="236" customWidth="1"/>
    <col min="16" max="16" width="3.08984375" style="236" customWidth="1"/>
    <col min="17" max="17" width="6" style="236" customWidth="1"/>
    <col min="18" max="18" width="10.453125" style="236" customWidth="1"/>
    <col min="19" max="19" width="6" style="236" customWidth="1"/>
    <col min="20" max="20" width="3.08984375" style="236" customWidth="1"/>
    <col min="21" max="21" width="6" style="236" customWidth="1"/>
    <col min="22" max="22" width="4.6328125" style="236" customWidth="1"/>
    <col min="23" max="23" width="6" style="236" customWidth="1"/>
    <col min="24" max="24" width="3.08984375" style="236" customWidth="1"/>
    <col min="25" max="25" width="6" style="236" customWidth="1"/>
    <col min="26" max="26" width="4.6328125" style="236" customWidth="1"/>
    <col min="27" max="27" width="6" style="236" customWidth="1"/>
    <col min="28" max="28" width="3.08984375" style="236" customWidth="1"/>
    <col min="29" max="29" width="6" style="236" customWidth="1"/>
    <col min="30" max="30" width="4.6328125" style="236" customWidth="1"/>
    <col min="31" max="31" width="6" style="236" customWidth="1"/>
    <col min="32" max="32" width="3.08984375" style="236" customWidth="1"/>
    <col min="33" max="33" width="6" style="236" customWidth="1"/>
    <col min="34" max="34" width="4.453125" style="236" customWidth="1"/>
    <col min="35" max="35" width="9" style="1"/>
    <col min="36" max="36" width="11.6328125" style="2" customWidth="1"/>
    <col min="37" max="37" width="9" style="2"/>
    <col min="38" max="38" width="9.1796875" style="2" customWidth="1"/>
    <col min="39" max="40" width="9" style="2"/>
    <col min="41" max="16384" width="9" style="1"/>
  </cols>
  <sheetData>
    <row r="1" spans="1:40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40" x14ac:dyDescent="0.45">
      <c r="A2" s="3" t="s">
        <v>2</v>
      </c>
      <c r="B2" s="3" t="s">
        <v>2</v>
      </c>
      <c r="C2" s="3" t="s">
        <v>2</v>
      </c>
      <c r="D2" s="3" t="s">
        <v>5</v>
      </c>
      <c r="E2" s="3" t="s">
        <v>5</v>
      </c>
      <c r="F2" s="3" t="s">
        <v>5</v>
      </c>
      <c r="G2" s="3" t="s">
        <v>5</v>
      </c>
      <c r="H2" s="3" t="s">
        <v>5</v>
      </c>
      <c r="I2" s="3" t="s">
        <v>5</v>
      </c>
      <c r="J2" s="3" t="s">
        <v>5</v>
      </c>
      <c r="K2" s="3" t="s">
        <v>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40" x14ac:dyDescent="0.45">
      <c r="A3" s="3" t="s">
        <v>1455</v>
      </c>
      <c r="B3" s="3" t="s">
        <v>1456</v>
      </c>
      <c r="C3" s="3" t="s">
        <v>1458</v>
      </c>
      <c r="D3" s="3" t="s">
        <v>1507</v>
      </c>
      <c r="E3" s="3" t="s">
        <v>1508</v>
      </c>
      <c r="F3" s="3" t="s">
        <v>1509</v>
      </c>
      <c r="G3" s="3" t="s">
        <v>1510</v>
      </c>
      <c r="H3" s="3" t="s">
        <v>1511</v>
      </c>
      <c r="I3" s="3" t="s">
        <v>1512</v>
      </c>
      <c r="J3" s="3" t="s">
        <v>1513</v>
      </c>
      <c r="K3" s="3" t="s">
        <v>1514</v>
      </c>
      <c r="O3" s="537" t="s">
        <v>1466</v>
      </c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7"/>
      <c r="AF3" s="537"/>
      <c r="AG3" s="537"/>
      <c r="AH3" s="537"/>
    </row>
    <row r="4" spans="1:40" ht="69.5" x14ac:dyDescent="0.45">
      <c r="A4" s="12" t="s">
        <v>1515</v>
      </c>
      <c r="B4" s="12" t="s">
        <v>1516</v>
      </c>
      <c r="C4" s="12" t="s">
        <v>1471</v>
      </c>
      <c r="D4" s="12" t="s">
        <v>1517</v>
      </c>
      <c r="E4" s="4" t="s">
        <v>1518</v>
      </c>
      <c r="F4" s="4" t="s">
        <v>1519</v>
      </c>
      <c r="G4" s="4" t="s">
        <v>1520</v>
      </c>
      <c r="H4" s="121" t="s">
        <v>1521</v>
      </c>
      <c r="I4" s="121" t="s">
        <v>1522</v>
      </c>
      <c r="J4" s="121" t="s">
        <v>1520</v>
      </c>
      <c r="K4" s="4" t="s">
        <v>1523</v>
      </c>
      <c r="O4" s="237" t="s">
        <v>1524</v>
      </c>
      <c r="P4" s="237" t="s">
        <v>1481</v>
      </c>
      <c r="Q4" s="243" t="s">
        <v>1482</v>
      </c>
      <c r="R4" s="244" t="s">
        <v>1525</v>
      </c>
      <c r="S4" s="245" t="s">
        <v>1526</v>
      </c>
      <c r="T4" s="246" t="s">
        <v>1481</v>
      </c>
      <c r="U4" s="250" t="s">
        <v>1482</v>
      </c>
      <c r="V4" s="251" t="s">
        <v>1525</v>
      </c>
      <c r="W4" s="252" t="s">
        <v>1527</v>
      </c>
      <c r="X4" s="252" t="s">
        <v>1481</v>
      </c>
      <c r="Y4" s="253" t="s">
        <v>1482</v>
      </c>
      <c r="Z4" s="254" t="s">
        <v>1525</v>
      </c>
      <c r="AA4" s="245" t="s">
        <v>1528</v>
      </c>
      <c r="AB4" s="246" t="s">
        <v>1481</v>
      </c>
      <c r="AC4" s="250" t="s">
        <v>1482</v>
      </c>
      <c r="AD4" s="251" t="s">
        <v>1525</v>
      </c>
      <c r="AE4" s="252" t="s">
        <v>1529</v>
      </c>
      <c r="AF4" s="252" t="s">
        <v>1481</v>
      </c>
      <c r="AG4" s="253" t="s">
        <v>1482</v>
      </c>
      <c r="AH4" s="254" t="s">
        <v>1525</v>
      </c>
      <c r="AI4" s="255" t="s">
        <v>1530</v>
      </c>
      <c r="AJ4" s="52">
        <f>'抽奖|MoonBless'!DN4</f>
        <v>0</v>
      </c>
      <c r="AK4" s="45" t="str">
        <f>'抽奖|MoonBless'!DO4</f>
        <v>人民币价值</v>
      </c>
      <c r="AL4" s="53" t="str">
        <f>'抽奖|MoonBless'!DP4</f>
        <v>价值
钻石价值</v>
      </c>
      <c r="AM4" s="45" t="str">
        <f>'抽奖|MoonBless'!DQ4</f>
        <v>物品类型</v>
      </c>
      <c r="AN4" s="54" t="str">
        <f>'抽奖|MoonBless'!DR4</f>
        <v>id</v>
      </c>
    </row>
    <row r="5" spans="1:40" x14ac:dyDescent="0.45">
      <c r="A5" s="1">
        <v>701</v>
      </c>
      <c r="B5" s="1">
        <v>6</v>
      </c>
      <c r="C5" s="1">
        <v>6</v>
      </c>
      <c r="D5" s="236" t="str">
        <f>P5&amp;"|"&amp;Q5&amp;"|"&amp;R5&amp;","&amp;T5&amp;"|"&amp;U5&amp;"|"&amp;V5&amp;","&amp;X5&amp;"|"&amp;Y5&amp;"|"&amp;Z5&amp;","&amp;AB5&amp;"|"&amp;AC5&amp;"|"&amp;AD5&amp;","&amp;AF5&amp;"|"&amp;AG5&amp;"|"&amp;AH5</f>
        <v>1|2|600000,2|1001|1,2|1002|1,2|1004|1,1|1|5</v>
      </c>
      <c r="E5" s="236" t="str">
        <f>P6&amp;"|"&amp;Q6&amp;"|"&amp;R6&amp;","&amp;T6&amp;"|"&amp;U6&amp;"|"&amp;V6&amp;","&amp;X6&amp;"|"&amp;Y6&amp;"|"&amp;Z6&amp;","&amp;AB6&amp;"|"&amp;AC6&amp;"|"&amp;AD6&amp;","&amp;AF6&amp;"|"&amp;AG6&amp;"|"&amp;AH6</f>
        <v>1|2|660000,2|1001|2,2|1002|2,2|1003|1,1|1|7</v>
      </c>
      <c r="F5" s="236" t="str">
        <f>P7&amp;"|"&amp;Q7&amp;"|"&amp;R7&amp;","&amp;T7&amp;"|"&amp;U7&amp;"|"&amp;V7&amp;","&amp;X7&amp;"|"&amp;Y7&amp;"|"&amp;Z7&amp;","&amp;AB7&amp;"|"&amp;AC7&amp;"|"&amp;AD7&amp;","&amp;AF7&amp;"|"&amp;AG7&amp;"|"&amp;AH7</f>
        <v>1|2|630000,2|1001|1,2|1002|1,2|1004|1,1|1|6</v>
      </c>
      <c r="G5" s="236" t="s">
        <v>1531</v>
      </c>
      <c r="H5" s="236" t="str">
        <f>P8&amp;"|"&amp;Q8&amp;"|"&amp;R8&amp;","&amp;T8&amp;"|"&amp;U8&amp;"|"&amp;V8&amp;","&amp;X8&amp;"|"&amp;Y8&amp;"|"&amp;Z8&amp;","&amp;AB8&amp;"|"&amp;AC8&amp;"|"&amp;AD8&amp;","&amp;AF8&amp;"|"&amp;AG8&amp;"|"&amp;AH8</f>
        <v>1|2|720000,2|1001|3,2|1002|3,2|1003|2,1|1|8</v>
      </c>
      <c r="I5" s="236" t="str">
        <f>P9&amp;"|"&amp;Q9&amp;"|"&amp;R9&amp;","&amp;T9&amp;"|"&amp;U9&amp;"|"&amp;V9&amp;","&amp;X9&amp;"|"&amp;Y9&amp;"|"&amp;Z9&amp;","&amp;AB9&amp;"|"&amp;AC9&amp;"|"&amp;AD9&amp;","&amp;AF9&amp;"|"&amp;AG9&amp;"|"&amp;AH9</f>
        <v>1|2|660000,2|1001|2,2|1002|2,2|1004|2,1|1|7</v>
      </c>
      <c r="J5" s="236" t="s">
        <v>1532</v>
      </c>
      <c r="K5" s="236" t="str">
        <f>P10&amp;"|"&amp;Q10&amp;"|"&amp;R10&amp;","&amp;T10&amp;"|"&amp;U10&amp;"|"&amp;V10&amp;","&amp;X10&amp;"|"&amp;Y10&amp;"|"&amp;Z10&amp;","&amp;AB10&amp;"|"&amp;AC10&amp;"|"&amp;AD10&amp;","&amp;AF10&amp;"|"&amp;AG10&amp;"|"&amp;AH10</f>
        <v>1|2|600000,2|1001|1,2|1002|1,2|1004|1,1|1|5</v>
      </c>
      <c r="M5" s="538" t="str">
        <f>C5&amp;"元档"</f>
        <v>6元档</v>
      </c>
      <c r="N5" s="238" t="s">
        <v>1533</v>
      </c>
      <c r="O5" s="239" t="s">
        <v>103</v>
      </c>
      <c r="P5" s="86">
        <f t="shared" ref="P5:P28" si="0">VLOOKUP(O5,$AJ:$AN,4,0)</f>
        <v>1</v>
      </c>
      <c r="Q5" s="86">
        <f t="shared" ref="Q5:Q16" si="1">VLOOKUP(O5,$AJ:$AN,5,0)</f>
        <v>2</v>
      </c>
      <c r="R5" s="247">
        <v>600000</v>
      </c>
      <c r="S5" s="239" t="s">
        <v>756</v>
      </c>
      <c r="T5" s="86">
        <f t="shared" ref="T5:T28" si="2">VLOOKUP(S5,$AJ:$AN,4,0)</f>
        <v>2</v>
      </c>
      <c r="U5" s="86">
        <f t="shared" ref="U5:U16" si="3">VLOOKUP(S5,$AJ:$AN,5,0)</f>
        <v>1001</v>
      </c>
      <c r="V5" s="247">
        <v>1</v>
      </c>
      <c r="W5" s="239" t="s">
        <v>760</v>
      </c>
      <c r="X5" s="86">
        <f t="shared" ref="X5:X28" si="4">VLOOKUP(W5,$AJ:$AN,4,0)</f>
        <v>2</v>
      </c>
      <c r="Y5" s="86">
        <f t="shared" ref="Y5:Y16" si="5">VLOOKUP(W5,$AJ:$AN,5,0)</f>
        <v>1002</v>
      </c>
      <c r="Z5" s="247">
        <v>1</v>
      </c>
      <c r="AA5" s="239" t="s">
        <v>768</v>
      </c>
      <c r="AB5" s="86">
        <f t="shared" ref="AB5:AB28" si="6">VLOOKUP(AA5,$AJ:$AN,4,0)</f>
        <v>2</v>
      </c>
      <c r="AC5" s="86">
        <f t="shared" ref="AC5:AC16" si="7">VLOOKUP(AA5,$AJ:$AN,5,0)</f>
        <v>1004</v>
      </c>
      <c r="AD5" s="247">
        <v>1</v>
      </c>
      <c r="AE5" s="239" t="s">
        <v>738</v>
      </c>
      <c r="AF5" s="86">
        <f t="shared" ref="AF5:AF28" si="8">VLOOKUP(AE5,$AJ:$AN,4,0)</f>
        <v>1</v>
      </c>
      <c r="AG5" s="86">
        <f t="shared" ref="AG5:AG16" si="9">VLOOKUP(AE5,$AJ:$AN,5,0)</f>
        <v>1</v>
      </c>
      <c r="AH5" s="247">
        <v>5</v>
      </c>
      <c r="AI5" s="1">
        <v>60000</v>
      </c>
      <c r="AJ5" s="16" t="str">
        <f>'抽奖|MoonBless'!DN5</f>
        <v>人民币</v>
      </c>
      <c r="AK5" s="2">
        <f>'抽奖|MoonBless'!DO5</f>
        <v>1</v>
      </c>
      <c r="AL5" s="2">
        <f>'抽奖|MoonBless'!DP5</f>
        <v>10</v>
      </c>
      <c r="AM5" s="2">
        <f>'抽奖|MoonBless'!DQ5</f>
        <v>1</v>
      </c>
      <c r="AN5" s="25">
        <f>'抽奖|MoonBless'!DR5</f>
        <v>0</v>
      </c>
    </row>
    <row r="6" spans="1:40" x14ac:dyDescent="0.45">
      <c r="A6" s="1">
        <v>702</v>
      </c>
      <c r="B6" s="1">
        <v>6</v>
      </c>
      <c r="C6" s="1">
        <v>30</v>
      </c>
      <c r="D6" s="236" t="str">
        <f>P11&amp;"|"&amp;Q11&amp;"|"&amp;R11&amp;","&amp;T11&amp;"|"&amp;U11&amp;"|"&amp;V11&amp;","&amp;X11&amp;"|"&amp;Y11&amp;"|"&amp;Z11&amp;","&amp;AB11&amp;"|"&amp;AC11&amp;"|"&amp;AD11&amp;","&amp;AF11&amp;"|"&amp;AG11&amp;"|"&amp;AH11</f>
        <v>1|2|3500000,2|1001|2,2|1002|2,2|1004|2,1|1|25</v>
      </c>
      <c r="E6" s="236" t="str">
        <f>P12&amp;"|"&amp;Q12&amp;"|"&amp;R12&amp;","&amp;T12&amp;"|"&amp;U12&amp;"|"&amp;V12&amp;","&amp;X12&amp;"|"&amp;Y12&amp;"|"&amp;Z12&amp;","&amp;AB12&amp;"|"&amp;AC12&amp;"|"&amp;AD12&amp;","&amp;AF12&amp;"|"&amp;AG12&amp;"|"&amp;AH12</f>
        <v>1|2|3850000,2|1001|3,2|1002|3,2|1003|2,1|1|35</v>
      </c>
      <c r="F6" s="236" t="str">
        <f>P13&amp;"|"&amp;Q13&amp;"|"&amp;R13&amp;","&amp;T13&amp;"|"&amp;U13&amp;"|"&amp;V13&amp;","&amp;X13&amp;"|"&amp;Y13&amp;"|"&amp;Z13&amp;","&amp;AB13&amp;"|"&amp;AC13&amp;"|"&amp;AD13&amp;","&amp;AF13&amp;"|"&amp;AG13&amp;"|"&amp;AH13</f>
        <v>1|2|3675000,2|1001|2,2|1002|2,2|1004|2,1|1|30</v>
      </c>
      <c r="G6" s="236" t="s">
        <v>1531</v>
      </c>
      <c r="H6" s="236" t="str">
        <f>P14&amp;"|"&amp;Q14&amp;"|"&amp;R14&amp;","&amp;T14&amp;"|"&amp;U14&amp;"|"&amp;V14&amp;","&amp;X14&amp;"|"&amp;Y14&amp;"|"&amp;Z14&amp;","&amp;AB14&amp;"|"&amp;AC14&amp;"|"&amp;AD14&amp;","&amp;AF14&amp;"|"&amp;AG14&amp;"|"&amp;AH14</f>
        <v>1|2|4200000,2|1001|4,2|1002|4,2|1003|3,1|1|40</v>
      </c>
      <c r="I6" s="236" t="str">
        <f>P15&amp;"|"&amp;Q15&amp;"|"&amp;R15&amp;","&amp;T15&amp;"|"&amp;U15&amp;"|"&amp;V15&amp;","&amp;X15&amp;"|"&amp;Y15&amp;"|"&amp;Z15&amp;","&amp;AB15&amp;"|"&amp;AC15&amp;"|"&amp;AD15&amp;","&amp;AF15&amp;"|"&amp;AG15&amp;"|"&amp;AH15</f>
        <v>1|2|3850000,2|1001|3,2|1002|3,2|1004|3,1|1|35</v>
      </c>
      <c r="J6" s="236" t="s">
        <v>1532</v>
      </c>
      <c r="K6" s="236" t="str">
        <f>P16&amp;"|"&amp;Q16&amp;"|"&amp;R16&amp;","&amp;T16&amp;"|"&amp;U16&amp;"|"&amp;V16&amp;","&amp;X16&amp;"|"&amp;Y16&amp;"|"&amp;Z16&amp;","&amp;AB16&amp;"|"&amp;AC16&amp;"|"&amp;AD16&amp;","&amp;AF16&amp;"|"&amp;AG16&amp;"|"&amp;AH16</f>
        <v>1|2|3500000,2|1001|2,2|1002|2,2|1004|2,1|1|25</v>
      </c>
      <c r="M6" s="539"/>
      <c r="N6" s="236" t="s">
        <v>1534</v>
      </c>
      <c r="O6" s="240" t="s">
        <v>103</v>
      </c>
      <c r="P6" s="9">
        <f t="shared" si="0"/>
        <v>1</v>
      </c>
      <c r="Q6" s="9">
        <f t="shared" si="1"/>
        <v>2</v>
      </c>
      <c r="R6" s="248">
        <f>R5*1.1</f>
        <v>660000</v>
      </c>
      <c r="S6" s="240" t="s">
        <v>756</v>
      </c>
      <c r="T6" s="9">
        <f t="shared" si="2"/>
        <v>2</v>
      </c>
      <c r="U6" s="9">
        <f t="shared" si="3"/>
        <v>1001</v>
      </c>
      <c r="V6" s="248">
        <v>2</v>
      </c>
      <c r="W6" s="240" t="s">
        <v>760</v>
      </c>
      <c r="X6" s="9">
        <f t="shared" si="4"/>
        <v>2</v>
      </c>
      <c r="Y6" s="9">
        <f t="shared" si="5"/>
        <v>1002</v>
      </c>
      <c r="Z6" s="248">
        <v>2</v>
      </c>
      <c r="AA6" s="240" t="s">
        <v>764</v>
      </c>
      <c r="AB6" s="9">
        <f t="shared" si="6"/>
        <v>2</v>
      </c>
      <c r="AC6" s="9">
        <f t="shared" si="7"/>
        <v>1003</v>
      </c>
      <c r="AD6" s="248">
        <v>1</v>
      </c>
      <c r="AE6" s="240" t="s">
        <v>738</v>
      </c>
      <c r="AF6" s="9">
        <f t="shared" si="8"/>
        <v>1</v>
      </c>
      <c r="AG6" s="9">
        <f t="shared" si="9"/>
        <v>1</v>
      </c>
      <c r="AH6" s="248">
        <v>7</v>
      </c>
      <c r="AJ6" s="256" t="str">
        <f>'抽奖|MoonBless'!DN6</f>
        <v>钻石</v>
      </c>
      <c r="AK6" s="256">
        <f>'抽奖|MoonBless'!DO6</f>
        <v>0.1</v>
      </c>
      <c r="AL6" s="256">
        <f>'抽奖|MoonBless'!DP6</f>
        <v>1</v>
      </c>
      <c r="AM6" s="256">
        <f>'抽奖|MoonBless'!DQ6</f>
        <v>1</v>
      </c>
      <c r="AN6" s="256">
        <f>'抽奖|MoonBless'!DR6</f>
        <v>1</v>
      </c>
    </row>
    <row r="7" spans="1:40" x14ac:dyDescent="0.45">
      <c r="A7" s="1">
        <v>703</v>
      </c>
      <c r="B7" s="1">
        <v>6</v>
      </c>
      <c r="C7" s="1">
        <v>98</v>
      </c>
      <c r="D7" s="236" t="str">
        <f>P17&amp;"|"&amp;Q17&amp;"|"&amp;R17&amp;","&amp;T17&amp;"|"&amp;U17&amp;"|"&amp;V17&amp;","&amp;X17&amp;"|"&amp;Y17&amp;"|"&amp;Z17&amp;","&amp;AB17&amp;"|"&amp;AC17&amp;"|"&amp;AD17&amp;","&amp;AF17&amp;"|"&amp;AG17&amp;"|"&amp;AH17</f>
        <v>1|2|12000000,2|1001|4,2|1002|4,2|1004|3,1|1|100</v>
      </c>
      <c r="E7" s="236" t="str">
        <f>P18&amp;"|"&amp;Q18&amp;"|"&amp;R18&amp;","&amp;T18&amp;"|"&amp;U18&amp;"|"&amp;V18&amp;","&amp;X18&amp;"|"&amp;Y18&amp;"|"&amp;Z18&amp;","&amp;AB18&amp;"|"&amp;AC18&amp;"|"&amp;AD18&amp;","&amp;AF18&amp;"|"&amp;AG18&amp;"|"&amp;AH18</f>
        <v>1|2|13200000,2|1001|6,2|1002|6,2|1003|3,1|1|140</v>
      </c>
      <c r="F7" s="236" t="str">
        <f>P19&amp;"|"&amp;Q19&amp;"|"&amp;R19&amp;","&amp;T19&amp;"|"&amp;U19&amp;"|"&amp;V19&amp;","&amp;X19&amp;"|"&amp;Y19&amp;"|"&amp;Z19&amp;","&amp;AB19&amp;"|"&amp;AC19&amp;"|"&amp;AD19&amp;","&amp;AF19&amp;"|"&amp;AG19&amp;"|"&amp;AH19</f>
        <v>1|2|12600000,2|1001|4,2|1002|4,2|1004|3,1|1|120</v>
      </c>
      <c r="G7" s="236" t="s">
        <v>1531</v>
      </c>
      <c r="H7" s="236" t="str">
        <f>P20&amp;"|"&amp;Q20&amp;"|"&amp;R20&amp;","&amp;T20&amp;"|"&amp;U20&amp;"|"&amp;V20&amp;","&amp;X20&amp;"|"&amp;Y20&amp;"|"&amp;Z20&amp;","&amp;AB20&amp;"|"&amp;AC20&amp;"|"&amp;AD20&amp;","&amp;AF20&amp;"|"&amp;AG20&amp;"|"&amp;AH20</f>
        <v>1|2|14400000,2|1001|8,2|1002|8,2|1003|4,1|1|160</v>
      </c>
      <c r="I7" s="236" t="str">
        <f>P21&amp;"|"&amp;Q21&amp;"|"&amp;R21&amp;","&amp;T21&amp;"|"&amp;U21&amp;"|"&amp;V21&amp;","&amp;X21&amp;"|"&amp;Y21&amp;"|"&amp;Z21&amp;","&amp;AB21&amp;"|"&amp;AC21&amp;"|"&amp;AD21&amp;","&amp;AF21&amp;"|"&amp;AG21&amp;"|"&amp;AH21</f>
        <v>1|2|13200000,2|1001|6,2|1002|6,2|1004|4,1|1|140</v>
      </c>
      <c r="J7" s="236" t="s">
        <v>1532</v>
      </c>
      <c r="K7" s="236" t="str">
        <f>P22&amp;"|"&amp;Q22&amp;"|"&amp;R22&amp;","&amp;T22&amp;"|"&amp;U22&amp;"|"&amp;V22&amp;","&amp;X22&amp;"|"&amp;Y22&amp;"|"&amp;Z22&amp;","&amp;AB22&amp;"|"&amp;AC22&amp;"|"&amp;AD22&amp;","&amp;AF22&amp;"|"&amp;AG22&amp;"|"&amp;AH22</f>
        <v>1|2|12000000,2|1001|4,2|1002|4,2|1004|3,1|1|100</v>
      </c>
      <c r="M7" s="539"/>
      <c r="N7" s="236" t="s">
        <v>1535</v>
      </c>
      <c r="O7" s="240" t="s">
        <v>103</v>
      </c>
      <c r="P7" s="9">
        <f t="shared" si="0"/>
        <v>1</v>
      </c>
      <c r="Q7" s="9">
        <f t="shared" si="1"/>
        <v>2</v>
      </c>
      <c r="R7" s="248">
        <f>R5*1.05</f>
        <v>630000</v>
      </c>
      <c r="S7" s="240" t="s">
        <v>756</v>
      </c>
      <c r="T7" s="9">
        <f t="shared" si="2"/>
        <v>2</v>
      </c>
      <c r="U7" s="9">
        <f t="shared" si="3"/>
        <v>1001</v>
      </c>
      <c r="V7" s="248">
        <v>1</v>
      </c>
      <c r="W7" s="240" t="s">
        <v>760</v>
      </c>
      <c r="X7" s="9">
        <f t="shared" si="4"/>
        <v>2</v>
      </c>
      <c r="Y7" s="9">
        <f t="shared" si="5"/>
        <v>1002</v>
      </c>
      <c r="Z7" s="248">
        <v>1</v>
      </c>
      <c r="AA7" s="240" t="s">
        <v>768</v>
      </c>
      <c r="AB7" s="9">
        <f t="shared" si="6"/>
        <v>2</v>
      </c>
      <c r="AC7" s="9">
        <f t="shared" si="7"/>
        <v>1004</v>
      </c>
      <c r="AD7" s="248">
        <v>1</v>
      </c>
      <c r="AE7" s="240" t="s">
        <v>738</v>
      </c>
      <c r="AF7" s="9">
        <f t="shared" si="8"/>
        <v>1</v>
      </c>
      <c r="AG7" s="9">
        <f t="shared" si="9"/>
        <v>1</v>
      </c>
      <c r="AH7" s="248">
        <v>6</v>
      </c>
      <c r="AJ7" s="256" t="str">
        <f>'抽奖|MoonBless'!DN7</f>
        <v>金币</v>
      </c>
      <c r="AK7" s="256">
        <f>'抽奖|MoonBless'!DO7</f>
        <v>5.0000000000000004E-6</v>
      </c>
      <c r="AL7" s="256">
        <f>'抽奖|MoonBless'!DP7</f>
        <v>5.0000000000000002E-5</v>
      </c>
      <c r="AM7" s="256">
        <f>'抽奖|MoonBless'!DQ7</f>
        <v>1</v>
      </c>
      <c r="AN7" s="256">
        <f>'抽奖|MoonBless'!DR7</f>
        <v>2</v>
      </c>
    </row>
    <row r="8" spans="1:40" x14ac:dyDescent="0.45">
      <c r="A8" s="1">
        <v>704</v>
      </c>
      <c r="B8" s="1">
        <v>6</v>
      </c>
      <c r="C8" s="1">
        <v>328</v>
      </c>
      <c r="D8" s="236" t="str">
        <f>P23&amp;"|"&amp;Q23&amp;"|"&amp;R23&amp;","&amp;T23&amp;"|"&amp;U23&amp;"|"&amp;V23&amp;","&amp;X23&amp;"|"&amp;Y23&amp;"|"&amp;Z23&amp;","&amp;AB23&amp;"|"&amp;AC23&amp;"|"&amp;AD23&amp;","&amp;AF23&amp;"|"&amp;AG23&amp;"|"&amp;AH23</f>
        <v>1|2|40000000,2|1001|6,2|1002|6,2|1004|4,1|1|300</v>
      </c>
      <c r="E8" s="236" t="str">
        <f>P24&amp;"|"&amp;Q24&amp;"|"&amp;R24&amp;","&amp;T24&amp;"|"&amp;U24&amp;"|"&amp;V24&amp;","&amp;X24&amp;"|"&amp;Y24&amp;"|"&amp;Z24&amp;","&amp;AB24&amp;"|"&amp;AC24&amp;"|"&amp;AD24&amp;","&amp;AF24&amp;"|"&amp;AG24&amp;"|"&amp;AH24</f>
        <v>1|2|44000000,2|1001|8,2|1002|8,2|1003|4,1|1|420</v>
      </c>
      <c r="F8" s="236" t="str">
        <f>P25&amp;"|"&amp;Q25&amp;"|"&amp;R25&amp;","&amp;T25&amp;"|"&amp;U25&amp;"|"&amp;V25&amp;","&amp;X25&amp;"|"&amp;Y25&amp;"|"&amp;Z25&amp;","&amp;AB25&amp;"|"&amp;AC25&amp;"|"&amp;AD25&amp;","&amp;AF25&amp;"|"&amp;AG25&amp;"|"&amp;AH25</f>
        <v>1|2|42000000,2|1001|6,2|1002|6,2|1004|4,1|1|360</v>
      </c>
      <c r="G8" s="236" t="s">
        <v>1531</v>
      </c>
      <c r="H8" s="236" t="str">
        <f>P26&amp;"|"&amp;Q26&amp;"|"&amp;R26&amp;","&amp;T26&amp;"|"&amp;U26&amp;"|"&amp;V26&amp;","&amp;X26&amp;"|"&amp;Y26&amp;"|"&amp;Z26&amp;","&amp;AB26&amp;"|"&amp;AC26&amp;"|"&amp;AD26&amp;","&amp;AF26&amp;"|"&amp;AG26&amp;"|"&amp;AH26</f>
        <v>1|2|48000000,2|1001|10,2|1002|10,2|1003|5,1|1|480</v>
      </c>
      <c r="I8" s="236" t="str">
        <f>P27&amp;"|"&amp;Q27&amp;"|"&amp;R27&amp;","&amp;T27&amp;"|"&amp;U27&amp;"|"&amp;V27&amp;","&amp;X27&amp;"|"&amp;Y27&amp;"|"&amp;Z27&amp;","&amp;AB27&amp;"|"&amp;AC27&amp;"|"&amp;AD27&amp;","&amp;AF27&amp;"|"&amp;AG27&amp;"|"&amp;AH27</f>
        <v>1|2|44000000,2|1001|8,2|1002|8,2|1004|5,1|1|420</v>
      </c>
      <c r="J8" s="236" t="s">
        <v>1532</v>
      </c>
      <c r="K8" s="236" t="str">
        <f>P28&amp;"|"&amp;Q28&amp;"|"&amp;R28&amp;","&amp;T28&amp;"|"&amp;U28&amp;"|"&amp;V28&amp;","&amp;X28&amp;"|"&amp;Y28&amp;"|"&amp;Z28&amp;","&amp;AB28&amp;"|"&amp;AC28&amp;"|"&amp;AD28&amp;","&amp;AF28&amp;"|"&amp;AG28&amp;"|"&amp;AH28</f>
        <v>1|2|40000000,2|1001|6,2|1002|6,2|1004|4,1|1|300</v>
      </c>
      <c r="M8" s="539"/>
      <c r="N8" s="236" t="s">
        <v>1536</v>
      </c>
      <c r="O8" s="240" t="s">
        <v>103</v>
      </c>
      <c r="P8" s="9">
        <f t="shared" si="0"/>
        <v>1</v>
      </c>
      <c r="Q8" s="9">
        <f t="shared" si="1"/>
        <v>2</v>
      </c>
      <c r="R8" s="248">
        <f>R5*1.2</f>
        <v>720000</v>
      </c>
      <c r="S8" s="240" t="s">
        <v>756</v>
      </c>
      <c r="T8" s="9">
        <f t="shared" si="2"/>
        <v>2</v>
      </c>
      <c r="U8" s="9">
        <f t="shared" si="3"/>
        <v>1001</v>
      </c>
      <c r="V8" s="248">
        <v>3</v>
      </c>
      <c r="W8" s="240" t="s">
        <v>760</v>
      </c>
      <c r="X8" s="9">
        <f t="shared" si="4"/>
        <v>2</v>
      </c>
      <c r="Y8" s="9">
        <f t="shared" si="5"/>
        <v>1002</v>
      </c>
      <c r="Z8" s="248">
        <v>3</v>
      </c>
      <c r="AA8" s="240" t="s">
        <v>764</v>
      </c>
      <c r="AB8" s="9">
        <f t="shared" si="6"/>
        <v>2</v>
      </c>
      <c r="AC8" s="9">
        <f t="shared" si="7"/>
        <v>1003</v>
      </c>
      <c r="AD8" s="248">
        <v>2</v>
      </c>
      <c r="AE8" s="240" t="s">
        <v>738</v>
      </c>
      <c r="AF8" s="9">
        <f t="shared" si="8"/>
        <v>1</v>
      </c>
      <c r="AG8" s="9">
        <f t="shared" si="9"/>
        <v>1</v>
      </c>
      <c r="AH8" s="248">
        <v>8</v>
      </c>
      <c r="AJ8" s="256" t="str">
        <f>'抽奖|MoonBless'!DN8</f>
        <v>锁定</v>
      </c>
      <c r="AK8" s="256">
        <f>'抽奖|MoonBless'!DO8</f>
        <v>0.2</v>
      </c>
      <c r="AL8" s="256">
        <f>'抽奖|MoonBless'!DP8</f>
        <v>2</v>
      </c>
      <c r="AM8" s="256">
        <f>'抽奖|MoonBless'!DQ8</f>
        <v>2</v>
      </c>
      <c r="AN8" s="256">
        <f>'抽奖|MoonBless'!DR8</f>
        <v>1001</v>
      </c>
    </row>
    <row r="9" spans="1:40" x14ac:dyDescent="0.45">
      <c r="M9" s="539"/>
      <c r="N9" s="236" t="s">
        <v>1537</v>
      </c>
      <c r="O9" s="240" t="s">
        <v>103</v>
      </c>
      <c r="P9" s="9">
        <f t="shared" si="0"/>
        <v>1</v>
      </c>
      <c r="Q9" s="9">
        <f t="shared" si="1"/>
        <v>2</v>
      </c>
      <c r="R9" s="248">
        <f>R5*1.1</f>
        <v>660000</v>
      </c>
      <c r="S9" s="240" t="s">
        <v>756</v>
      </c>
      <c r="T9" s="9">
        <f t="shared" si="2"/>
        <v>2</v>
      </c>
      <c r="U9" s="9">
        <f t="shared" si="3"/>
        <v>1001</v>
      </c>
      <c r="V9" s="248">
        <v>2</v>
      </c>
      <c r="W9" s="240" t="s">
        <v>760</v>
      </c>
      <c r="X9" s="9">
        <f t="shared" si="4"/>
        <v>2</v>
      </c>
      <c r="Y9" s="9">
        <f t="shared" si="5"/>
        <v>1002</v>
      </c>
      <c r="Z9" s="248">
        <v>2</v>
      </c>
      <c r="AA9" s="240" t="s">
        <v>768</v>
      </c>
      <c r="AB9" s="9">
        <f t="shared" si="6"/>
        <v>2</v>
      </c>
      <c r="AC9" s="9">
        <f t="shared" si="7"/>
        <v>1004</v>
      </c>
      <c r="AD9" s="248">
        <v>2</v>
      </c>
      <c r="AE9" s="240" t="s">
        <v>738</v>
      </c>
      <c r="AF9" s="9">
        <f t="shared" si="8"/>
        <v>1</v>
      </c>
      <c r="AG9" s="9">
        <f t="shared" si="9"/>
        <v>1</v>
      </c>
      <c r="AH9" s="248">
        <v>7</v>
      </c>
      <c r="AJ9" s="256" t="str">
        <f>'抽奖|MoonBless'!DN9</f>
        <v>冰冻</v>
      </c>
      <c r="AK9" s="256">
        <f>'抽奖|MoonBless'!DO9</f>
        <v>0.5</v>
      </c>
      <c r="AL9" s="256">
        <f>'抽奖|MoonBless'!DP9</f>
        <v>5</v>
      </c>
      <c r="AM9" s="256">
        <f>'抽奖|MoonBless'!DQ9</f>
        <v>2</v>
      </c>
      <c r="AN9" s="256">
        <f>'抽奖|MoonBless'!DR9</f>
        <v>1002</v>
      </c>
    </row>
    <row r="10" spans="1:40" x14ac:dyDescent="0.45">
      <c r="M10" s="540"/>
      <c r="N10" s="241" t="s">
        <v>1538</v>
      </c>
      <c r="O10" s="31" t="str">
        <f>O5</f>
        <v>金币</v>
      </c>
      <c r="P10" s="242">
        <f t="shared" si="0"/>
        <v>1</v>
      </c>
      <c r="Q10" s="242">
        <f t="shared" si="1"/>
        <v>2</v>
      </c>
      <c r="R10" s="249">
        <f>R5</f>
        <v>600000</v>
      </c>
      <c r="S10" s="31" t="str">
        <f>S5</f>
        <v>锁定</v>
      </c>
      <c r="T10" s="242">
        <f t="shared" si="2"/>
        <v>2</v>
      </c>
      <c r="U10" s="242">
        <f t="shared" si="3"/>
        <v>1001</v>
      </c>
      <c r="V10" s="249">
        <f>V5</f>
        <v>1</v>
      </c>
      <c r="W10" s="31" t="str">
        <f>W5</f>
        <v>冰冻</v>
      </c>
      <c r="X10" s="242">
        <f t="shared" si="4"/>
        <v>2</v>
      </c>
      <c r="Y10" s="242">
        <f t="shared" si="5"/>
        <v>1002</v>
      </c>
      <c r="Z10" s="249">
        <f>Z5</f>
        <v>1</v>
      </c>
      <c r="AA10" s="31" t="str">
        <f>AA5</f>
        <v>召唤</v>
      </c>
      <c r="AB10" s="242">
        <f t="shared" si="6"/>
        <v>2</v>
      </c>
      <c r="AC10" s="242">
        <f t="shared" si="7"/>
        <v>1004</v>
      </c>
      <c r="AD10" s="249">
        <f>AD5</f>
        <v>1</v>
      </c>
      <c r="AE10" s="31" t="str">
        <f>AE5</f>
        <v>钻石</v>
      </c>
      <c r="AF10" s="242">
        <f t="shared" si="8"/>
        <v>1</v>
      </c>
      <c r="AG10" s="242">
        <f t="shared" si="9"/>
        <v>1</v>
      </c>
      <c r="AH10" s="249">
        <f>AH5</f>
        <v>5</v>
      </c>
      <c r="AJ10" s="256" t="str">
        <f>'抽奖|MoonBless'!DN10</f>
        <v>狂暴</v>
      </c>
      <c r="AK10" s="256">
        <f>'抽奖|MoonBless'!DO10</f>
        <v>2</v>
      </c>
      <c r="AL10" s="256">
        <f>'抽奖|MoonBless'!DP10</f>
        <v>20</v>
      </c>
      <c r="AM10" s="256">
        <f>'抽奖|MoonBless'!DQ10</f>
        <v>2</v>
      </c>
      <c r="AN10" s="256">
        <f>'抽奖|MoonBless'!DR10</f>
        <v>1003</v>
      </c>
    </row>
    <row r="11" spans="1:40" x14ac:dyDescent="0.45">
      <c r="M11" s="541" t="str">
        <f>C6&amp;"元档"</f>
        <v>30元档</v>
      </c>
      <c r="N11" s="238" t="str">
        <f>N5</f>
        <v>第1次</v>
      </c>
      <c r="O11" s="239" t="s">
        <v>103</v>
      </c>
      <c r="P11" s="86">
        <f t="shared" si="0"/>
        <v>1</v>
      </c>
      <c r="Q11" s="86">
        <f t="shared" si="1"/>
        <v>2</v>
      </c>
      <c r="R11" s="247">
        <v>3500000</v>
      </c>
      <c r="S11" s="239" t="s">
        <v>756</v>
      </c>
      <c r="T11" s="86">
        <f t="shared" si="2"/>
        <v>2</v>
      </c>
      <c r="U11" s="86">
        <f t="shared" si="3"/>
        <v>1001</v>
      </c>
      <c r="V11" s="247">
        <v>2</v>
      </c>
      <c r="W11" s="239" t="s">
        <v>760</v>
      </c>
      <c r="X11" s="86">
        <f t="shared" si="4"/>
        <v>2</v>
      </c>
      <c r="Y11" s="86">
        <f t="shared" si="5"/>
        <v>1002</v>
      </c>
      <c r="Z11" s="247">
        <v>2</v>
      </c>
      <c r="AA11" s="239" t="s">
        <v>768</v>
      </c>
      <c r="AB11" s="86">
        <f t="shared" si="6"/>
        <v>2</v>
      </c>
      <c r="AC11" s="86">
        <f t="shared" si="7"/>
        <v>1004</v>
      </c>
      <c r="AD11" s="247">
        <v>2</v>
      </c>
      <c r="AE11" s="239" t="s">
        <v>738</v>
      </c>
      <c r="AF11" s="86">
        <f t="shared" si="8"/>
        <v>1</v>
      </c>
      <c r="AG11" s="86">
        <f t="shared" si="9"/>
        <v>1</v>
      </c>
      <c r="AH11" s="247">
        <f>AH5*5</f>
        <v>25</v>
      </c>
      <c r="AI11" s="1">
        <v>330000</v>
      </c>
      <c r="AJ11" s="256" t="str">
        <f>'抽奖|MoonBless'!DN11</f>
        <v>召唤</v>
      </c>
      <c r="AK11" s="256">
        <f>'抽奖|MoonBless'!DO11</f>
        <v>0.2</v>
      </c>
      <c r="AL11" s="256">
        <f>'抽奖|MoonBless'!DP11</f>
        <v>2</v>
      </c>
      <c r="AM11" s="256">
        <f>'抽奖|MoonBless'!DQ11</f>
        <v>2</v>
      </c>
      <c r="AN11" s="256">
        <f>'抽奖|MoonBless'!DR11</f>
        <v>1004</v>
      </c>
    </row>
    <row r="12" spans="1:40" x14ac:dyDescent="0.45">
      <c r="M12" s="542"/>
      <c r="N12" s="236" t="str">
        <f t="shared" ref="N12:N28" si="10">N6</f>
        <v>第2次10%</v>
      </c>
      <c r="O12" s="240" t="s">
        <v>103</v>
      </c>
      <c r="P12" s="9">
        <f t="shared" si="0"/>
        <v>1</v>
      </c>
      <c r="Q12" s="9">
        <f t="shared" si="1"/>
        <v>2</v>
      </c>
      <c r="R12" s="248">
        <f>R11*1.1</f>
        <v>3850000.0000000005</v>
      </c>
      <c r="S12" s="240" t="s">
        <v>756</v>
      </c>
      <c r="T12" s="9">
        <f t="shared" si="2"/>
        <v>2</v>
      </c>
      <c r="U12" s="9">
        <f t="shared" si="3"/>
        <v>1001</v>
      </c>
      <c r="V12" s="248">
        <v>3</v>
      </c>
      <c r="W12" s="240" t="s">
        <v>760</v>
      </c>
      <c r="X12" s="9">
        <f t="shared" si="4"/>
        <v>2</v>
      </c>
      <c r="Y12" s="9">
        <f t="shared" si="5"/>
        <v>1002</v>
      </c>
      <c r="Z12" s="248">
        <v>3</v>
      </c>
      <c r="AA12" s="240" t="s">
        <v>764</v>
      </c>
      <c r="AB12" s="9">
        <f t="shared" si="6"/>
        <v>2</v>
      </c>
      <c r="AC12" s="9">
        <f t="shared" si="7"/>
        <v>1003</v>
      </c>
      <c r="AD12" s="248">
        <v>2</v>
      </c>
      <c r="AE12" s="240" t="s">
        <v>738</v>
      </c>
      <c r="AF12" s="9">
        <f t="shared" si="8"/>
        <v>1</v>
      </c>
      <c r="AG12" s="9">
        <f t="shared" si="9"/>
        <v>1</v>
      </c>
      <c r="AH12" s="248">
        <f t="shared" ref="AH12:AH15" si="11">AH6*5</f>
        <v>35</v>
      </c>
      <c r="AJ12" s="256" t="str">
        <f>'抽奖|MoonBless'!DN12</f>
        <v>福卡</v>
      </c>
      <c r="AK12" s="256">
        <f>'抽奖|MoonBless'!DO12</f>
        <v>2.5000000000000001E-3</v>
      </c>
      <c r="AL12" s="256">
        <f>'抽奖|MoonBless'!DP12</f>
        <v>2.5000000000000001E-2</v>
      </c>
      <c r="AM12" s="256">
        <f>'抽奖|MoonBless'!DQ12</f>
        <v>2</v>
      </c>
      <c r="AN12" s="256">
        <f>'抽奖|MoonBless'!DR12</f>
        <v>1204</v>
      </c>
    </row>
    <row r="13" spans="1:40" x14ac:dyDescent="0.45">
      <c r="M13" s="542"/>
      <c r="N13" s="236" t="str">
        <f t="shared" si="10"/>
        <v>第2次5%</v>
      </c>
      <c r="O13" s="240" t="s">
        <v>103</v>
      </c>
      <c r="P13" s="9">
        <f t="shared" si="0"/>
        <v>1</v>
      </c>
      <c r="Q13" s="9">
        <f t="shared" si="1"/>
        <v>2</v>
      </c>
      <c r="R13" s="248">
        <f>R11*1.05</f>
        <v>3675000</v>
      </c>
      <c r="S13" s="240" t="s">
        <v>756</v>
      </c>
      <c r="T13" s="9">
        <f t="shared" si="2"/>
        <v>2</v>
      </c>
      <c r="U13" s="9">
        <f t="shared" si="3"/>
        <v>1001</v>
      </c>
      <c r="V13" s="248">
        <v>2</v>
      </c>
      <c r="W13" s="240" t="s">
        <v>760</v>
      </c>
      <c r="X13" s="9">
        <f t="shared" si="4"/>
        <v>2</v>
      </c>
      <c r="Y13" s="9">
        <f t="shared" si="5"/>
        <v>1002</v>
      </c>
      <c r="Z13" s="248">
        <v>2</v>
      </c>
      <c r="AA13" s="240" t="s">
        <v>768</v>
      </c>
      <c r="AB13" s="9">
        <f t="shared" si="6"/>
        <v>2</v>
      </c>
      <c r="AC13" s="9">
        <f t="shared" si="7"/>
        <v>1004</v>
      </c>
      <c r="AD13" s="248">
        <v>2</v>
      </c>
      <c r="AE13" s="240" t="s">
        <v>738</v>
      </c>
      <c r="AF13" s="9">
        <f t="shared" si="8"/>
        <v>1</v>
      </c>
      <c r="AG13" s="9">
        <f t="shared" si="9"/>
        <v>1</v>
      </c>
      <c r="AH13" s="248">
        <f t="shared" si="11"/>
        <v>30</v>
      </c>
      <c r="AJ13" s="256" t="str">
        <f>'抽奖|MoonBless'!DN13</f>
        <v>超级武器1</v>
      </c>
      <c r="AK13" s="256">
        <f>'抽奖|MoonBless'!DO13</f>
        <v>5</v>
      </c>
      <c r="AL13" s="256">
        <f>'抽奖|MoonBless'!DP13</f>
        <v>50</v>
      </c>
      <c r="AM13" s="256">
        <f>'抽奖|MoonBless'!DQ13</f>
        <v>2</v>
      </c>
      <c r="AN13" s="256">
        <f>'抽奖|MoonBless'!DR13</f>
        <v>1005</v>
      </c>
    </row>
    <row r="14" spans="1:40" x14ac:dyDescent="0.45">
      <c r="M14" s="542"/>
      <c r="N14" s="236" t="str">
        <f t="shared" si="10"/>
        <v>第3次20%</v>
      </c>
      <c r="O14" s="240" t="s">
        <v>103</v>
      </c>
      <c r="P14" s="9">
        <f t="shared" si="0"/>
        <v>1</v>
      </c>
      <c r="Q14" s="9">
        <f t="shared" si="1"/>
        <v>2</v>
      </c>
      <c r="R14" s="248">
        <f>R11*1.2</f>
        <v>4200000</v>
      </c>
      <c r="S14" s="240" t="s">
        <v>756</v>
      </c>
      <c r="T14" s="9">
        <f t="shared" si="2"/>
        <v>2</v>
      </c>
      <c r="U14" s="9">
        <f t="shared" si="3"/>
        <v>1001</v>
      </c>
      <c r="V14" s="248">
        <v>4</v>
      </c>
      <c r="W14" s="240" t="s">
        <v>760</v>
      </c>
      <c r="X14" s="9">
        <f t="shared" si="4"/>
        <v>2</v>
      </c>
      <c r="Y14" s="9">
        <f t="shared" si="5"/>
        <v>1002</v>
      </c>
      <c r="Z14" s="248">
        <v>4</v>
      </c>
      <c r="AA14" s="240" t="s">
        <v>764</v>
      </c>
      <c r="AB14" s="9">
        <f t="shared" si="6"/>
        <v>2</v>
      </c>
      <c r="AC14" s="9">
        <f t="shared" si="7"/>
        <v>1003</v>
      </c>
      <c r="AD14" s="248">
        <v>3</v>
      </c>
      <c r="AE14" s="240" t="s">
        <v>738</v>
      </c>
      <c r="AF14" s="9">
        <f t="shared" si="8"/>
        <v>1</v>
      </c>
      <c r="AG14" s="9">
        <f t="shared" si="9"/>
        <v>1</v>
      </c>
      <c r="AH14" s="248">
        <f t="shared" si="11"/>
        <v>40</v>
      </c>
      <c r="AJ14" s="256" t="str">
        <f>'抽奖|MoonBless'!DN14</f>
        <v>超级武器2</v>
      </c>
      <c r="AK14" s="256">
        <f>'抽奖|MoonBless'!DO14</f>
        <v>10</v>
      </c>
      <c r="AL14" s="256">
        <f>'抽奖|MoonBless'!DP14</f>
        <v>100</v>
      </c>
      <c r="AM14" s="256">
        <f>'抽奖|MoonBless'!DQ14</f>
        <v>2</v>
      </c>
      <c r="AN14" s="256">
        <f>'抽奖|MoonBless'!DR14</f>
        <v>1006</v>
      </c>
    </row>
    <row r="15" spans="1:40" x14ac:dyDescent="0.45">
      <c r="M15" s="542"/>
      <c r="N15" s="236" t="str">
        <f t="shared" si="10"/>
        <v>第3次10%</v>
      </c>
      <c r="O15" s="240" t="s">
        <v>103</v>
      </c>
      <c r="P15" s="9">
        <f t="shared" si="0"/>
        <v>1</v>
      </c>
      <c r="Q15" s="9">
        <f t="shared" si="1"/>
        <v>2</v>
      </c>
      <c r="R15" s="248">
        <f>R11*1.1</f>
        <v>3850000.0000000005</v>
      </c>
      <c r="S15" s="240" t="s">
        <v>756</v>
      </c>
      <c r="T15" s="9">
        <f t="shared" si="2"/>
        <v>2</v>
      </c>
      <c r="U15" s="9">
        <f t="shared" si="3"/>
        <v>1001</v>
      </c>
      <c r="V15" s="248">
        <v>3</v>
      </c>
      <c r="W15" s="240" t="s">
        <v>760</v>
      </c>
      <c r="X15" s="9">
        <f t="shared" si="4"/>
        <v>2</v>
      </c>
      <c r="Y15" s="9">
        <f t="shared" si="5"/>
        <v>1002</v>
      </c>
      <c r="Z15" s="248">
        <v>3</v>
      </c>
      <c r="AA15" s="240" t="s">
        <v>768</v>
      </c>
      <c r="AB15" s="9">
        <f t="shared" si="6"/>
        <v>2</v>
      </c>
      <c r="AC15" s="9">
        <f t="shared" si="7"/>
        <v>1004</v>
      </c>
      <c r="AD15" s="248">
        <v>3</v>
      </c>
      <c r="AE15" s="240" t="s">
        <v>738</v>
      </c>
      <c r="AF15" s="9">
        <f t="shared" si="8"/>
        <v>1</v>
      </c>
      <c r="AG15" s="9">
        <f t="shared" si="9"/>
        <v>1</v>
      </c>
      <c r="AH15" s="248">
        <f t="shared" si="11"/>
        <v>35</v>
      </c>
      <c r="AJ15" s="256" t="str">
        <f>'抽奖|MoonBless'!DN15</f>
        <v>超级武器3</v>
      </c>
      <c r="AK15" s="256">
        <f>'抽奖|MoonBless'!DO15</f>
        <v>25</v>
      </c>
      <c r="AL15" s="256">
        <f>'抽奖|MoonBless'!DP15</f>
        <v>250</v>
      </c>
      <c r="AM15" s="256">
        <f>'抽奖|MoonBless'!DQ15</f>
        <v>2</v>
      </c>
      <c r="AN15" s="256">
        <f>'抽奖|MoonBless'!DR15</f>
        <v>1007</v>
      </c>
    </row>
    <row r="16" spans="1:40" x14ac:dyDescent="0.45">
      <c r="M16" s="543"/>
      <c r="N16" s="241" t="str">
        <f t="shared" si="10"/>
        <v>再得一份</v>
      </c>
      <c r="O16" s="31" t="str">
        <f>O11</f>
        <v>金币</v>
      </c>
      <c r="P16" s="242">
        <f t="shared" si="0"/>
        <v>1</v>
      </c>
      <c r="Q16" s="242">
        <f t="shared" si="1"/>
        <v>2</v>
      </c>
      <c r="R16" s="249">
        <f>R11</f>
        <v>3500000</v>
      </c>
      <c r="S16" s="31" t="str">
        <f>S11</f>
        <v>锁定</v>
      </c>
      <c r="T16" s="242">
        <f t="shared" si="2"/>
        <v>2</v>
      </c>
      <c r="U16" s="242">
        <f t="shared" si="3"/>
        <v>1001</v>
      </c>
      <c r="V16" s="249">
        <f>V11</f>
        <v>2</v>
      </c>
      <c r="W16" s="31" t="str">
        <f>W11</f>
        <v>冰冻</v>
      </c>
      <c r="X16" s="242">
        <f t="shared" si="4"/>
        <v>2</v>
      </c>
      <c r="Y16" s="242">
        <f t="shared" si="5"/>
        <v>1002</v>
      </c>
      <c r="Z16" s="249">
        <f>Z11</f>
        <v>2</v>
      </c>
      <c r="AA16" s="31" t="str">
        <f>AA11</f>
        <v>召唤</v>
      </c>
      <c r="AB16" s="242">
        <f t="shared" si="6"/>
        <v>2</v>
      </c>
      <c r="AC16" s="242">
        <f t="shared" si="7"/>
        <v>1004</v>
      </c>
      <c r="AD16" s="249">
        <f>AD11</f>
        <v>2</v>
      </c>
      <c r="AE16" s="31" t="str">
        <f>AE11</f>
        <v>钻石</v>
      </c>
      <c r="AF16" s="242">
        <f t="shared" si="8"/>
        <v>1</v>
      </c>
      <c r="AG16" s="242">
        <f t="shared" si="9"/>
        <v>1</v>
      </c>
      <c r="AH16" s="249">
        <f>AH11</f>
        <v>25</v>
      </c>
      <c r="AJ16" s="256" t="str">
        <f>'抽奖|MoonBless'!DN16</f>
        <v>超级武器4</v>
      </c>
      <c r="AK16" s="256">
        <f>'抽奖|MoonBless'!DO16</f>
        <v>50</v>
      </c>
      <c r="AL16" s="256">
        <f>'抽奖|MoonBless'!DP16</f>
        <v>500</v>
      </c>
      <c r="AM16" s="256">
        <f>'抽奖|MoonBless'!DQ16</f>
        <v>2</v>
      </c>
      <c r="AN16" s="256">
        <f>'抽奖|MoonBless'!DR16</f>
        <v>1008</v>
      </c>
    </row>
    <row r="17" spans="13:40" x14ac:dyDescent="0.45">
      <c r="M17" s="544" t="str">
        <f>C7&amp;"元档"</f>
        <v>98元档</v>
      </c>
      <c r="N17" s="238" t="str">
        <f t="shared" si="10"/>
        <v>第1次</v>
      </c>
      <c r="O17" s="239" t="s">
        <v>103</v>
      </c>
      <c r="P17" s="86">
        <f t="shared" si="0"/>
        <v>1</v>
      </c>
      <c r="Q17" s="86">
        <f>VLOOKUP(O17,$AJ:$AN,5,0)</f>
        <v>2</v>
      </c>
      <c r="R17" s="247">
        <v>12000000</v>
      </c>
      <c r="S17" s="239" t="s">
        <v>756</v>
      </c>
      <c r="T17" s="86">
        <f t="shared" si="2"/>
        <v>2</v>
      </c>
      <c r="U17" s="86">
        <f>VLOOKUP(S17,$AJ:$AN,5,0)</f>
        <v>1001</v>
      </c>
      <c r="V17" s="247">
        <v>4</v>
      </c>
      <c r="W17" s="239" t="s">
        <v>760</v>
      </c>
      <c r="X17" s="86">
        <f t="shared" si="4"/>
        <v>2</v>
      </c>
      <c r="Y17" s="86">
        <f>VLOOKUP(W17,$AJ:$AN,5,0)</f>
        <v>1002</v>
      </c>
      <c r="Z17" s="247">
        <v>4</v>
      </c>
      <c r="AA17" s="239" t="s">
        <v>768</v>
      </c>
      <c r="AB17" s="86">
        <f t="shared" si="6"/>
        <v>2</v>
      </c>
      <c r="AC17" s="86">
        <f>VLOOKUP(AA17,$AJ:$AN,5,0)</f>
        <v>1004</v>
      </c>
      <c r="AD17" s="247">
        <v>3</v>
      </c>
      <c r="AE17" s="239" t="s">
        <v>738</v>
      </c>
      <c r="AF17" s="86">
        <f t="shared" si="8"/>
        <v>1</v>
      </c>
      <c r="AG17" s="86">
        <f>VLOOKUP(AE17,$AJ:$AN,5,0)</f>
        <v>1</v>
      </c>
      <c r="AH17" s="247">
        <f>AH11*4</f>
        <v>100</v>
      </c>
      <c r="AI17" s="1">
        <v>1100000</v>
      </c>
      <c r="AJ17" s="256" t="str">
        <f>'抽奖|MoonBless'!DN17</f>
        <v>5元话费卡</v>
      </c>
      <c r="AK17" s="256">
        <f>'抽奖|MoonBless'!DO17</f>
        <v>5</v>
      </c>
      <c r="AL17" s="256">
        <f>'抽奖|MoonBless'!DP17</f>
        <v>50</v>
      </c>
      <c r="AM17" s="256">
        <f>'抽奖|MoonBless'!DQ17</f>
        <v>2</v>
      </c>
      <c r="AN17" s="256">
        <f>'抽奖|MoonBless'!DR17</f>
        <v>1206</v>
      </c>
    </row>
    <row r="18" spans="13:40" x14ac:dyDescent="0.45">
      <c r="M18" s="545"/>
      <c r="N18" s="236" t="str">
        <f t="shared" si="10"/>
        <v>第2次10%</v>
      </c>
      <c r="O18" s="240" t="s">
        <v>103</v>
      </c>
      <c r="P18" s="9">
        <f t="shared" si="0"/>
        <v>1</v>
      </c>
      <c r="Q18" s="9">
        <f>VLOOKUP(O18,$AJ:$AN,5,0)</f>
        <v>2</v>
      </c>
      <c r="R18" s="248">
        <f>R17*1.1</f>
        <v>13200000.000000002</v>
      </c>
      <c r="S18" s="240" t="s">
        <v>756</v>
      </c>
      <c r="T18" s="9">
        <f t="shared" si="2"/>
        <v>2</v>
      </c>
      <c r="U18" s="9">
        <f>VLOOKUP(S18,$AJ:$AN,5,0)</f>
        <v>1001</v>
      </c>
      <c r="V18" s="248">
        <v>6</v>
      </c>
      <c r="W18" s="240" t="s">
        <v>760</v>
      </c>
      <c r="X18" s="9">
        <f t="shared" si="4"/>
        <v>2</v>
      </c>
      <c r="Y18" s="9">
        <f>VLOOKUP(W18,$AJ:$AN,5,0)</f>
        <v>1002</v>
      </c>
      <c r="Z18" s="248">
        <v>6</v>
      </c>
      <c r="AA18" s="240" t="s">
        <v>764</v>
      </c>
      <c r="AB18" s="9">
        <f t="shared" si="6"/>
        <v>2</v>
      </c>
      <c r="AC18" s="9">
        <f>VLOOKUP(AA18,$AJ:$AN,5,0)</f>
        <v>1003</v>
      </c>
      <c r="AD18" s="248">
        <v>3</v>
      </c>
      <c r="AE18" s="240" t="s">
        <v>738</v>
      </c>
      <c r="AF18" s="9">
        <f t="shared" si="8"/>
        <v>1</v>
      </c>
      <c r="AG18" s="9">
        <f>VLOOKUP(AE18,$AJ:$AN,5,0)</f>
        <v>1</v>
      </c>
      <c r="AH18" s="248">
        <f t="shared" ref="AH18:AH21" si="12">AH12*4</f>
        <v>140</v>
      </c>
      <c r="AJ18" s="256" t="str">
        <f>'抽奖|MoonBless'!DN18</f>
        <v>2元话费卡</v>
      </c>
      <c r="AK18" s="256">
        <f>'抽奖|MoonBless'!DO18</f>
        <v>2</v>
      </c>
      <c r="AL18" s="256">
        <f>'抽奖|MoonBless'!DP18</f>
        <v>20</v>
      </c>
      <c r="AM18" s="256">
        <f>'抽奖|MoonBless'!DQ18</f>
        <v>2</v>
      </c>
      <c r="AN18" s="256">
        <f>'抽奖|MoonBless'!DR18</f>
        <v>1205</v>
      </c>
    </row>
    <row r="19" spans="13:40" x14ac:dyDescent="0.45">
      <c r="M19" s="545"/>
      <c r="N19" s="236" t="str">
        <f t="shared" si="10"/>
        <v>第2次5%</v>
      </c>
      <c r="O19" s="240" t="s">
        <v>103</v>
      </c>
      <c r="P19" s="9">
        <f t="shared" si="0"/>
        <v>1</v>
      </c>
      <c r="Q19" s="9">
        <f>VLOOKUP(O19,$AJ:$AN,5,0)</f>
        <v>2</v>
      </c>
      <c r="R19" s="248">
        <f>R17*1.05</f>
        <v>12600000</v>
      </c>
      <c r="S19" s="240" t="s">
        <v>756</v>
      </c>
      <c r="T19" s="9">
        <f t="shared" si="2"/>
        <v>2</v>
      </c>
      <c r="U19" s="9">
        <f>VLOOKUP(S19,$AJ:$AN,5,0)</f>
        <v>1001</v>
      </c>
      <c r="V19" s="248">
        <v>4</v>
      </c>
      <c r="W19" s="240" t="s">
        <v>760</v>
      </c>
      <c r="X19" s="9">
        <f t="shared" si="4"/>
        <v>2</v>
      </c>
      <c r="Y19" s="9">
        <f>VLOOKUP(W19,$AJ:$AN,5,0)</f>
        <v>1002</v>
      </c>
      <c r="Z19" s="248">
        <v>4</v>
      </c>
      <c r="AA19" s="240" t="s">
        <v>768</v>
      </c>
      <c r="AB19" s="9">
        <f t="shared" si="6"/>
        <v>2</v>
      </c>
      <c r="AC19" s="9">
        <f>VLOOKUP(AA19,$AJ:$AN,5,0)</f>
        <v>1004</v>
      </c>
      <c r="AD19" s="248">
        <v>3</v>
      </c>
      <c r="AE19" s="240" t="s">
        <v>738</v>
      </c>
      <c r="AF19" s="9">
        <f t="shared" si="8"/>
        <v>1</v>
      </c>
      <c r="AG19" s="9">
        <f>VLOOKUP(AE19,$AJ:$AN,5,0)</f>
        <v>1</v>
      </c>
      <c r="AH19" s="248">
        <f t="shared" si="12"/>
        <v>120</v>
      </c>
      <c r="AJ19" s="256" t="str">
        <f>'抽奖|MoonBless'!DN19</f>
        <v>高压锅</v>
      </c>
      <c r="AK19" s="256">
        <f>'抽奖|MoonBless'!DO19</f>
        <v>200</v>
      </c>
      <c r="AL19" s="256">
        <f>'抽奖|MoonBless'!DP19</f>
        <v>2000</v>
      </c>
      <c r="AM19" s="256">
        <f>'抽奖|MoonBless'!DQ19</f>
        <v>2</v>
      </c>
      <c r="AN19" s="256">
        <f>'抽奖|MoonBless'!DR19</f>
        <v>1208</v>
      </c>
    </row>
    <row r="20" spans="13:40" x14ac:dyDescent="0.45">
      <c r="M20" s="545"/>
      <c r="N20" s="236" t="str">
        <f t="shared" si="10"/>
        <v>第3次20%</v>
      </c>
      <c r="O20" s="240" t="s">
        <v>103</v>
      </c>
      <c r="P20" s="9">
        <f t="shared" si="0"/>
        <v>1</v>
      </c>
      <c r="Q20" s="9">
        <f>VLOOKUP(O20,$AJ:$AN,5,0)</f>
        <v>2</v>
      </c>
      <c r="R20" s="248">
        <f>R17*1.2</f>
        <v>14400000</v>
      </c>
      <c r="S20" s="240" t="s">
        <v>756</v>
      </c>
      <c r="T20" s="9">
        <f t="shared" si="2"/>
        <v>2</v>
      </c>
      <c r="U20" s="9">
        <f>VLOOKUP(S20,$AJ:$AN,5,0)</f>
        <v>1001</v>
      </c>
      <c r="V20" s="248">
        <v>8</v>
      </c>
      <c r="W20" s="240" t="s">
        <v>760</v>
      </c>
      <c r="X20" s="9">
        <f t="shared" si="4"/>
        <v>2</v>
      </c>
      <c r="Y20" s="9">
        <f>VLOOKUP(W20,$AJ:$AN,5,0)</f>
        <v>1002</v>
      </c>
      <c r="Z20" s="248">
        <v>8</v>
      </c>
      <c r="AA20" s="240" t="s">
        <v>764</v>
      </c>
      <c r="AB20" s="9">
        <f t="shared" si="6"/>
        <v>2</v>
      </c>
      <c r="AC20" s="9">
        <f>VLOOKUP(AA20,$AJ:$AN,5,0)</f>
        <v>1003</v>
      </c>
      <c r="AD20" s="248">
        <v>4</v>
      </c>
      <c r="AE20" s="240" t="s">
        <v>738</v>
      </c>
      <c r="AF20" s="9">
        <f t="shared" si="8"/>
        <v>1</v>
      </c>
      <c r="AG20" s="9">
        <f>VLOOKUP(AE20,$AJ:$AN,5,0)</f>
        <v>1</v>
      </c>
      <c r="AH20" s="248">
        <f t="shared" si="12"/>
        <v>160</v>
      </c>
      <c r="AJ20" s="256" t="str">
        <f>'抽奖|MoonBless'!DN20</f>
        <v>30元话费卡</v>
      </c>
      <c r="AK20" s="256">
        <f>'抽奖|MoonBless'!DO20</f>
        <v>30</v>
      </c>
      <c r="AL20" s="256">
        <f>'抽奖|MoonBless'!DP20</f>
        <v>300</v>
      </c>
      <c r="AM20" s="256">
        <f>'抽奖|MoonBless'!DQ20</f>
        <v>2</v>
      </c>
      <c r="AN20" s="256">
        <f>'抽奖|MoonBless'!DR20</f>
        <v>1209</v>
      </c>
    </row>
    <row r="21" spans="13:40" x14ac:dyDescent="0.45">
      <c r="M21" s="545"/>
      <c r="N21" s="236" t="str">
        <f t="shared" si="10"/>
        <v>第3次10%</v>
      </c>
      <c r="O21" s="240" t="s">
        <v>103</v>
      </c>
      <c r="P21" s="9">
        <f t="shared" si="0"/>
        <v>1</v>
      </c>
      <c r="Q21" s="9">
        <f>VLOOKUP(O21,$AJ:$AN,5,0)</f>
        <v>2</v>
      </c>
      <c r="R21" s="248">
        <f>R17*1.1</f>
        <v>13200000.000000002</v>
      </c>
      <c r="S21" s="240" t="s">
        <v>756</v>
      </c>
      <c r="T21" s="9">
        <f t="shared" si="2"/>
        <v>2</v>
      </c>
      <c r="U21" s="9">
        <f>VLOOKUP(S21,$AJ:$AN,5,0)</f>
        <v>1001</v>
      </c>
      <c r="V21" s="248">
        <v>6</v>
      </c>
      <c r="W21" s="240" t="s">
        <v>760</v>
      </c>
      <c r="X21" s="9">
        <f t="shared" si="4"/>
        <v>2</v>
      </c>
      <c r="Y21" s="9">
        <f>VLOOKUP(W21,$AJ:$AN,5,0)</f>
        <v>1002</v>
      </c>
      <c r="Z21" s="248">
        <v>6</v>
      </c>
      <c r="AA21" s="240" t="s">
        <v>768</v>
      </c>
      <c r="AB21" s="9">
        <f t="shared" si="6"/>
        <v>2</v>
      </c>
      <c r="AC21" s="9">
        <f>VLOOKUP(AA21,$AJ:$AN,5,0)</f>
        <v>1004</v>
      </c>
      <c r="AD21" s="248">
        <v>4</v>
      </c>
      <c r="AE21" s="240" t="s">
        <v>738</v>
      </c>
      <c r="AF21" s="9">
        <f t="shared" si="8"/>
        <v>1</v>
      </c>
      <c r="AG21" s="9">
        <f>VLOOKUP(AE21,$AJ:$AN,5,0)</f>
        <v>1</v>
      </c>
      <c r="AH21" s="248">
        <f t="shared" si="12"/>
        <v>140</v>
      </c>
      <c r="AJ21" s="256" t="str">
        <f>'抽奖|MoonBless'!DN21</f>
        <v>50元话费卡</v>
      </c>
      <c r="AK21" s="256">
        <f>'抽奖|MoonBless'!DO21</f>
        <v>50</v>
      </c>
      <c r="AL21" s="256">
        <f>'抽奖|MoonBless'!DP21</f>
        <v>500</v>
      </c>
      <c r="AM21" s="256">
        <f>'抽奖|MoonBless'!DQ21</f>
        <v>2</v>
      </c>
      <c r="AN21" s="256">
        <f>'抽奖|MoonBless'!DR21</f>
        <v>1210</v>
      </c>
    </row>
    <row r="22" spans="13:40" x14ac:dyDescent="0.45">
      <c r="M22" s="546"/>
      <c r="N22" s="241" t="str">
        <f t="shared" si="10"/>
        <v>再得一份</v>
      </c>
      <c r="O22" s="31" t="str">
        <f>O17</f>
        <v>金币</v>
      </c>
      <c r="P22" s="242">
        <f t="shared" si="0"/>
        <v>1</v>
      </c>
      <c r="Q22" s="242">
        <f t="shared" ref="Q22" si="13">VLOOKUP(O22,$AJ:$AN,5,0)</f>
        <v>2</v>
      </c>
      <c r="R22" s="249">
        <f>R17</f>
        <v>12000000</v>
      </c>
      <c r="S22" s="31" t="str">
        <f>S17</f>
        <v>锁定</v>
      </c>
      <c r="T22" s="242">
        <f t="shared" si="2"/>
        <v>2</v>
      </c>
      <c r="U22" s="242">
        <f t="shared" ref="U22" si="14">VLOOKUP(S22,$AJ:$AN,5,0)</f>
        <v>1001</v>
      </c>
      <c r="V22" s="249">
        <f>V17</f>
        <v>4</v>
      </c>
      <c r="W22" s="31" t="str">
        <f>W17</f>
        <v>冰冻</v>
      </c>
      <c r="X22" s="242">
        <f t="shared" si="4"/>
        <v>2</v>
      </c>
      <c r="Y22" s="242">
        <f t="shared" ref="Y22" si="15">VLOOKUP(W22,$AJ:$AN,5,0)</f>
        <v>1002</v>
      </c>
      <c r="Z22" s="249">
        <f>Z17</f>
        <v>4</v>
      </c>
      <c r="AA22" s="31" t="str">
        <f>AA17</f>
        <v>召唤</v>
      </c>
      <c r="AB22" s="242">
        <f t="shared" si="6"/>
        <v>2</v>
      </c>
      <c r="AC22" s="242">
        <f t="shared" ref="AC22" si="16">VLOOKUP(AA22,$AJ:$AN,5,0)</f>
        <v>1004</v>
      </c>
      <c r="AD22" s="249">
        <f>AD17</f>
        <v>3</v>
      </c>
      <c r="AE22" s="31" t="str">
        <f>AE17</f>
        <v>钻石</v>
      </c>
      <c r="AF22" s="242">
        <f t="shared" si="8"/>
        <v>1</v>
      </c>
      <c r="AG22" s="242">
        <f t="shared" ref="AG22" si="17">VLOOKUP(AE22,$AJ:$AN,5,0)</f>
        <v>1</v>
      </c>
      <c r="AH22" s="249">
        <f>AH17</f>
        <v>100</v>
      </c>
      <c r="AJ22" s="256" t="str">
        <f>'抽奖|MoonBless'!DN22</f>
        <v>活跃度</v>
      </c>
      <c r="AK22" s="256">
        <f>'抽奖|MoonBless'!DO22</f>
        <v>1</v>
      </c>
      <c r="AL22" s="256">
        <f>'抽奖|MoonBless'!DP22</f>
        <v>10</v>
      </c>
      <c r="AM22" s="256">
        <f>'抽奖|MoonBless'!DQ22</f>
        <v>1</v>
      </c>
      <c r="AN22" s="256">
        <f>'抽奖|MoonBless'!DR22</f>
        <v>6</v>
      </c>
    </row>
    <row r="23" spans="13:40" x14ac:dyDescent="0.45">
      <c r="M23" s="547" t="str">
        <f>C8&amp;"元档"</f>
        <v>328元档</v>
      </c>
      <c r="N23" s="238" t="str">
        <f t="shared" si="10"/>
        <v>第1次</v>
      </c>
      <c r="O23" s="239" t="s">
        <v>103</v>
      </c>
      <c r="P23" s="86">
        <f t="shared" si="0"/>
        <v>1</v>
      </c>
      <c r="Q23" s="86">
        <f>VLOOKUP(O23,$AJ:$AN,5,0)</f>
        <v>2</v>
      </c>
      <c r="R23" s="247">
        <v>40000000</v>
      </c>
      <c r="S23" s="239" t="s">
        <v>756</v>
      </c>
      <c r="T23" s="86">
        <f t="shared" si="2"/>
        <v>2</v>
      </c>
      <c r="U23" s="86">
        <f>VLOOKUP(S23,$AJ:$AN,5,0)</f>
        <v>1001</v>
      </c>
      <c r="V23" s="247">
        <v>6</v>
      </c>
      <c r="W23" s="239" t="s">
        <v>760</v>
      </c>
      <c r="X23" s="86">
        <f t="shared" si="4"/>
        <v>2</v>
      </c>
      <c r="Y23" s="86">
        <f>VLOOKUP(W23,$AJ:$AN,5,0)</f>
        <v>1002</v>
      </c>
      <c r="Z23" s="247">
        <v>6</v>
      </c>
      <c r="AA23" s="239" t="s">
        <v>768</v>
      </c>
      <c r="AB23" s="86">
        <f t="shared" si="6"/>
        <v>2</v>
      </c>
      <c r="AC23" s="86">
        <f>VLOOKUP(AA23,$AJ:$AN,5,0)</f>
        <v>1004</v>
      </c>
      <c r="AD23" s="247">
        <v>4</v>
      </c>
      <c r="AE23" s="239" t="s">
        <v>738</v>
      </c>
      <c r="AF23" s="86">
        <f t="shared" si="8"/>
        <v>1</v>
      </c>
      <c r="AG23" s="86">
        <f>VLOOKUP(AE23,$AJ:$AN,5,0)</f>
        <v>1</v>
      </c>
      <c r="AH23" s="247">
        <f>AH17*3</f>
        <v>300</v>
      </c>
      <c r="AI23" s="1">
        <v>3780000</v>
      </c>
      <c r="AJ23" s="256" t="str">
        <f>'抽奖|MoonBless'!DN23</f>
        <v>红包【恭】</v>
      </c>
      <c r="AK23" s="256">
        <f>'抽奖|MoonBless'!DO23</f>
        <v>1</v>
      </c>
      <c r="AL23" s="256">
        <f>'抽奖|MoonBless'!DP23</f>
        <v>10</v>
      </c>
      <c r="AM23" s="256">
        <f>'抽奖|MoonBless'!DQ23</f>
        <v>2</v>
      </c>
      <c r="AN23" s="256">
        <f>'抽奖|MoonBless'!DR23</f>
        <v>1301</v>
      </c>
    </row>
    <row r="24" spans="13:40" x14ac:dyDescent="0.45">
      <c r="M24" s="548"/>
      <c r="N24" s="236" t="str">
        <f t="shared" si="10"/>
        <v>第2次10%</v>
      </c>
      <c r="O24" s="240" t="s">
        <v>103</v>
      </c>
      <c r="P24" s="9">
        <f t="shared" si="0"/>
        <v>1</v>
      </c>
      <c r="Q24" s="9">
        <f>VLOOKUP(O24,$AJ:$AN,5,0)</f>
        <v>2</v>
      </c>
      <c r="R24" s="248">
        <f>R23*1.1</f>
        <v>44000000</v>
      </c>
      <c r="S24" s="240" t="s">
        <v>756</v>
      </c>
      <c r="T24" s="9">
        <f t="shared" si="2"/>
        <v>2</v>
      </c>
      <c r="U24" s="9">
        <f>VLOOKUP(S24,$AJ:$AN,5,0)</f>
        <v>1001</v>
      </c>
      <c r="V24" s="248">
        <v>8</v>
      </c>
      <c r="W24" s="240" t="s">
        <v>760</v>
      </c>
      <c r="X24" s="9">
        <f t="shared" si="4"/>
        <v>2</v>
      </c>
      <c r="Y24" s="9">
        <f>VLOOKUP(W24,$AJ:$AN,5,0)</f>
        <v>1002</v>
      </c>
      <c r="Z24" s="248">
        <v>8</v>
      </c>
      <c r="AA24" s="240" t="s">
        <v>764</v>
      </c>
      <c r="AB24" s="9">
        <f t="shared" si="6"/>
        <v>2</v>
      </c>
      <c r="AC24" s="9">
        <f>VLOOKUP(AA24,$AJ:$AN,5,0)</f>
        <v>1003</v>
      </c>
      <c r="AD24" s="248">
        <v>4</v>
      </c>
      <c r="AE24" s="240" t="s">
        <v>738</v>
      </c>
      <c r="AF24" s="9">
        <f t="shared" si="8"/>
        <v>1</v>
      </c>
      <c r="AG24" s="9">
        <f>VLOOKUP(AE24,$AJ:$AN,5,0)</f>
        <v>1</v>
      </c>
      <c r="AH24" s="248">
        <f t="shared" ref="AH24:AH27" si="18">AH18*3</f>
        <v>420</v>
      </c>
      <c r="AJ24" s="256" t="str">
        <f>'抽奖|MoonBless'!DN24</f>
        <v>红包【喜】</v>
      </c>
      <c r="AK24" s="256">
        <f>'抽奖|MoonBless'!DO24</f>
        <v>1</v>
      </c>
      <c r="AL24" s="256">
        <f>'抽奖|MoonBless'!DP24</f>
        <v>10</v>
      </c>
      <c r="AM24" s="256">
        <f>'抽奖|MoonBless'!DQ24</f>
        <v>2</v>
      </c>
      <c r="AN24" s="256">
        <f>'抽奖|MoonBless'!DR24</f>
        <v>1302</v>
      </c>
    </row>
    <row r="25" spans="13:40" x14ac:dyDescent="0.45">
      <c r="M25" s="548"/>
      <c r="N25" s="236" t="str">
        <f t="shared" si="10"/>
        <v>第2次5%</v>
      </c>
      <c r="O25" s="240" t="s">
        <v>103</v>
      </c>
      <c r="P25" s="9">
        <f t="shared" si="0"/>
        <v>1</v>
      </c>
      <c r="Q25" s="9">
        <f>VLOOKUP(O25,$AJ:$AN,5,0)</f>
        <v>2</v>
      </c>
      <c r="R25" s="248">
        <f>R23*1.05</f>
        <v>42000000</v>
      </c>
      <c r="S25" s="240" t="s">
        <v>756</v>
      </c>
      <c r="T25" s="9">
        <f t="shared" si="2"/>
        <v>2</v>
      </c>
      <c r="U25" s="9">
        <f>VLOOKUP(S25,$AJ:$AN,5,0)</f>
        <v>1001</v>
      </c>
      <c r="V25" s="248">
        <v>6</v>
      </c>
      <c r="W25" s="240" t="s">
        <v>760</v>
      </c>
      <c r="X25" s="9">
        <f t="shared" si="4"/>
        <v>2</v>
      </c>
      <c r="Y25" s="9">
        <f>VLOOKUP(W25,$AJ:$AN,5,0)</f>
        <v>1002</v>
      </c>
      <c r="Z25" s="248">
        <v>6</v>
      </c>
      <c r="AA25" s="240" t="s">
        <v>768</v>
      </c>
      <c r="AB25" s="9">
        <f t="shared" si="6"/>
        <v>2</v>
      </c>
      <c r="AC25" s="9">
        <f>VLOOKUP(AA25,$AJ:$AN,5,0)</f>
        <v>1004</v>
      </c>
      <c r="AD25" s="248">
        <v>4</v>
      </c>
      <c r="AE25" s="240" t="s">
        <v>738</v>
      </c>
      <c r="AF25" s="9">
        <f t="shared" si="8"/>
        <v>1</v>
      </c>
      <c r="AG25" s="9">
        <f>VLOOKUP(AE25,$AJ:$AN,5,0)</f>
        <v>1</v>
      </c>
      <c r="AH25" s="248">
        <f t="shared" si="18"/>
        <v>360</v>
      </c>
      <c r="AJ25" s="256" t="str">
        <f>'抽奖|MoonBless'!DN21</f>
        <v>50元话费卡</v>
      </c>
      <c r="AK25" s="256">
        <f>'抽奖|MoonBless'!DO21</f>
        <v>50</v>
      </c>
      <c r="AL25" s="256">
        <f>'抽奖|MoonBless'!DP21</f>
        <v>500</v>
      </c>
      <c r="AM25" s="256">
        <f>'抽奖|MoonBless'!DQ21</f>
        <v>2</v>
      </c>
      <c r="AN25" s="256">
        <f>'抽奖|MoonBless'!DR21</f>
        <v>1210</v>
      </c>
    </row>
    <row r="26" spans="13:40" x14ac:dyDescent="0.45">
      <c r="M26" s="548"/>
      <c r="N26" s="236" t="str">
        <f t="shared" si="10"/>
        <v>第3次20%</v>
      </c>
      <c r="O26" s="240" t="s">
        <v>103</v>
      </c>
      <c r="P26" s="9">
        <f t="shared" si="0"/>
        <v>1</v>
      </c>
      <c r="Q26" s="9">
        <f>VLOOKUP(O26,$AJ:$AN,5,0)</f>
        <v>2</v>
      </c>
      <c r="R26" s="248">
        <f>R23*1.2</f>
        <v>48000000</v>
      </c>
      <c r="S26" s="240" t="s">
        <v>756</v>
      </c>
      <c r="T26" s="9">
        <f t="shared" si="2"/>
        <v>2</v>
      </c>
      <c r="U26" s="9">
        <f>VLOOKUP(S26,$AJ:$AN,5,0)</f>
        <v>1001</v>
      </c>
      <c r="V26" s="248">
        <v>10</v>
      </c>
      <c r="W26" s="240" t="s">
        <v>760</v>
      </c>
      <c r="X26" s="9">
        <f t="shared" si="4"/>
        <v>2</v>
      </c>
      <c r="Y26" s="9">
        <f>VLOOKUP(W26,$AJ:$AN,5,0)</f>
        <v>1002</v>
      </c>
      <c r="Z26" s="248">
        <v>10</v>
      </c>
      <c r="AA26" s="240" t="s">
        <v>764</v>
      </c>
      <c r="AB26" s="9">
        <f t="shared" si="6"/>
        <v>2</v>
      </c>
      <c r="AC26" s="9">
        <f>VLOOKUP(AA26,$AJ:$AN,5,0)</f>
        <v>1003</v>
      </c>
      <c r="AD26" s="248">
        <v>5</v>
      </c>
      <c r="AE26" s="240" t="s">
        <v>738</v>
      </c>
      <c r="AF26" s="9">
        <f t="shared" si="8"/>
        <v>1</v>
      </c>
      <c r="AG26" s="9">
        <f>VLOOKUP(AE26,$AJ:$AN,5,0)</f>
        <v>1</v>
      </c>
      <c r="AH26" s="248">
        <f t="shared" si="18"/>
        <v>480</v>
      </c>
      <c r="AJ26" s="256" t="str">
        <f>'抽奖|MoonBless'!DN22</f>
        <v>活跃度</v>
      </c>
      <c r="AK26" s="256">
        <f>'抽奖|MoonBless'!DO22</f>
        <v>1</v>
      </c>
      <c r="AL26" s="256">
        <f>'抽奖|MoonBless'!DP22</f>
        <v>10</v>
      </c>
      <c r="AM26" s="256">
        <f>'抽奖|MoonBless'!DQ22</f>
        <v>1</v>
      </c>
      <c r="AN26" s="256">
        <f>'抽奖|MoonBless'!DR22</f>
        <v>6</v>
      </c>
    </row>
    <row r="27" spans="13:40" x14ac:dyDescent="0.45">
      <c r="M27" s="548"/>
      <c r="N27" s="236" t="str">
        <f t="shared" si="10"/>
        <v>第3次10%</v>
      </c>
      <c r="O27" s="240" t="s">
        <v>103</v>
      </c>
      <c r="P27" s="9">
        <f t="shared" si="0"/>
        <v>1</v>
      </c>
      <c r="Q27" s="9">
        <f>VLOOKUP(O27,$AJ:$AN,5,0)</f>
        <v>2</v>
      </c>
      <c r="R27" s="248">
        <f>R23*1.1</f>
        <v>44000000</v>
      </c>
      <c r="S27" s="240" t="s">
        <v>756</v>
      </c>
      <c r="T27" s="9">
        <f t="shared" si="2"/>
        <v>2</v>
      </c>
      <c r="U27" s="9">
        <f>VLOOKUP(S27,$AJ:$AN,5,0)</f>
        <v>1001</v>
      </c>
      <c r="V27" s="248">
        <v>8</v>
      </c>
      <c r="W27" s="240" t="s">
        <v>760</v>
      </c>
      <c r="X27" s="9">
        <f t="shared" si="4"/>
        <v>2</v>
      </c>
      <c r="Y27" s="9">
        <f>VLOOKUP(W27,$AJ:$AN,5,0)</f>
        <v>1002</v>
      </c>
      <c r="Z27" s="248">
        <v>8</v>
      </c>
      <c r="AA27" s="240" t="s">
        <v>768</v>
      </c>
      <c r="AB27" s="9">
        <f t="shared" si="6"/>
        <v>2</v>
      </c>
      <c r="AC27" s="9">
        <f>VLOOKUP(AA27,$AJ:$AN,5,0)</f>
        <v>1004</v>
      </c>
      <c r="AD27" s="248">
        <v>5</v>
      </c>
      <c r="AE27" s="240" t="s">
        <v>738</v>
      </c>
      <c r="AF27" s="9">
        <f t="shared" si="8"/>
        <v>1</v>
      </c>
      <c r="AG27" s="9">
        <f>VLOOKUP(AE27,$AJ:$AN,5,0)</f>
        <v>1</v>
      </c>
      <c r="AH27" s="248">
        <f t="shared" si="18"/>
        <v>420</v>
      </c>
      <c r="AJ27" s="256" t="str">
        <f>'抽奖|MoonBless'!DN23</f>
        <v>红包【恭】</v>
      </c>
      <c r="AK27" s="256">
        <f>'抽奖|MoonBless'!DO23</f>
        <v>1</v>
      </c>
      <c r="AL27" s="256">
        <f>'抽奖|MoonBless'!DP23</f>
        <v>10</v>
      </c>
      <c r="AM27" s="256">
        <f>'抽奖|MoonBless'!DQ23</f>
        <v>2</v>
      </c>
      <c r="AN27" s="256">
        <f>'抽奖|MoonBless'!DR23</f>
        <v>1301</v>
      </c>
    </row>
    <row r="28" spans="13:40" x14ac:dyDescent="0.45">
      <c r="M28" s="549"/>
      <c r="N28" s="241" t="str">
        <f t="shared" si="10"/>
        <v>再得一份</v>
      </c>
      <c r="O28" s="31" t="str">
        <f>O23</f>
        <v>金币</v>
      </c>
      <c r="P28" s="242">
        <f t="shared" si="0"/>
        <v>1</v>
      </c>
      <c r="Q28" s="242">
        <f t="shared" ref="Q28" si="19">VLOOKUP(O28,$AJ:$AN,5,0)</f>
        <v>2</v>
      </c>
      <c r="R28" s="249">
        <f>R23</f>
        <v>40000000</v>
      </c>
      <c r="S28" s="31" t="str">
        <f>S23</f>
        <v>锁定</v>
      </c>
      <c r="T28" s="242">
        <f t="shared" si="2"/>
        <v>2</v>
      </c>
      <c r="U28" s="242">
        <f t="shared" ref="U28" si="20">VLOOKUP(S28,$AJ:$AN,5,0)</f>
        <v>1001</v>
      </c>
      <c r="V28" s="249">
        <f>V23</f>
        <v>6</v>
      </c>
      <c r="W28" s="31" t="str">
        <f>W23</f>
        <v>冰冻</v>
      </c>
      <c r="X28" s="242">
        <f t="shared" si="4"/>
        <v>2</v>
      </c>
      <c r="Y28" s="242">
        <f t="shared" ref="Y28" si="21">VLOOKUP(W28,$AJ:$AN,5,0)</f>
        <v>1002</v>
      </c>
      <c r="Z28" s="249">
        <f>Z23</f>
        <v>6</v>
      </c>
      <c r="AA28" s="31" t="str">
        <f>AA23</f>
        <v>召唤</v>
      </c>
      <c r="AB28" s="242">
        <f t="shared" si="6"/>
        <v>2</v>
      </c>
      <c r="AC28" s="242">
        <f t="shared" ref="AC28" si="22">VLOOKUP(AA28,$AJ:$AN,5,0)</f>
        <v>1004</v>
      </c>
      <c r="AD28" s="249">
        <f>AD23</f>
        <v>4</v>
      </c>
      <c r="AE28" s="31" t="str">
        <f>AE23</f>
        <v>钻石</v>
      </c>
      <c r="AF28" s="242">
        <f t="shared" si="8"/>
        <v>1</v>
      </c>
      <c r="AG28" s="242">
        <f t="shared" ref="AG28" si="23">VLOOKUP(AE28,$AJ:$AN,5,0)</f>
        <v>1</v>
      </c>
      <c r="AH28" s="249">
        <f>AH23</f>
        <v>300</v>
      </c>
      <c r="AJ28" s="256"/>
      <c r="AK28" s="256"/>
      <c r="AL28" s="256"/>
      <c r="AM28" s="256"/>
      <c r="AN28" s="256"/>
    </row>
    <row r="29" spans="13:40" x14ac:dyDescent="0.45">
      <c r="AJ29" s="256"/>
      <c r="AK29" s="256"/>
      <c r="AL29" s="256"/>
      <c r="AM29" s="256"/>
      <c r="AN29" s="256"/>
    </row>
    <row r="30" spans="13:40" x14ac:dyDescent="0.45">
      <c r="AJ30" s="256"/>
      <c r="AK30" s="256"/>
      <c r="AL30" s="256"/>
      <c r="AM30" s="256"/>
      <c r="AN30" s="256"/>
    </row>
    <row r="31" spans="13:40" x14ac:dyDescent="0.45">
      <c r="AJ31" s="256"/>
      <c r="AK31" s="256"/>
      <c r="AL31" s="256"/>
      <c r="AM31" s="256"/>
      <c r="AN31" s="256"/>
    </row>
    <row r="32" spans="13:40" x14ac:dyDescent="0.45">
      <c r="AJ32" s="256"/>
      <c r="AK32" s="256"/>
      <c r="AL32" s="256"/>
      <c r="AM32" s="256"/>
      <c r="AN32" s="256"/>
    </row>
    <row r="33" spans="36:40" x14ac:dyDescent="0.45">
      <c r="AJ33" s="256"/>
      <c r="AK33" s="256"/>
      <c r="AL33" s="256"/>
      <c r="AM33" s="256"/>
      <c r="AN33" s="256"/>
    </row>
    <row r="34" spans="36:40" x14ac:dyDescent="0.45">
      <c r="AJ34" s="256"/>
      <c r="AK34" s="256"/>
      <c r="AL34" s="256"/>
      <c r="AM34" s="256"/>
      <c r="AN34" s="256"/>
    </row>
    <row r="35" spans="36:40" x14ac:dyDescent="0.45">
      <c r="AJ35" s="256"/>
      <c r="AK35" s="256"/>
      <c r="AL35" s="256"/>
      <c r="AM35" s="256"/>
      <c r="AN35" s="256"/>
    </row>
    <row r="36" spans="36:40" x14ac:dyDescent="0.45">
      <c r="AJ36" s="256"/>
      <c r="AK36" s="256"/>
      <c r="AL36" s="256"/>
      <c r="AM36" s="256"/>
      <c r="AN36" s="256"/>
    </row>
    <row r="37" spans="36:40" x14ac:dyDescent="0.45">
      <c r="AJ37" s="256"/>
      <c r="AK37" s="256"/>
      <c r="AL37" s="256"/>
      <c r="AM37" s="256"/>
      <c r="AN37" s="256"/>
    </row>
    <row r="38" spans="36:40" x14ac:dyDescent="0.45">
      <c r="AJ38" s="256"/>
      <c r="AK38" s="256"/>
      <c r="AL38" s="256"/>
      <c r="AM38" s="256"/>
      <c r="AN38" s="256"/>
    </row>
    <row r="39" spans="36:40" x14ac:dyDescent="0.45">
      <c r="AJ39" s="256"/>
      <c r="AK39" s="256"/>
      <c r="AL39" s="256"/>
      <c r="AM39" s="256"/>
      <c r="AN39" s="256"/>
    </row>
    <row r="40" spans="36:40" x14ac:dyDescent="0.45">
      <c r="AJ40" s="256"/>
      <c r="AK40" s="256"/>
      <c r="AL40" s="256"/>
      <c r="AM40" s="256"/>
      <c r="AN40" s="256"/>
    </row>
    <row r="41" spans="36:40" x14ac:dyDescent="0.45">
      <c r="AJ41" s="256"/>
      <c r="AK41" s="256"/>
      <c r="AL41" s="256"/>
      <c r="AM41" s="256"/>
      <c r="AN41" s="256"/>
    </row>
  </sheetData>
  <mergeCells count="5">
    <mergeCell ref="O3:AH3"/>
    <mergeCell ref="M5:M10"/>
    <mergeCell ref="M11:M16"/>
    <mergeCell ref="M17:M22"/>
    <mergeCell ref="M23:M28"/>
  </mergeCells>
  <phoneticPr fontId="57" type="noConversion"/>
  <conditionalFormatting sqref="P4">
    <cfRule type="containsText" dxfId="816" priority="52" operator="containsText" text=" ">
      <formula>NOT(ISERROR(SEARCH(" ",P4)))</formula>
    </cfRule>
  </conditionalFormatting>
  <conditionalFormatting sqref="T4">
    <cfRule type="containsText" dxfId="815" priority="53" operator="containsText" text=" ">
      <formula>NOT(ISERROR(SEARCH(" ",T4)))</formula>
    </cfRule>
  </conditionalFormatting>
  <conditionalFormatting sqref="X4">
    <cfRule type="containsText" dxfId="814" priority="24" operator="containsText" text=" ">
      <formula>NOT(ISERROR(SEARCH(" ",X4)))</formula>
    </cfRule>
  </conditionalFormatting>
  <conditionalFormatting sqref="AB4">
    <cfRule type="containsText" dxfId="813" priority="23" operator="containsText" text=" ">
      <formula>NOT(ISERROR(SEARCH(" ",AB4)))</formula>
    </cfRule>
  </conditionalFormatting>
  <conditionalFormatting sqref="AF4">
    <cfRule type="containsText" dxfId="812" priority="22" operator="containsText" text=" ">
      <formula>NOT(ISERROR(SEARCH(" ",AF4)))</formula>
    </cfRule>
  </conditionalFormatting>
  <conditionalFormatting sqref="AI5">
    <cfRule type="containsText" dxfId="811" priority="34" operator="containsText" text=" ">
      <formula>NOT(ISERROR(SEARCH(" ",AI5)))</formula>
    </cfRule>
  </conditionalFormatting>
  <conditionalFormatting sqref="AN12">
    <cfRule type="containsText" dxfId="810" priority="46" operator="containsText" text=" ">
      <formula>NOT(ISERROR(SEARCH(" ",AN12)))</formula>
    </cfRule>
  </conditionalFormatting>
  <conditionalFormatting sqref="O16">
    <cfRule type="containsText" dxfId="809" priority="40" operator="containsText" text=" ">
      <formula>NOT(ISERROR(SEARCH(" ",O16)))</formula>
    </cfRule>
  </conditionalFormatting>
  <conditionalFormatting sqref="P16:R16">
    <cfRule type="containsText" dxfId="808" priority="41" operator="containsText" text=" ">
      <formula>NOT(ISERROR(SEARCH(" ",P16)))</formula>
    </cfRule>
  </conditionalFormatting>
  <conditionalFormatting sqref="AD16">
    <cfRule type="containsText" dxfId="807" priority="12" operator="containsText" text=" ">
      <formula>NOT(ISERROR(SEARCH(" ",AD16)))</formula>
    </cfRule>
  </conditionalFormatting>
  <conditionalFormatting sqref="AE16">
    <cfRule type="containsText" dxfId="806" priority="18" operator="containsText" text=" ">
      <formula>NOT(ISERROR(SEARCH(" ",AE16)))</formula>
    </cfRule>
  </conditionalFormatting>
  <conditionalFormatting sqref="AF16:AH16">
    <cfRule type="containsText" dxfId="805" priority="19" operator="containsText" text=" ">
      <formula>NOT(ISERROR(SEARCH(" ",AF16)))</formula>
    </cfRule>
  </conditionalFormatting>
  <conditionalFormatting sqref="AJ17:AK17">
    <cfRule type="containsText" dxfId="804" priority="45" operator="containsText" text=" ">
      <formula>NOT(ISERROR(SEARCH(" ",AJ17)))</formula>
    </cfRule>
  </conditionalFormatting>
  <conditionalFormatting sqref="AJ18:AK18">
    <cfRule type="containsText" dxfId="803" priority="44" operator="containsText" text=" ">
      <formula>NOT(ISERROR(SEARCH(" ",AJ18)))</formula>
    </cfRule>
  </conditionalFormatting>
  <conditionalFormatting sqref="O22">
    <cfRule type="containsText" dxfId="802" priority="37" operator="containsText" text=" ">
      <formula>NOT(ISERROR(SEARCH(" ",O22)))</formula>
    </cfRule>
  </conditionalFormatting>
  <conditionalFormatting sqref="P22:R22">
    <cfRule type="containsText" dxfId="801" priority="38" operator="containsText" text=" ">
      <formula>NOT(ISERROR(SEARCH(" ",P22)))</formula>
    </cfRule>
  </conditionalFormatting>
  <conditionalFormatting sqref="AD22">
    <cfRule type="containsText" dxfId="800" priority="11" operator="containsText" text=" ">
      <formula>NOT(ISERROR(SEARCH(" ",AD22)))</formula>
    </cfRule>
  </conditionalFormatting>
  <conditionalFormatting sqref="AE22">
    <cfRule type="containsText" dxfId="799" priority="16" operator="containsText" text=" ">
      <formula>NOT(ISERROR(SEARCH(" ",AE22)))</formula>
    </cfRule>
  </conditionalFormatting>
  <conditionalFormatting sqref="AF22:AH22">
    <cfRule type="containsText" dxfId="798" priority="17" operator="containsText" text=" ">
      <formula>NOT(ISERROR(SEARCH(" ",AF22)))</formula>
    </cfRule>
  </conditionalFormatting>
  <conditionalFormatting sqref="O28">
    <cfRule type="containsText" dxfId="797" priority="35" operator="containsText" text=" ">
      <formula>NOT(ISERROR(SEARCH(" ",O28)))</formula>
    </cfRule>
  </conditionalFormatting>
  <conditionalFormatting sqref="P28:R28">
    <cfRule type="containsText" dxfId="796" priority="36" operator="containsText" text=" ">
      <formula>NOT(ISERROR(SEARCH(" ",P28)))</formula>
    </cfRule>
  </conditionalFormatting>
  <conditionalFormatting sqref="AD28">
    <cfRule type="containsText" dxfId="795" priority="10" operator="containsText" text=" ">
      <formula>NOT(ISERROR(SEARCH(" ",AD28)))</formula>
    </cfRule>
  </conditionalFormatting>
  <conditionalFormatting sqref="AE28">
    <cfRule type="containsText" dxfId="794" priority="14" operator="containsText" text=" ">
      <formula>NOT(ISERROR(SEARCH(" ",AE28)))</formula>
    </cfRule>
  </conditionalFormatting>
  <conditionalFormatting sqref="AF28:AH28">
    <cfRule type="containsText" dxfId="793" priority="15" operator="containsText" text=" ">
      <formula>NOT(ISERROR(SEARCH(" ",AF28)))</formula>
    </cfRule>
  </conditionalFormatting>
  <conditionalFormatting sqref="AJ48:AN48">
    <cfRule type="containsText" dxfId="792" priority="42" operator="containsText" text=" ">
      <formula>NOT(ISERROR(SEARCH(" ",AJ48)))</formula>
    </cfRule>
  </conditionalFormatting>
  <conditionalFormatting sqref="AD5:AD10">
    <cfRule type="containsText" dxfId="791" priority="13" operator="containsText" text=" ">
      <formula>NOT(ISERROR(SEARCH(" ",AD5)))</formula>
    </cfRule>
  </conditionalFormatting>
  <conditionalFormatting sqref="AD11:AD15">
    <cfRule type="containsText" dxfId="790" priority="7" operator="containsText" text=" ">
      <formula>NOT(ISERROR(SEARCH(" ",AD11)))</formula>
    </cfRule>
  </conditionalFormatting>
  <conditionalFormatting sqref="AD17:AD21">
    <cfRule type="containsText" dxfId="789" priority="4" operator="containsText" text=" ">
      <formula>NOT(ISERROR(SEARCH(" ",AD17)))</formula>
    </cfRule>
  </conditionalFormatting>
  <conditionalFormatting sqref="AD23:AD27">
    <cfRule type="containsText" dxfId="788" priority="1" operator="containsText" text=" ">
      <formula>NOT(ISERROR(SEARCH(" ",AD23)))</formula>
    </cfRule>
  </conditionalFormatting>
  <conditionalFormatting sqref="AL8:AL11">
    <cfRule type="containsText" dxfId="787" priority="47" operator="containsText" text=" ">
      <formula>NOT(ISERROR(SEARCH(" ",AL8)))</formula>
    </cfRule>
  </conditionalFormatting>
  <conditionalFormatting sqref="AN8:AN11">
    <cfRule type="containsText" dxfId="786" priority="48" operator="containsText" text=" ">
      <formula>NOT(ISERROR(SEARCH(" ",AN8)))</formula>
    </cfRule>
  </conditionalFormatting>
  <conditionalFormatting sqref="AJ12:AM12 AL17:AN18 AJ4:AN7 AM8:AM11 AJ8:AK11">
    <cfRule type="containsText" dxfId="785" priority="49" operator="containsText" text=" ">
      <formula>NOT(ISERROR(SEARCH(" ",AJ4)))</formula>
    </cfRule>
  </conditionalFormatting>
  <conditionalFormatting sqref="O5:O15 O17:O21 O23:O27">
    <cfRule type="containsText" dxfId="784" priority="50" operator="containsText" text=" ">
      <formula>NOT(ISERROR(SEARCH(" ",O5)))</formula>
    </cfRule>
  </conditionalFormatting>
  <conditionalFormatting sqref="P5:R15 P17:R21 P23:R27">
    <cfRule type="containsText" dxfId="783" priority="51" operator="containsText" text=" ">
      <formula>NOT(ISERROR(SEARCH(" ",P5)))</formula>
    </cfRule>
  </conditionalFormatting>
  <conditionalFormatting sqref="S5:S10 W5:W10 AA5:AA10">
    <cfRule type="containsText" dxfId="782" priority="32" operator="containsText" text=" ">
      <formula>NOT(ISERROR(SEARCH(" ",S5)))</formula>
    </cfRule>
  </conditionalFormatting>
  <conditionalFormatting sqref="AB5:AC10 T5:V10 X5:Z10">
    <cfRule type="containsText" dxfId="781" priority="33" operator="containsText" text=" ">
      <formula>NOT(ISERROR(SEARCH(" ",T5)))</formula>
    </cfRule>
  </conditionalFormatting>
  <conditionalFormatting sqref="AE5:AE15 AE17:AE21 AE23:AE27">
    <cfRule type="containsText" dxfId="780" priority="20" operator="containsText" text=" ">
      <formula>NOT(ISERROR(SEARCH(" ",AE5)))</formula>
    </cfRule>
  </conditionalFormatting>
  <conditionalFormatting sqref="AF5:AH15 AF17:AH21 AF23:AH27">
    <cfRule type="containsText" dxfId="779" priority="21" operator="containsText" text=" ">
      <formula>NOT(ISERROR(SEARCH(" ",AF5)))</formula>
    </cfRule>
  </conditionalFormatting>
  <conditionalFormatting sqref="S11:S15 W11:W15 AA11:AA15">
    <cfRule type="containsText" dxfId="778" priority="8" operator="containsText" text=" ">
      <formula>NOT(ISERROR(SEARCH(" ",S11)))</formula>
    </cfRule>
  </conditionalFormatting>
  <conditionalFormatting sqref="AB11:AC15 T11:V15 X11:Z15">
    <cfRule type="containsText" dxfId="777" priority="9" operator="containsText" text=" ">
      <formula>NOT(ISERROR(SEARCH(" ",T11)))</formula>
    </cfRule>
  </conditionalFormatting>
  <conditionalFormatting sqref="AJ13:AN16 AJ28:AN31 AJ19:AN24">
    <cfRule type="containsText" dxfId="776" priority="39" operator="containsText" text=" ">
      <formula>NOT(ISERROR(SEARCH(" ",AJ13)))</formula>
    </cfRule>
  </conditionalFormatting>
  <conditionalFormatting sqref="S16 W16 AA16">
    <cfRule type="containsText" dxfId="775" priority="30" operator="containsText" text=" ">
      <formula>NOT(ISERROR(SEARCH(" ",S16)))</formula>
    </cfRule>
  </conditionalFormatting>
  <conditionalFormatting sqref="T16:V16 X16:Z16 AB16:AC16">
    <cfRule type="containsText" dxfId="774" priority="31" operator="containsText" text=" ">
      <formula>NOT(ISERROR(SEARCH(" ",T16)))</formula>
    </cfRule>
  </conditionalFormatting>
  <conditionalFormatting sqref="S17:S21 W17:W21 AA17:AA21">
    <cfRule type="containsText" dxfId="773" priority="5" operator="containsText" text=" ">
      <formula>NOT(ISERROR(SEARCH(" ",S17)))</formula>
    </cfRule>
  </conditionalFormatting>
  <conditionalFormatting sqref="AB17:AC21 T17:V21 X17:Z21">
    <cfRule type="containsText" dxfId="772" priority="6" operator="containsText" text=" ">
      <formula>NOT(ISERROR(SEARCH(" ",T17)))</formula>
    </cfRule>
  </conditionalFormatting>
  <conditionalFormatting sqref="S22 W22 AA22">
    <cfRule type="containsText" dxfId="771" priority="28" operator="containsText" text=" ">
      <formula>NOT(ISERROR(SEARCH(" ",S22)))</formula>
    </cfRule>
  </conditionalFormatting>
  <conditionalFormatting sqref="T22:V22 X22:Z22 AB22:AC22">
    <cfRule type="containsText" dxfId="770" priority="29" operator="containsText" text=" ">
      <formula>NOT(ISERROR(SEARCH(" ",T22)))</formula>
    </cfRule>
  </conditionalFormatting>
  <conditionalFormatting sqref="S23:S27 W23:W27 AA23:AA27">
    <cfRule type="containsText" dxfId="769" priority="2" operator="containsText" text=" ">
      <formula>NOT(ISERROR(SEARCH(" ",S23)))</formula>
    </cfRule>
  </conditionalFormatting>
  <conditionalFormatting sqref="AB23:AC27 T23:V27 X23:Z27">
    <cfRule type="containsText" dxfId="768" priority="3" operator="containsText" text=" ">
      <formula>NOT(ISERROR(SEARCH(" ",T23)))</formula>
    </cfRule>
  </conditionalFormatting>
  <conditionalFormatting sqref="AJ25:AN27">
    <cfRule type="containsText" dxfId="767" priority="25" operator="containsText" text=" ">
      <formula>NOT(ISERROR(SEARCH(" ",AJ25)))</formula>
    </cfRule>
  </conditionalFormatting>
  <conditionalFormatting sqref="S28 W28 AA28">
    <cfRule type="containsText" dxfId="766" priority="26" operator="containsText" text=" ">
      <formula>NOT(ISERROR(SEARCH(" ",S28)))</formula>
    </cfRule>
  </conditionalFormatting>
  <conditionalFormatting sqref="T28:V28 X28:Z28 AB28:AC28">
    <cfRule type="containsText" dxfId="765" priority="27" operator="containsText" text=" ">
      <formula>NOT(ISERROR(SEARCH(" ",T28)))</formula>
    </cfRule>
  </conditionalFormatting>
  <conditionalFormatting sqref="AJ38:AN47 AJ49:AN1048576">
    <cfRule type="containsText" dxfId="764" priority="43" operator="containsText" text=" ">
      <formula>NOT(ISERROR(SEARCH(" ",AJ38)))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炮解锁|CannonUnlock</vt:lpstr>
      <vt:lpstr>全局参数|GlobalPar</vt:lpstr>
      <vt:lpstr>道具|Item</vt:lpstr>
      <vt:lpstr>房间规则|RoomRules</vt:lpstr>
      <vt:lpstr>鱼属性|FishAttribute</vt:lpstr>
      <vt:lpstr>BOSS翻N倍玩法|BossOfNfold</vt:lpstr>
      <vt:lpstr>VIP升级|VIPUp</vt:lpstr>
      <vt:lpstr>充值活动|RMBActivities</vt:lpstr>
      <vt:lpstr>每日超值|DailyGiftRe</vt:lpstr>
      <vt:lpstr>用户升级|RoleUp</vt:lpstr>
      <vt:lpstr>福卡鱼潮S值|BasicsBillValue</vt:lpstr>
      <vt:lpstr>弹头价值|Dantou</vt:lpstr>
      <vt:lpstr>抽奖|MoonBless</vt:lpstr>
      <vt:lpstr>掉落|Drop</vt:lpstr>
      <vt:lpstr>兑换|Exchange</vt:lpstr>
      <vt:lpstr>会员卡|NobleCard</vt:lpstr>
      <vt:lpstr>签到|SignIn</vt:lpstr>
      <vt:lpstr>道具|Item-f</vt:lpstr>
      <vt:lpstr>福卡赛奖励|CompetitionBillReward</vt:lpstr>
      <vt:lpstr>话费赛潜艇|AirBalloon</vt:lpstr>
      <vt:lpstr>新手七天|SevenDay</vt:lpstr>
      <vt:lpstr>潜艇等级|AirBallLv</vt:lpstr>
      <vt:lpstr>每日充值|Recharge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2006-09-17T00:00:00Z</dcterms:created>
  <dcterms:modified xsi:type="dcterms:W3CDTF">2023-06-06T06:27:02Z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0308ADB1A5B48524FA032464951F986E_42</vt:lpwstr>
  </property>
</Properties>
</file>